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defaultThemeVersion="166925"/>
  <mc:AlternateContent xmlns:mc="http://schemas.openxmlformats.org/markup-compatibility/2006">
    <mc:Choice Requires="x15">
      <x15ac:absPath xmlns:x15ac="http://schemas.microsoft.com/office/spreadsheetml/2010/11/ac" url="C:\Users\e082908\Desktop\New Website Docs\Grantee Report Forms by SOW\Children\"/>
    </mc:Choice>
  </mc:AlternateContent>
  <xr:revisionPtr revIDLastSave="0" documentId="8_{0C603281-577A-4A91-8949-F08590A03210}" xr6:coauthVersionLast="47" xr6:coauthVersionMax="47" xr10:uidLastSave="{00000000-0000-0000-0000-000000000000}"/>
  <bookViews>
    <workbookView xWindow="-120" yWindow="-120" windowWidth="24240" windowHeight="13140" tabRatio="724" firstSheet="4" activeTab="5" xr2:uid="{00000000-000D-0000-FFFF-FFFF00000000}"/>
  </bookViews>
  <sheets>
    <sheet name="Instructions" sheetId="22" r:id="rId1"/>
    <sheet name="Setup" sheetId="3" r:id="rId2"/>
    <sheet name="Leadership Team" sheetId="6" r:id="rId3"/>
    <sheet name="Tier 1 Prevention" sheetId="4" r:id="rId4"/>
    <sheet name="Tier 2 Prevention" sheetId="7" r:id="rId5"/>
    <sheet name="Tier 3 Intervention" sheetId="8" r:id="rId6"/>
    <sheet name="Staff Interactions" sheetId="13" r:id="rId7"/>
    <sheet name="Events" sheetId="18" r:id="rId8"/>
    <sheet name="MHPET" sheetId="15" r:id="rId9"/>
    <sheet name="CANS" sheetId="21" r:id="rId10"/>
    <sheet name="YSS" sheetId="20" r:id="rId11"/>
    <sheet name="Summary" sheetId="17" r:id="rId12"/>
    <sheet name="Picklists" sheetId="19" r:id="rId13"/>
  </sheets>
  <externalReferences>
    <externalReference r:id="rId14"/>
  </externalReferences>
  <definedNames>
    <definedName name="_xlnm._FilterDatabase" localSheetId="3" hidden="1">'Tier 1 Prevention'!$A$8:$BF$501</definedName>
    <definedName name="_xlnm._FilterDatabase" localSheetId="4" hidden="1">'Tier 2 Prevention'!$A$9:$BF$502</definedName>
    <definedName name="_xlnm._FilterDatabase" localSheetId="5" hidden="1">'Tier 3 Intervention'!$A$10:$CB$14</definedName>
    <definedName name="Case_Closure" localSheetId="0">[1]Picklists!$O$3:$O$10</definedName>
    <definedName name="Case_Closure">Picklists!$Q$3:$Q$10</definedName>
    <definedName name="Course_Completion" localSheetId="0">[1]Picklists!$N$3:$N$10</definedName>
    <definedName name="Course_Completion">Picklists!$P$3:$P$11</definedName>
    <definedName name="Ethnicity" localSheetId="0">[1]Picklists!$E$3:$E$5</definedName>
    <definedName name="Ethnicity">Picklists!$G$3:$G$5</definedName>
    <definedName name="Gender" localSheetId="0">[1]Picklists!$G$3:$G$5</definedName>
    <definedName name="Gender">Picklists!$I$3:$I$5</definedName>
    <definedName name="Grade" localSheetId="0">[1]Picklists!$F$3:$F$16</definedName>
    <definedName name="Grade">Picklists!$H$3:$H$16</definedName>
    <definedName name="Insurance" localSheetId="0">[1]Picklists!$J$3:$J$6</definedName>
    <definedName name="Insurance">Picklists!$L$3:$L$7</definedName>
    <definedName name="Interaction_Type" localSheetId="0">[1]Picklists!$S$3:$S$6</definedName>
    <definedName name="Interaction_Type">Picklists!$U$3:$U$6</definedName>
    <definedName name="Interactions" localSheetId="0">[1]Picklists!$Q$3:$Q$6</definedName>
    <definedName name="Interactions">Picklists!$S$3:$S$6</definedName>
    <definedName name="Juvenile_Justice" localSheetId="0">[1]Picklists!$M$3:$M$4</definedName>
    <definedName name="Juvenile_Justice">Picklists!$O$3:$O$4</definedName>
    <definedName name="LGBTQ" localSheetId="0">[1]Picklists!$I$3:$I$4</definedName>
    <definedName name="LGBTQ">Picklists!$K$3:$K$4</definedName>
    <definedName name="Living_Arrangement" localSheetId="0">[1]Picklists!$L$3:$L$14</definedName>
    <definedName name="Living_Arrangement">Picklists!$N$3:$N$14</definedName>
    <definedName name="Month" localSheetId="0">[1]Picklists!$A$3:$A$14</definedName>
    <definedName name="Month">Picklists!$A$3:$A$14</definedName>
    <definedName name="Pregnant" localSheetId="0">[1]Picklists!$H$3:$H$5</definedName>
    <definedName name="Pregnant">Picklists!$J$3:$J$5</definedName>
    <definedName name="_xlnm.Print_Area" localSheetId="12">Picklists!$F$1:$Q$16</definedName>
    <definedName name="Race" localSheetId="0">[1]Picklists!$D$3:$D$9</definedName>
    <definedName name="Race">Picklists!$F$3:$F$9</definedName>
    <definedName name="SED" localSheetId="0">[1]Picklists!$K$3:$K$4</definedName>
    <definedName name="SED">Picklists!$M$3:$M$4</definedName>
    <definedName name="StratPlan">Picklists!$D$3:$D$4</definedName>
    <definedName name="TFI">Picklists!$C$3:$C$4</definedName>
    <definedName name="Year" localSheetId="0">[1]Picklists!$B$3:$B$9</definedName>
    <definedName name="Year">Picklists!$B$3:$B$9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2" i="17" l="1"/>
  <c r="D43" i="17"/>
  <c r="R53" i="17"/>
  <c r="R54" i="17"/>
  <c r="K15" i="8"/>
  <c r="G3" i="6" l="1"/>
  <c r="H272" i="21" l="1"/>
  <c r="H271" i="21"/>
  <c r="H270" i="21"/>
  <c r="H269" i="21"/>
  <c r="H268" i="21"/>
  <c r="H267" i="21"/>
  <c r="H266" i="21"/>
  <c r="H265" i="21"/>
  <c r="H264" i="21"/>
  <c r="H263" i="21"/>
  <c r="H262" i="21"/>
  <c r="H261" i="21"/>
  <c r="H260" i="21"/>
  <c r="H273" i="21"/>
  <c r="H278" i="21"/>
  <c r="H277" i="21"/>
  <c r="H276" i="21"/>
  <c r="H275" i="21"/>
  <c r="H274" i="21"/>
  <c r="B278" i="21"/>
  <c r="B277" i="21"/>
  <c r="B276" i="21"/>
  <c r="B275" i="21"/>
  <c r="B274" i="21"/>
  <c r="B273" i="21"/>
  <c r="B272" i="21"/>
  <c r="B271" i="21"/>
  <c r="B270" i="21"/>
  <c r="B269" i="21"/>
  <c r="B268" i="21"/>
  <c r="B267" i="21"/>
  <c r="B266" i="21"/>
  <c r="B265" i="21"/>
  <c r="B264" i="21"/>
  <c r="B263" i="21"/>
  <c r="B262" i="21"/>
  <c r="B261" i="21"/>
  <c r="B260" i="21"/>
  <c r="H259" i="21"/>
  <c r="H258" i="21"/>
  <c r="H257" i="21"/>
  <c r="H256" i="21"/>
  <c r="H255" i="21"/>
  <c r="H254" i="21"/>
  <c r="H253" i="21"/>
  <c r="H252" i="21"/>
  <c r="H251" i="21"/>
  <c r="H250" i="21"/>
  <c r="H249" i="21"/>
  <c r="H248" i="21"/>
  <c r="H247" i="21"/>
  <c r="H246" i="21"/>
  <c r="H245" i="21"/>
  <c r="H244" i="21"/>
  <c r="H243" i="21"/>
  <c r="H242" i="21"/>
  <c r="H241" i="21"/>
  <c r="H240" i="21"/>
  <c r="H239" i="21"/>
  <c r="H238" i="21"/>
  <c r="H237" i="21"/>
  <c r="H236" i="21"/>
  <c r="H235" i="21"/>
  <c r="B234" i="21"/>
  <c r="B259" i="21"/>
  <c r="B258" i="21"/>
  <c r="B257" i="21"/>
  <c r="B256" i="21"/>
  <c r="B255" i="21"/>
  <c r="B254" i="21"/>
  <c r="B253" i="21"/>
  <c r="B252" i="21"/>
  <c r="B251" i="21"/>
  <c r="B250" i="21"/>
  <c r="B249" i="21"/>
  <c r="B248" i="21"/>
  <c r="B247" i="21"/>
  <c r="B246" i="21"/>
  <c r="B245" i="21"/>
  <c r="B244" i="21"/>
  <c r="B243" i="21"/>
  <c r="B242" i="21"/>
  <c r="B241" i="21"/>
  <c r="B240" i="21"/>
  <c r="B239" i="21"/>
  <c r="B238" i="21"/>
  <c r="B237" i="21"/>
  <c r="B236" i="21"/>
  <c r="B235" i="21"/>
  <c r="H234" i="21"/>
  <c r="H233" i="21"/>
  <c r="H232" i="21"/>
  <c r="H231" i="21"/>
  <c r="H230" i="21"/>
  <c r="H229" i="21"/>
  <c r="H228" i="21"/>
  <c r="H227" i="21"/>
  <c r="H226" i="21"/>
  <c r="H225" i="21"/>
  <c r="H224" i="21"/>
  <c r="H223" i="21"/>
  <c r="H222" i="21"/>
  <c r="H221" i="21"/>
  <c r="H220" i="21"/>
  <c r="H219" i="21"/>
  <c r="H218" i="21"/>
  <c r="H217" i="21"/>
  <c r="H216" i="21"/>
  <c r="H215" i="21"/>
  <c r="H214" i="21"/>
  <c r="H213" i="21"/>
  <c r="H212" i="21"/>
  <c r="H211" i="21"/>
  <c r="H210" i="21"/>
  <c r="B233" i="21"/>
  <c r="B232" i="21"/>
  <c r="B231" i="21"/>
  <c r="B230" i="21"/>
  <c r="B229" i="21"/>
  <c r="B228" i="21"/>
  <c r="B227" i="21"/>
  <c r="B226" i="21"/>
  <c r="B225" i="21"/>
  <c r="B224" i="21"/>
  <c r="B223" i="21"/>
  <c r="B222" i="21"/>
  <c r="B221" i="21"/>
  <c r="B220" i="21"/>
  <c r="B219" i="21"/>
  <c r="B218" i="21"/>
  <c r="B217" i="21"/>
  <c r="B216" i="21"/>
  <c r="B215" i="21"/>
  <c r="B214" i="21"/>
  <c r="B213" i="21"/>
  <c r="B212" i="21"/>
  <c r="B211" i="21"/>
  <c r="B210" i="21"/>
  <c r="H209" i="21"/>
  <c r="H208" i="21"/>
  <c r="H207" i="21"/>
  <c r="H206" i="21"/>
  <c r="H205" i="21"/>
  <c r="H204" i="21"/>
  <c r="H203" i="21"/>
  <c r="H202" i="21"/>
  <c r="H201" i="21"/>
  <c r="H200" i="21"/>
  <c r="H199" i="21"/>
  <c r="H198" i="21"/>
  <c r="H197" i="21"/>
  <c r="H196" i="21"/>
  <c r="H195" i="21"/>
  <c r="H194" i="21"/>
  <c r="H193" i="21"/>
  <c r="H192" i="21"/>
  <c r="H191" i="21"/>
  <c r="H190" i="21"/>
  <c r="H189" i="21"/>
  <c r="H188" i="21"/>
  <c r="H187" i="21"/>
  <c r="H186" i="21"/>
  <c r="H185"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H184" i="21"/>
  <c r="H183" i="21"/>
  <c r="H182" i="21"/>
  <c r="H181" i="21"/>
  <c r="H180" i="21"/>
  <c r="H179" i="21"/>
  <c r="H178" i="21"/>
  <c r="H177" i="21"/>
  <c r="H176" i="21"/>
  <c r="H175" i="21"/>
  <c r="H174" i="21"/>
  <c r="H173" i="21"/>
  <c r="H172" i="21"/>
  <c r="H171" i="21"/>
  <c r="H170" i="21"/>
  <c r="H169" i="21"/>
  <c r="H168" i="21"/>
  <c r="H167" i="21"/>
  <c r="H166" i="21"/>
  <c r="H165" i="21"/>
  <c r="H164" i="21"/>
  <c r="H163" i="21"/>
  <c r="H162" i="21"/>
  <c r="H161" i="21"/>
  <c r="H160"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H159" i="21"/>
  <c r="H158" i="21"/>
  <c r="H157" i="21"/>
  <c r="H156" i="21"/>
  <c r="H155" i="21"/>
  <c r="H154" i="21"/>
  <c r="H153" i="21"/>
  <c r="H152" i="21"/>
  <c r="H151" i="21"/>
  <c r="H150" i="21"/>
  <c r="H149" i="21"/>
  <c r="H148" i="21"/>
  <c r="H147" i="21"/>
  <c r="H146" i="21"/>
  <c r="H145" i="21"/>
  <c r="H144" i="21"/>
  <c r="H143" i="21"/>
  <c r="H142" i="21"/>
  <c r="H141" i="21"/>
  <c r="H140" i="21"/>
  <c r="H139" i="21"/>
  <c r="H138" i="21"/>
  <c r="H137" i="21"/>
  <c r="H136" i="21"/>
  <c r="H135" i="21"/>
  <c r="B159" i="21"/>
  <c r="B158" i="21"/>
  <c r="B157" i="21"/>
  <c r="B156" i="21"/>
  <c r="B155" i="21"/>
  <c r="B154" i="21"/>
  <c r="B153" i="21"/>
  <c r="B152" i="21"/>
  <c r="B151" i="21"/>
  <c r="B150" i="21"/>
  <c r="B149" i="21"/>
  <c r="B148" i="21"/>
  <c r="B147" i="21"/>
  <c r="B146" i="21"/>
  <c r="B145" i="21"/>
  <c r="B144" i="21"/>
  <c r="B143" i="21"/>
  <c r="B142" i="21"/>
  <c r="B141" i="21"/>
  <c r="B140" i="21"/>
  <c r="B139" i="21"/>
  <c r="B138" i="21"/>
  <c r="B137" i="21"/>
  <c r="B136" i="21"/>
  <c r="B135" i="21"/>
  <c r="H134" i="21"/>
  <c r="H133" i="21"/>
  <c r="H132" i="21"/>
  <c r="H131" i="21"/>
  <c r="H130" i="21"/>
  <c r="H129" i="21"/>
  <c r="H128" i="21"/>
  <c r="H127" i="21"/>
  <c r="H126" i="21"/>
  <c r="H125" i="21"/>
  <c r="H124" i="21"/>
  <c r="H123" i="21"/>
  <c r="H122" i="21"/>
  <c r="H121" i="21"/>
  <c r="H120" i="21"/>
  <c r="H119" i="21"/>
  <c r="H118" i="21"/>
  <c r="H117" i="21"/>
  <c r="H116" i="21"/>
  <c r="H115" i="21"/>
  <c r="H114" i="21"/>
  <c r="H113" i="21"/>
  <c r="H112" i="21"/>
  <c r="H111" i="21"/>
  <c r="H110" i="21"/>
  <c r="B134" i="21"/>
  <c r="B133" i="21"/>
  <c r="B132" i="21"/>
  <c r="B131" i="21"/>
  <c r="B130" i="21"/>
  <c r="B129" i="21"/>
  <c r="B128" i="21"/>
  <c r="B127" i="21"/>
  <c r="B126" i="21"/>
  <c r="B125" i="21"/>
  <c r="B124" i="21"/>
  <c r="B123" i="21"/>
  <c r="B122" i="21"/>
  <c r="B121" i="21"/>
  <c r="B120" i="21"/>
  <c r="B119" i="21"/>
  <c r="B118" i="21"/>
  <c r="B117" i="21"/>
  <c r="B116" i="21"/>
  <c r="B115" i="21"/>
  <c r="B114" i="21"/>
  <c r="B113" i="21"/>
  <c r="B112" i="21"/>
  <c r="B111" i="21"/>
  <c r="B110" i="21"/>
  <c r="H109" i="21"/>
  <c r="H108" i="21"/>
  <c r="H107" i="21"/>
  <c r="H106" i="21"/>
  <c r="H105" i="21"/>
  <c r="H104" i="21"/>
  <c r="H103" i="21"/>
  <c r="H102" i="21"/>
  <c r="H101" i="21"/>
  <c r="H100" i="21"/>
  <c r="H99" i="21"/>
  <c r="H98" i="21"/>
  <c r="H97" i="21"/>
  <c r="H96" i="21"/>
  <c r="H95" i="21"/>
  <c r="H94" i="21"/>
  <c r="H93" i="21"/>
  <c r="H92" i="21"/>
  <c r="H91" i="21"/>
  <c r="H90" i="21"/>
  <c r="H89" i="21"/>
  <c r="H88" i="21"/>
  <c r="H87" i="21"/>
  <c r="H86" i="21"/>
  <c r="H85" i="21"/>
  <c r="B109" i="21"/>
  <c r="B108" i="21"/>
  <c r="B107" i="21"/>
  <c r="B106" i="21"/>
  <c r="B105" i="21"/>
  <c r="B104" i="21"/>
  <c r="B103" i="21"/>
  <c r="B102" i="21"/>
  <c r="B101" i="21"/>
  <c r="B100" i="21"/>
  <c r="B99" i="21"/>
  <c r="B98" i="21"/>
  <c r="B97" i="21"/>
  <c r="B96" i="21"/>
  <c r="B95" i="21"/>
  <c r="B94" i="21"/>
  <c r="B93" i="21"/>
  <c r="B92" i="21"/>
  <c r="B91" i="21"/>
  <c r="B90" i="21"/>
  <c r="B89" i="21"/>
  <c r="B88" i="21"/>
  <c r="B87" i="21"/>
  <c r="B86" i="21"/>
  <c r="B85" i="21"/>
  <c r="H80" i="21"/>
  <c r="H84" i="21"/>
  <c r="H83" i="21"/>
  <c r="H82" i="21"/>
  <c r="H81" i="21"/>
  <c r="H79" i="21"/>
  <c r="H78" i="21"/>
  <c r="H77" i="21"/>
  <c r="H76" i="21"/>
  <c r="H75" i="21"/>
  <c r="H74" i="21"/>
  <c r="H73" i="21"/>
  <c r="H72" i="21"/>
  <c r="H71" i="21"/>
  <c r="H70" i="21"/>
  <c r="H69" i="21"/>
  <c r="H68" i="21"/>
  <c r="H67" i="21"/>
  <c r="H66" i="21"/>
  <c r="H65" i="21"/>
  <c r="H64" i="21"/>
  <c r="H63" i="21"/>
  <c r="H62" i="21"/>
  <c r="H61" i="21"/>
  <c r="H60" i="21"/>
  <c r="B84" i="21"/>
  <c r="B83" i="21"/>
  <c r="B82" i="21"/>
  <c r="B81" i="21"/>
  <c r="B80" i="21"/>
  <c r="B79" i="21"/>
  <c r="B78" i="21"/>
  <c r="B77" i="21"/>
  <c r="B76" i="21"/>
  <c r="B75" i="21"/>
  <c r="B74" i="21"/>
  <c r="B73" i="21"/>
  <c r="B72" i="21"/>
  <c r="B71" i="21"/>
  <c r="B70" i="21"/>
  <c r="B69" i="21"/>
  <c r="B68" i="21"/>
  <c r="B67" i="21"/>
  <c r="B66" i="21"/>
  <c r="B65" i="21"/>
  <c r="B64" i="21"/>
  <c r="B63" i="21"/>
  <c r="B62" i="21"/>
  <c r="B61" i="21"/>
  <c r="B60" i="21"/>
  <c r="H59" i="21" l="1"/>
  <c r="H58" i="21"/>
  <c r="H57" i="21"/>
  <c r="H56" i="21"/>
  <c r="H55" i="21"/>
  <c r="H54"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H21" i="21"/>
  <c r="H20" i="21"/>
  <c r="H19" i="21"/>
  <c r="H18" i="21"/>
  <c r="H17" i="21"/>
  <c r="H16" i="21"/>
  <c r="H15" i="21"/>
  <c r="H14" i="21"/>
  <c r="H13" i="21"/>
  <c r="H12" i="21"/>
  <c r="B34" i="21"/>
  <c r="B33" i="21"/>
  <c r="B32" i="21"/>
  <c r="B31" i="21"/>
  <c r="B30" i="21"/>
  <c r="B29" i="21"/>
  <c r="B28" i="21"/>
  <c r="B27" i="21"/>
  <c r="B26" i="21"/>
  <c r="B25" i="21"/>
  <c r="B24" i="21"/>
  <c r="B23" i="21"/>
  <c r="B22" i="21"/>
  <c r="B21" i="21"/>
  <c r="B19" i="21"/>
  <c r="B20" i="21"/>
  <c r="B18" i="21"/>
  <c r="B17" i="21"/>
  <c r="B16" i="21"/>
  <c r="B15" i="21"/>
  <c r="H11" i="21" l="1"/>
  <c r="B14" i="21"/>
  <c r="B13" i="21"/>
  <c r="B12" i="21"/>
  <c r="B11" i="21"/>
  <c r="B10" i="21"/>
  <c r="W9" i="20"/>
  <c r="W15" i="20" l="1"/>
  <c r="W8" i="20"/>
  <c r="Z72" i="17" l="1"/>
  <c r="X72" i="17"/>
  <c r="V72" i="17"/>
  <c r="T72" i="17"/>
  <c r="R72" i="17"/>
  <c r="P72" i="17"/>
  <c r="N72" i="17"/>
  <c r="L72" i="17"/>
  <c r="J72" i="17"/>
  <c r="H72" i="17"/>
  <c r="F72" i="17"/>
  <c r="D72" i="17"/>
  <c r="Z71" i="17"/>
  <c r="X71" i="17"/>
  <c r="V71" i="17"/>
  <c r="T71" i="17"/>
  <c r="R71" i="17"/>
  <c r="P71" i="17"/>
  <c r="N71" i="17"/>
  <c r="L71" i="17"/>
  <c r="J71" i="17"/>
  <c r="H71" i="17"/>
  <c r="F71" i="17"/>
  <c r="D71" i="17"/>
  <c r="Z70" i="17"/>
  <c r="X70" i="17"/>
  <c r="V70" i="17"/>
  <c r="T70" i="17"/>
  <c r="R70" i="17"/>
  <c r="P70" i="17"/>
  <c r="N70" i="17"/>
  <c r="L70" i="17"/>
  <c r="H70" i="17"/>
  <c r="J70" i="17"/>
  <c r="F70" i="17"/>
  <c r="D70" i="17"/>
  <c r="Z69" i="17"/>
  <c r="X69" i="17"/>
  <c r="V69" i="17"/>
  <c r="T69" i="17"/>
  <c r="R69" i="17"/>
  <c r="P69" i="17"/>
  <c r="N69" i="17"/>
  <c r="L69" i="17"/>
  <c r="J69" i="17"/>
  <c r="H69" i="17"/>
  <c r="F69" i="17"/>
  <c r="D69" i="17"/>
  <c r="F64" i="17"/>
  <c r="D64" i="17"/>
  <c r="AB70" i="17" l="1"/>
  <c r="AB71" i="17"/>
  <c r="AB72" i="17"/>
  <c r="AB69" i="17"/>
  <c r="D63" i="17"/>
  <c r="F63" i="17"/>
  <c r="D62" i="17"/>
  <c r="F62" i="17"/>
  <c r="Z65" i="17" l="1"/>
  <c r="X65" i="17"/>
  <c r="V65" i="17"/>
  <c r="T65" i="17"/>
  <c r="R65" i="17"/>
  <c r="P65" i="17"/>
  <c r="N65" i="17"/>
  <c r="L65" i="17"/>
  <c r="J65" i="17"/>
  <c r="H65" i="17"/>
  <c r="AB64" i="17"/>
  <c r="F65" i="17"/>
  <c r="AB63" i="17"/>
  <c r="D65" i="17"/>
  <c r="AB62" i="17"/>
  <c r="AB65" i="17" l="1"/>
  <c r="AE53" i="17" l="1"/>
  <c r="AE52" i="17"/>
  <c r="AE51" i="17"/>
  <c r="AE50" i="17"/>
  <c r="AE49" i="17"/>
  <c r="AE47" i="17"/>
  <c r="AE46" i="17"/>
  <c r="R46" i="17"/>
  <c r="R51" i="17"/>
  <c r="R50" i="17"/>
  <c r="R49" i="17"/>
  <c r="R48" i="17"/>
  <c r="R47" i="17"/>
  <c r="I46" i="17"/>
  <c r="I57" i="17"/>
  <c r="F57" i="17"/>
  <c r="I56" i="17"/>
  <c r="F56" i="17"/>
  <c r="I55" i="17"/>
  <c r="F55" i="17"/>
  <c r="I54" i="17"/>
  <c r="F54" i="17"/>
  <c r="I53" i="17"/>
  <c r="F53" i="17"/>
  <c r="I52" i="17"/>
  <c r="F52" i="17"/>
  <c r="I51" i="17"/>
  <c r="I50" i="17"/>
  <c r="F50" i="17"/>
  <c r="I49" i="17"/>
  <c r="F48" i="17"/>
  <c r="I47" i="17"/>
  <c r="F47" i="17"/>
  <c r="F46" i="17"/>
  <c r="Y39" i="17"/>
  <c r="AC39" i="17"/>
  <c r="S39" i="17"/>
  <c r="S40" i="17"/>
  <c r="N39" i="17"/>
  <c r="N40" i="17"/>
  <c r="I39" i="17"/>
  <c r="I40" i="17"/>
  <c r="D41" i="17"/>
  <c r="D40" i="17"/>
  <c r="R55" i="17" l="1"/>
  <c r="I41" i="17"/>
  <c r="S41" i="17"/>
  <c r="F58" i="17"/>
  <c r="I58" i="17"/>
  <c r="N42" i="17"/>
  <c r="Y41" i="17"/>
  <c r="AC41" i="17"/>
  <c r="BB15" i="8"/>
  <c r="BB16" i="8"/>
  <c r="BB17" i="8"/>
  <c r="BB18" i="8" s="1"/>
  <c r="AZ18" i="8"/>
  <c r="BA18" i="8"/>
  <c r="BB19" i="8"/>
  <c r="BB20" i="8"/>
  <c r="BB21" i="8"/>
  <c r="AZ22" i="8"/>
  <c r="BA22" i="8"/>
  <c r="BB23" i="8"/>
  <c r="BB24" i="8"/>
  <c r="BB25" i="8"/>
  <c r="AZ26" i="8"/>
  <c r="BA26" i="8"/>
  <c r="BB27" i="8"/>
  <c r="BB28" i="8"/>
  <c r="BB29" i="8"/>
  <c r="AZ30" i="8"/>
  <c r="BA30" i="8"/>
  <c r="BB31" i="8"/>
  <c r="BB32" i="8"/>
  <c r="BB33" i="8"/>
  <c r="AZ34" i="8"/>
  <c r="BA34" i="8"/>
  <c r="BB35" i="8"/>
  <c r="BB36" i="8"/>
  <c r="BB37" i="8"/>
  <c r="AZ38" i="8"/>
  <c r="BA38" i="8"/>
  <c r="BB39" i="8"/>
  <c r="BB40" i="8"/>
  <c r="BB41" i="8"/>
  <c r="AZ42" i="8"/>
  <c r="BA42" i="8"/>
  <c r="BB43" i="8"/>
  <c r="BB44" i="8"/>
  <c r="BB45" i="8"/>
  <c r="AZ46" i="8"/>
  <c r="BA46" i="8"/>
  <c r="BB47" i="8"/>
  <c r="BB48" i="8"/>
  <c r="BB49" i="8"/>
  <c r="AZ50" i="8"/>
  <c r="BA50" i="8"/>
  <c r="BB51" i="8"/>
  <c r="BB52" i="8"/>
  <c r="BB53" i="8"/>
  <c r="AZ54" i="8"/>
  <c r="BA54" i="8"/>
  <c r="BB55" i="8"/>
  <c r="BB56" i="8"/>
  <c r="BB57" i="8"/>
  <c r="AZ58" i="8"/>
  <c r="BA58" i="8"/>
  <c r="BB59" i="8"/>
  <c r="BB60" i="8"/>
  <c r="BB61" i="8"/>
  <c r="AZ62" i="8"/>
  <c r="BA62" i="8"/>
  <c r="BB63" i="8"/>
  <c r="BB64" i="8"/>
  <c r="BB65" i="8"/>
  <c r="AZ66" i="8"/>
  <c r="BA66" i="8"/>
  <c r="BB67" i="8"/>
  <c r="BB68" i="8"/>
  <c r="BB69" i="8"/>
  <c r="AZ70" i="8"/>
  <c r="BA70" i="8"/>
  <c r="BB71" i="8"/>
  <c r="BB72" i="8"/>
  <c r="BB73" i="8"/>
  <c r="AZ74" i="8"/>
  <c r="BA74" i="8"/>
  <c r="BB75" i="8"/>
  <c r="BB76" i="8"/>
  <c r="BB77" i="8"/>
  <c r="AZ78" i="8"/>
  <c r="BA78" i="8"/>
  <c r="BB79" i="8"/>
  <c r="BB80" i="8"/>
  <c r="BB81" i="8"/>
  <c r="AZ82" i="8"/>
  <c r="BA82" i="8"/>
  <c r="BB83" i="8"/>
  <c r="BB84" i="8"/>
  <c r="BB85" i="8"/>
  <c r="AZ86" i="8"/>
  <c r="BA86" i="8"/>
  <c r="BB87" i="8"/>
  <c r="BB88" i="8"/>
  <c r="BB89" i="8"/>
  <c r="AZ90" i="8"/>
  <c r="BA90" i="8"/>
  <c r="BB91" i="8"/>
  <c r="BB92" i="8"/>
  <c r="BB93" i="8"/>
  <c r="AZ94" i="8"/>
  <c r="BA94" i="8"/>
  <c r="BB95" i="8"/>
  <c r="BB96" i="8"/>
  <c r="BB97" i="8"/>
  <c r="AZ98" i="8"/>
  <c r="BA98" i="8"/>
  <c r="BB99" i="8"/>
  <c r="BB100" i="8"/>
  <c r="BB101" i="8"/>
  <c r="AZ102" i="8"/>
  <c r="BA102" i="8"/>
  <c r="BB103" i="8"/>
  <c r="BB104" i="8"/>
  <c r="BB105" i="8"/>
  <c r="AZ106" i="8"/>
  <c r="BA106" i="8"/>
  <c r="BB107" i="8"/>
  <c r="BB108" i="8"/>
  <c r="BB109" i="8"/>
  <c r="AZ110" i="8"/>
  <c r="BA110" i="8"/>
  <c r="BB111" i="8"/>
  <c r="BB112" i="8"/>
  <c r="BB113" i="8"/>
  <c r="AZ114" i="8"/>
  <c r="BA114" i="8"/>
  <c r="BB115" i="8"/>
  <c r="BB116" i="8"/>
  <c r="BB117" i="8"/>
  <c r="AZ118" i="8"/>
  <c r="BA118" i="8"/>
  <c r="BB119" i="8"/>
  <c r="BB120" i="8"/>
  <c r="BB121" i="8"/>
  <c r="AZ122" i="8"/>
  <c r="BA122" i="8"/>
  <c r="BB123" i="8"/>
  <c r="BB124" i="8"/>
  <c r="BB125" i="8"/>
  <c r="AZ126" i="8"/>
  <c r="BA126" i="8"/>
  <c r="BB127" i="8"/>
  <c r="BB128" i="8"/>
  <c r="BB129" i="8"/>
  <c r="AZ130" i="8"/>
  <c r="BA130" i="8"/>
  <c r="BB131" i="8"/>
  <c r="BB132" i="8"/>
  <c r="BB133" i="8"/>
  <c r="AZ134" i="8"/>
  <c r="BA134" i="8"/>
  <c r="BB135" i="8"/>
  <c r="BB136" i="8"/>
  <c r="BB137" i="8"/>
  <c r="AZ138" i="8"/>
  <c r="BA138" i="8"/>
  <c r="BB139" i="8"/>
  <c r="BB140" i="8"/>
  <c r="BB141" i="8"/>
  <c r="AZ142" i="8"/>
  <c r="BA142" i="8"/>
  <c r="BB143" i="8"/>
  <c r="BB144" i="8"/>
  <c r="BB145" i="8"/>
  <c r="AZ146" i="8"/>
  <c r="BA146" i="8"/>
  <c r="BB147" i="8"/>
  <c r="BB148" i="8"/>
  <c r="BB149" i="8"/>
  <c r="AZ150" i="8"/>
  <c r="BA150" i="8"/>
  <c r="BB151" i="8"/>
  <c r="BB152" i="8"/>
  <c r="BB153" i="8"/>
  <c r="AZ154" i="8"/>
  <c r="BA154" i="8"/>
  <c r="BB155" i="8"/>
  <c r="BB156" i="8"/>
  <c r="BB157" i="8"/>
  <c r="AZ158" i="8"/>
  <c r="BA158" i="8"/>
  <c r="BB159" i="8"/>
  <c r="BB160" i="8"/>
  <c r="BB161" i="8"/>
  <c r="AZ162" i="8"/>
  <c r="BA162" i="8"/>
  <c r="BB163" i="8"/>
  <c r="BB164" i="8"/>
  <c r="BB165" i="8"/>
  <c r="AZ166" i="8"/>
  <c r="BA166" i="8"/>
  <c r="BB167" i="8"/>
  <c r="BB168" i="8"/>
  <c r="BB169" i="8"/>
  <c r="AZ170" i="8"/>
  <c r="BA170" i="8"/>
  <c r="BB171" i="8"/>
  <c r="BB172" i="8"/>
  <c r="BB173" i="8"/>
  <c r="AZ174" i="8"/>
  <c r="BA174" i="8"/>
  <c r="BB175" i="8"/>
  <c r="BB176" i="8"/>
  <c r="BB177" i="8"/>
  <c r="AZ178" i="8"/>
  <c r="BA178" i="8"/>
  <c r="BB179" i="8"/>
  <c r="BB180" i="8"/>
  <c r="BB181" i="8"/>
  <c r="AZ182" i="8"/>
  <c r="BA182" i="8"/>
  <c r="BB183" i="8"/>
  <c r="BB184" i="8"/>
  <c r="BB185" i="8"/>
  <c r="AZ186" i="8"/>
  <c r="BA186" i="8"/>
  <c r="BB187" i="8"/>
  <c r="BB188" i="8"/>
  <c r="BB189" i="8"/>
  <c r="AZ190" i="8"/>
  <c r="BA190" i="8"/>
  <c r="BB191" i="8"/>
  <c r="BB192" i="8"/>
  <c r="BB193" i="8"/>
  <c r="AZ194" i="8"/>
  <c r="BA194" i="8"/>
  <c r="BB195" i="8"/>
  <c r="BB196" i="8"/>
  <c r="BB197" i="8"/>
  <c r="AZ198" i="8"/>
  <c r="BA198" i="8"/>
  <c r="BB199" i="8"/>
  <c r="BB200" i="8"/>
  <c r="BB201" i="8"/>
  <c r="AZ202" i="8"/>
  <c r="BA202" i="8"/>
  <c r="BB203" i="8"/>
  <c r="BB204" i="8"/>
  <c r="BB205" i="8"/>
  <c r="AZ206" i="8"/>
  <c r="BA206" i="8"/>
  <c r="BB207" i="8"/>
  <c r="BB208" i="8"/>
  <c r="BB209" i="8"/>
  <c r="AZ210" i="8"/>
  <c r="BA210" i="8"/>
  <c r="BB211" i="8"/>
  <c r="BB212" i="8"/>
  <c r="BB213" i="8"/>
  <c r="AZ214" i="8"/>
  <c r="BA214" i="8"/>
  <c r="BB215" i="8"/>
  <c r="BB216" i="8"/>
  <c r="BB217" i="8"/>
  <c r="AZ218" i="8"/>
  <c r="BA218" i="8"/>
  <c r="BB219" i="8"/>
  <c r="BB220" i="8"/>
  <c r="BB221" i="8"/>
  <c r="AZ222" i="8"/>
  <c r="BA222" i="8"/>
  <c r="BB223" i="8"/>
  <c r="BB224" i="8"/>
  <c r="BB225" i="8"/>
  <c r="AZ226" i="8"/>
  <c r="BA226" i="8"/>
  <c r="BB227" i="8"/>
  <c r="BB228" i="8"/>
  <c r="BB229" i="8"/>
  <c r="AZ230" i="8"/>
  <c r="BA230" i="8"/>
  <c r="BB231" i="8"/>
  <c r="BB232" i="8"/>
  <c r="BB233" i="8"/>
  <c r="AZ234" i="8"/>
  <c r="BA234" i="8"/>
  <c r="BB235" i="8"/>
  <c r="BB236" i="8"/>
  <c r="BB237" i="8"/>
  <c r="AZ238" i="8"/>
  <c r="BA238" i="8"/>
  <c r="BB239" i="8"/>
  <c r="BB240" i="8"/>
  <c r="BB241" i="8"/>
  <c r="AZ242" i="8"/>
  <c r="BA242" i="8"/>
  <c r="BB243" i="8"/>
  <c r="BB244" i="8"/>
  <c r="BB245" i="8"/>
  <c r="AZ246" i="8"/>
  <c r="BA246" i="8"/>
  <c r="BB247" i="8"/>
  <c r="BB248" i="8"/>
  <c r="BB249" i="8"/>
  <c r="AZ250" i="8"/>
  <c r="BA250" i="8"/>
  <c r="BB251" i="8"/>
  <c r="BB252" i="8"/>
  <c r="BB253" i="8"/>
  <c r="AZ254" i="8"/>
  <c r="BA254" i="8"/>
  <c r="BB255" i="8"/>
  <c r="BB256" i="8"/>
  <c r="BB257" i="8"/>
  <c r="AZ258" i="8"/>
  <c r="BA258" i="8"/>
  <c r="BB259" i="8"/>
  <c r="BB260" i="8"/>
  <c r="BB261" i="8"/>
  <c r="AZ262" i="8"/>
  <c r="BA262" i="8"/>
  <c r="BB263" i="8"/>
  <c r="BB264" i="8"/>
  <c r="BB265" i="8"/>
  <c r="AZ266" i="8"/>
  <c r="BA266" i="8"/>
  <c r="BB267" i="8"/>
  <c r="BB268" i="8"/>
  <c r="BB269" i="8"/>
  <c r="BB270" i="8" s="1"/>
  <c r="AZ270" i="8"/>
  <c r="BA270" i="8"/>
  <c r="BB271" i="8"/>
  <c r="BB272" i="8"/>
  <c r="BB273" i="8"/>
  <c r="AZ274" i="8"/>
  <c r="BA274" i="8"/>
  <c r="BB275" i="8"/>
  <c r="BB276" i="8"/>
  <c r="BB277" i="8"/>
  <c r="AZ278" i="8"/>
  <c r="BA278" i="8"/>
  <c r="BB279" i="8"/>
  <c r="BB280" i="8"/>
  <c r="BB281" i="8"/>
  <c r="AZ282" i="8"/>
  <c r="BA282" i="8"/>
  <c r="BB283" i="8"/>
  <c r="BB284" i="8"/>
  <c r="BB285" i="8"/>
  <c r="AZ286" i="8"/>
  <c r="BA286" i="8"/>
  <c r="BB287" i="8"/>
  <c r="BB288" i="8"/>
  <c r="BB289" i="8"/>
  <c r="AZ290" i="8"/>
  <c r="BA290" i="8"/>
  <c r="BB291" i="8"/>
  <c r="BB292" i="8"/>
  <c r="BB293" i="8"/>
  <c r="AZ294" i="8"/>
  <c r="BA294" i="8"/>
  <c r="BB295" i="8"/>
  <c r="BB296" i="8"/>
  <c r="BB297" i="8"/>
  <c r="AZ298" i="8"/>
  <c r="BA298" i="8"/>
  <c r="BB299" i="8"/>
  <c r="BB300" i="8"/>
  <c r="BB301" i="8"/>
  <c r="AZ302" i="8"/>
  <c r="BA302" i="8"/>
  <c r="BB303" i="8"/>
  <c r="BB304" i="8"/>
  <c r="BB305" i="8"/>
  <c r="AZ306" i="8"/>
  <c r="BA306" i="8"/>
  <c r="BB307" i="8"/>
  <c r="BB308" i="8"/>
  <c r="BB309" i="8"/>
  <c r="AZ310" i="8"/>
  <c r="BA310" i="8"/>
  <c r="BB311" i="8"/>
  <c r="BB312" i="8"/>
  <c r="BB313" i="8"/>
  <c r="AZ314" i="8"/>
  <c r="BA314" i="8"/>
  <c r="BB315" i="8"/>
  <c r="BB316" i="8"/>
  <c r="BB317" i="8"/>
  <c r="AZ318" i="8"/>
  <c r="BA318" i="8"/>
  <c r="BB319" i="8"/>
  <c r="BB320" i="8"/>
  <c r="BB321" i="8"/>
  <c r="AZ322" i="8"/>
  <c r="BA322" i="8"/>
  <c r="BB323" i="8"/>
  <c r="BB324" i="8"/>
  <c r="BB325" i="8"/>
  <c r="AZ326" i="8"/>
  <c r="BA326" i="8"/>
  <c r="BB327" i="8"/>
  <c r="BB328" i="8"/>
  <c r="BB329" i="8"/>
  <c r="AZ330" i="8"/>
  <c r="BA330" i="8"/>
  <c r="BB331" i="8"/>
  <c r="BB332" i="8"/>
  <c r="BB333" i="8"/>
  <c r="AZ334" i="8"/>
  <c r="BA334" i="8"/>
  <c r="BB335" i="8"/>
  <c r="BB336" i="8"/>
  <c r="BB337" i="8"/>
  <c r="AZ338" i="8"/>
  <c r="BA338" i="8"/>
  <c r="BB339" i="8"/>
  <c r="BB340" i="8"/>
  <c r="BB341" i="8"/>
  <c r="AZ342" i="8"/>
  <c r="BA342" i="8"/>
  <c r="BB343" i="8"/>
  <c r="BB344" i="8"/>
  <c r="BB345" i="8"/>
  <c r="AZ346" i="8"/>
  <c r="BA346" i="8"/>
  <c r="BB347" i="8"/>
  <c r="BB348" i="8"/>
  <c r="BB349" i="8"/>
  <c r="BB350" i="8" s="1"/>
  <c r="AZ350" i="8"/>
  <c r="BA350" i="8"/>
  <c r="BB351" i="8"/>
  <c r="BB352" i="8"/>
  <c r="BB353" i="8"/>
  <c r="AZ354" i="8"/>
  <c r="BA354" i="8"/>
  <c r="BB355" i="8"/>
  <c r="BB356" i="8"/>
  <c r="BB357" i="8"/>
  <c r="AZ358" i="8"/>
  <c r="BA358" i="8"/>
  <c r="BB359" i="8"/>
  <c r="BB360" i="8"/>
  <c r="BB361" i="8"/>
  <c r="AZ362" i="8"/>
  <c r="BA362" i="8"/>
  <c r="BB363" i="8"/>
  <c r="BB364" i="8"/>
  <c r="BB365" i="8"/>
  <c r="AZ366" i="8"/>
  <c r="BA366" i="8"/>
  <c r="BB367" i="8"/>
  <c r="BB368" i="8"/>
  <c r="BB369" i="8"/>
  <c r="AZ370" i="8"/>
  <c r="BA370" i="8"/>
  <c r="BB371" i="8"/>
  <c r="BB372" i="8"/>
  <c r="BB373" i="8"/>
  <c r="AZ374" i="8"/>
  <c r="BA374" i="8"/>
  <c r="BB375" i="8"/>
  <c r="BB376" i="8"/>
  <c r="BB377" i="8"/>
  <c r="AZ378" i="8"/>
  <c r="BA378" i="8"/>
  <c r="BB379" i="8"/>
  <c r="BB380" i="8"/>
  <c r="BB381" i="8"/>
  <c r="AZ382" i="8"/>
  <c r="BA382" i="8"/>
  <c r="BB383" i="8"/>
  <c r="BB384" i="8"/>
  <c r="BB385" i="8"/>
  <c r="AZ386" i="8"/>
  <c r="BA386" i="8"/>
  <c r="BB387" i="8"/>
  <c r="BB388" i="8"/>
  <c r="BB389" i="8"/>
  <c r="AZ390" i="8"/>
  <c r="BA390" i="8"/>
  <c r="BB391" i="8"/>
  <c r="BB392" i="8"/>
  <c r="BB393" i="8"/>
  <c r="AZ394" i="8"/>
  <c r="BA394" i="8"/>
  <c r="BB395" i="8"/>
  <c r="BB396" i="8"/>
  <c r="BB397" i="8"/>
  <c r="AZ398" i="8"/>
  <c r="BA398" i="8"/>
  <c r="BB399" i="8"/>
  <c r="BB400" i="8"/>
  <c r="BB401" i="8"/>
  <c r="AZ402" i="8"/>
  <c r="BA402" i="8"/>
  <c r="BB403" i="8"/>
  <c r="BB404" i="8"/>
  <c r="BB405" i="8"/>
  <c r="AZ406" i="8"/>
  <c r="BA406" i="8"/>
  <c r="BB407" i="8"/>
  <c r="BB408" i="8"/>
  <c r="BB409" i="8"/>
  <c r="AZ410" i="8"/>
  <c r="BA410" i="8"/>
  <c r="BB411" i="8"/>
  <c r="BB412" i="8"/>
  <c r="BB413" i="8"/>
  <c r="AZ414" i="8"/>
  <c r="BA414" i="8"/>
  <c r="BB415" i="8"/>
  <c r="BB416" i="8"/>
  <c r="BB417" i="8"/>
  <c r="AZ418" i="8"/>
  <c r="BA418" i="8"/>
  <c r="BB419" i="8"/>
  <c r="BB420" i="8"/>
  <c r="BB421" i="8"/>
  <c r="AZ422" i="8"/>
  <c r="BA422" i="8"/>
  <c r="BB423" i="8"/>
  <c r="BB424" i="8"/>
  <c r="BB425" i="8"/>
  <c r="AZ426" i="8"/>
  <c r="BA426" i="8"/>
  <c r="BB427" i="8"/>
  <c r="BB428" i="8"/>
  <c r="BB429" i="8"/>
  <c r="AZ430" i="8"/>
  <c r="BA430" i="8"/>
  <c r="BB431" i="8"/>
  <c r="BB432" i="8"/>
  <c r="BB433" i="8"/>
  <c r="AZ434" i="8"/>
  <c r="BA434" i="8"/>
  <c r="BB435" i="8"/>
  <c r="BB436" i="8"/>
  <c r="BB437" i="8"/>
  <c r="AZ438" i="8"/>
  <c r="BA438" i="8"/>
  <c r="BB439" i="8"/>
  <c r="BB440" i="8"/>
  <c r="BB441" i="8"/>
  <c r="AZ442" i="8"/>
  <c r="BA442" i="8"/>
  <c r="BB443" i="8"/>
  <c r="BB444" i="8"/>
  <c r="BB445" i="8"/>
  <c r="BB446" i="8" s="1"/>
  <c r="AZ446" i="8"/>
  <c r="BA446" i="8"/>
  <c r="BB447" i="8"/>
  <c r="BB448" i="8"/>
  <c r="BB449" i="8"/>
  <c r="AZ450" i="8"/>
  <c r="BA450" i="8"/>
  <c r="BB451" i="8"/>
  <c r="BB452" i="8"/>
  <c r="BB453" i="8"/>
  <c r="AZ454" i="8"/>
  <c r="BA454" i="8"/>
  <c r="BB455" i="8"/>
  <c r="BB456" i="8"/>
  <c r="BB457" i="8"/>
  <c r="AZ458" i="8"/>
  <c r="BA458" i="8"/>
  <c r="BB459" i="8"/>
  <c r="BB460" i="8"/>
  <c r="BB461" i="8"/>
  <c r="AZ462" i="8"/>
  <c r="BA462" i="8"/>
  <c r="BB463" i="8"/>
  <c r="BB464" i="8"/>
  <c r="BB465" i="8"/>
  <c r="AZ466" i="8"/>
  <c r="BA466" i="8"/>
  <c r="BB467" i="8"/>
  <c r="BB468" i="8"/>
  <c r="BB469" i="8"/>
  <c r="AZ470" i="8"/>
  <c r="BA470" i="8"/>
  <c r="BB471" i="8"/>
  <c r="BB472" i="8"/>
  <c r="BB473" i="8"/>
  <c r="AZ474" i="8"/>
  <c r="BA474" i="8"/>
  <c r="BB475" i="8"/>
  <c r="BB476" i="8"/>
  <c r="BB477" i="8"/>
  <c r="AZ478" i="8"/>
  <c r="BA478" i="8"/>
  <c r="BB479" i="8"/>
  <c r="BB480" i="8"/>
  <c r="BB481" i="8"/>
  <c r="AZ482" i="8"/>
  <c r="BA482" i="8"/>
  <c r="BB483" i="8"/>
  <c r="BB484" i="8"/>
  <c r="BB485" i="8"/>
  <c r="AZ486" i="8"/>
  <c r="BA486" i="8"/>
  <c r="BB487" i="8"/>
  <c r="BB488" i="8"/>
  <c r="BB489" i="8"/>
  <c r="AZ490" i="8"/>
  <c r="BA490" i="8"/>
  <c r="BB491" i="8"/>
  <c r="BB492" i="8"/>
  <c r="BB493" i="8"/>
  <c r="AZ494" i="8"/>
  <c r="BA494" i="8"/>
  <c r="BB495" i="8"/>
  <c r="BB496" i="8"/>
  <c r="BB497" i="8"/>
  <c r="AZ498" i="8"/>
  <c r="BA498" i="8"/>
  <c r="BB499" i="8"/>
  <c r="BB500" i="8"/>
  <c r="BB501" i="8"/>
  <c r="AZ502" i="8"/>
  <c r="BA502" i="8"/>
  <c r="BB503" i="8"/>
  <c r="BB504" i="8"/>
  <c r="BB505" i="8"/>
  <c r="AZ506" i="8"/>
  <c r="BA506" i="8"/>
  <c r="BB507" i="8"/>
  <c r="BB508" i="8"/>
  <c r="BB509" i="8"/>
  <c r="AZ510" i="8"/>
  <c r="BA510" i="8"/>
  <c r="BB511" i="8"/>
  <c r="BB512" i="8"/>
  <c r="BB513" i="8"/>
  <c r="AZ514" i="8"/>
  <c r="BA514" i="8"/>
  <c r="BB515" i="8"/>
  <c r="BB516" i="8"/>
  <c r="BB517" i="8"/>
  <c r="AZ518" i="8"/>
  <c r="BA518" i="8"/>
  <c r="BB519" i="8"/>
  <c r="BB520" i="8"/>
  <c r="BB521" i="8"/>
  <c r="AZ522" i="8"/>
  <c r="BA522" i="8"/>
  <c r="BB523" i="8"/>
  <c r="BB524" i="8"/>
  <c r="BB525" i="8"/>
  <c r="AZ526" i="8"/>
  <c r="BA526" i="8"/>
  <c r="BB527" i="8"/>
  <c r="BB528" i="8"/>
  <c r="BB529" i="8"/>
  <c r="AZ530" i="8"/>
  <c r="BA530" i="8"/>
  <c r="BB531" i="8"/>
  <c r="BB532" i="8"/>
  <c r="BB533" i="8"/>
  <c r="AZ534" i="8"/>
  <c r="BA534" i="8"/>
  <c r="BB535" i="8"/>
  <c r="BB536" i="8"/>
  <c r="BB537" i="8"/>
  <c r="AZ538" i="8"/>
  <c r="BA538" i="8"/>
  <c r="BB539" i="8"/>
  <c r="BB540" i="8"/>
  <c r="BB541" i="8"/>
  <c r="AZ542" i="8"/>
  <c r="BA542" i="8"/>
  <c r="BB543" i="8"/>
  <c r="BB544" i="8"/>
  <c r="BB545" i="8"/>
  <c r="AZ546" i="8"/>
  <c r="BA546" i="8"/>
  <c r="BB547" i="8"/>
  <c r="BB548" i="8"/>
  <c r="BB549" i="8"/>
  <c r="AZ550" i="8"/>
  <c r="BA550" i="8"/>
  <c r="BB551" i="8"/>
  <c r="BB552" i="8"/>
  <c r="BB553" i="8"/>
  <c r="AZ554" i="8"/>
  <c r="BA554" i="8"/>
  <c r="BB555" i="8"/>
  <c r="BB556" i="8"/>
  <c r="BB557" i="8"/>
  <c r="AZ558" i="8"/>
  <c r="BA558" i="8"/>
  <c r="BB559" i="8"/>
  <c r="BB560" i="8"/>
  <c r="BB561" i="8"/>
  <c r="AZ562" i="8"/>
  <c r="BA562" i="8"/>
  <c r="BB563" i="8"/>
  <c r="BB564" i="8"/>
  <c r="BB565" i="8"/>
  <c r="AZ566" i="8"/>
  <c r="BA566" i="8"/>
  <c r="BB567" i="8"/>
  <c r="BB568" i="8"/>
  <c r="BB569" i="8"/>
  <c r="AZ570" i="8"/>
  <c r="BA570" i="8"/>
  <c r="BB571" i="8"/>
  <c r="BB572" i="8"/>
  <c r="BB573" i="8"/>
  <c r="AZ574" i="8"/>
  <c r="BA574" i="8"/>
  <c r="BB575" i="8"/>
  <c r="BB576" i="8"/>
  <c r="BB577" i="8"/>
  <c r="AZ578" i="8"/>
  <c r="BA578" i="8"/>
  <c r="BB579" i="8"/>
  <c r="BB580" i="8"/>
  <c r="BB581" i="8"/>
  <c r="AZ582" i="8"/>
  <c r="BA582" i="8"/>
  <c r="BB583" i="8"/>
  <c r="BB584" i="8"/>
  <c r="BB585" i="8"/>
  <c r="AZ586" i="8"/>
  <c r="BA586" i="8"/>
  <c r="BB587" i="8"/>
  <c r="BB588" i="8"/>
  <c r="BB589" i="8"/>
  <c r="AZ590" i="8"/>
  <c r="BA590" i="8"/>
  <c r="BB591" i="8"/>
  <c r="BB592" i="8"/>
  <c r="BB593" i="8"/>
  <c r="AZ594" i="8"/>
  <c r="BA594" i="8"/>
  <c r="BB595" i="8"/>
  <c r="BB596" i="8"/>
  <c r="BB597" i="8"/>
  <c r="AZ598" i="8"/>
  <c r="BA598" i="8"/>
  <c r="BB599" i="8"/>
  <c r="BB600" i="8"/>
  <c r="BB601" i="8"/>
  <c r="AZ602" i="8"/>
  <c r="BA602" i="8"/>
  <c r="BB603" i="8"/>
  <c r="BB604" i="8"/>
  <c r="BB605" i="8"/>
  <c r="AZ606" i="8"/>
  <c r="BA606" i="8"/>
  <c r="BB607" i="8"/>
  <c r="BB608" i="8"/>
  <c r="BB609" i="8"/>
  <c r="AZ610" i="8"/>
  <c r="BA610" i="8"/>
  <c r="BB611" i="8"/>
  <c r="BB612" i="8"/>
  <c r="BB613" i="8"/>
  <c r="AZ614" i="8"/>
  <c r="BA614" i="8"/>
  <c r="BB615" i="8"/>
  <c r="BB616" i="8"/>
  <c r="BB617" i="8"/>
  <c r="AZ618" i="8"/>
  <c r="BA618" i="8"/>
  <c r="BB619" i="8"/>
  <c r="BB620" i="8"/>
  <c r="BB621" i="8"/>
  <c r="AZ622" i="8"/>
  <c r="BA622" i="8"/>
  <c r="BB623" i="8"/>
  <c r="BB624" i="8"/>
  <c r="BB625" i="8"/>
  <c r="AZ626" i="8"/>
  <c r="BA626" i="8"/>
  <c r="BB627" i="8"/>
  <c r="BB628" i="8"/>
  <c r="BB629" i="8"/>
  <c r="AZ630" i="8"/>
  <c r="BA630" i="8"/>
  <c r="BB631" i="8"/>
  <c r="BB632" i="8"/>
  <c r="BB633" i="8"/>
  <c r="BB634" i="8" s="1"/>
  <c r="AZ634" i="8"/>
  <c r="BA634" i="8"/>
  <c r="BB635" i="8"/>
  <c r="BB636" i="8"/>
  <c r="BB637" i="8"/>
  <c r="AZ638" i="8"/>
  <c r="BA638" i="8"/>
  <c r="BB639" i="8"/>
  <c r="BB640" i="8"/>
  <c r="BB641" i="8"/>
  <c r="AZ642" i="8"/>
  <c r="BA642" i="8"/>
  <c r="BB643" i="8"/>
  <c r="BB644" i="8"/>
  <c r="BB645" i="8"/>
  <c r="AZ646" i="8"/>
  <c r="BA646" i="8"/>
  <c r="BB647" i="8"/>
  <c r="BB648" i="8"/>
  <c r="BB649" i="8"/>
  <c r="AZ650" i="8"/>
  <c r="BA650" i="8"/>
  <c r="BB651" i="8"/>
  <c r="BB652" i="8"/>
  <c r="BB653" i="8"/>
  <c r="AZ654" i="8"/>
  <c r="BA654" i="8"/>
  <c r="BB655" i="8"/>
  <c r="BB656" i="8"/>
  <c r="BB657" i="8"/>
  <c r="AZ658" i="8"/>
  <c r="BA658" i="8"/>
  <c r="BB659" i="8"/>
  <c r="BB660" i="8"/>
  <c r="BB661" i="8"/>
  <c r="AZ662" i="8"/>
  <c r="BA662" i="8"/>
  <c r="BB663" i="8"/>
  <c r="BB664" i="8"/>
  <c r="BB665" i="8"/>
  <c r="AZ666" i="8"/>
  <c r="BA666" i="8"/>
  <c r="BB667" i="8"/>
  <c r="BB668" i="8"/>
  <c r="BB669" i="8"/>
  <c r="AZ670" i="8"/>
  <c r="BA670" i="8"/>
  <c r="BB671" i="8"/>
  <c r="BB672" i="8"/>
  <c r="BB673" i="8"/>
  <c r="AZ674" i="8"/>
  <c r="BA674" i="8"/>
  <c r="BB675" i="8"/>
  <c r="BB676" i="8"/>
  <c r="BB677" i="8"/>
  <c r="AZ678" i="8"/>
  <c r="BA678" i="8"/>
  <c r="BB679" i="8"/>
  <c r="BB680" i="8"/>
  <c r="BB681" i="8"/>
  <c r="AZ682" i="8"/>
  <c r="BA682" i="8"/>
  <c r="BB683" i="8"/>
  <c r="BB684" i="8"/>
  <c r="BB685" i="8"/>
  <c r="AZ686" i="8"/>
  <c r="BA686" i="8"/>
  <c r="BB687" i="8"/>
  <c r="BB688" i="8"/>
  <c r="BB689" i="8"/>
  <c r="AZ690" i="8"/>
  <c r="BA690" i="8"/>
  <c r="BB691" i="8"/>
  <c r="BB692" i="8"/>
  <c r="BB693" i="8"/>
  <c r="AZ694" i="8"/>
  <c r="BA694" i="8"/>
  <c r="BB695" i="8"/>
  <c r="BB696" i="8"/>
  <c r="BB697" i="8"/>
  <c r="AZ698" i="8"/>
  <c r="BA698" i="8"/>
  <c r="BB699" i="8"/>
  <c r="BB700" i="8"/>
  <c r="BB701" i="8"/>
  <c r="AZ702" i="8"/>
  <c r="BA702" i="8"/>
  <c r="BB703" i="8"/>
  <c r="BB704" i="8"/>
  <c r="BB705" i="8"/>
  <c r="AZ706" i="8"/>
  <c r="BA706" i="8"/>
  <c r="BB707" i="8"/>
  <c r="BB708" i="8"/>
  <c r="BB709" i="8"/>
  <c r="AZ710" i="8"/>
  <c r="BA710" i="8"/>
  <c r="BB711" i="8"/>
  <c r="BB712" i="8"/>
  <c r="BB713" i="8"/>
  <c r="AZ714" i="8"/>
  <c r="BA714" i="8"/>
  <c r="BB715" i="8"/>
  <c r="BB716" i="8"/>
  <c r="BB717" i="8"/>
  <c r="AZ718" i="8"/>
  <c r="BA718" i="8"/>
  <c r="BB719" i="8"/>
  <c r="BB720" i="8"/>
  <c r="BB721" i="8"/>
  <c r="AZ722" i="8"/>
  <c r="BA722" i="8"/>
  <c r="BB723" i="8"/>
  <c r="BB724" i="8"/>
  <c r="BB725" i="8"/>
  <c r="AZ726" i="8"/>
  <c r="BA726" i="8"/>
  <c r="BB727" i="8"/>
  <c r="BB728" i="8"/>
  <c r="BB729" i="8"/>
  <c r="AZ730" i="8"/>
  <c r="BA730" i="8"/>
  <c r="BB731" i="8"/>
  <c r="BB732" i="8"/>
  <c r="BB733" i="8"/>
  <c r="AZ734" i="8"/>
  <c r="BA734" i="8"/>
  <c r="BB735" i="8"/>
  <c r="BB736" i="8"/>
  <c r="BB737" i="8"/>
  <c r="AZ738" i="8"/>
  <c r="BA738" i="8"/>
  <c r="BB739" i="8"/>
  <c r="BB740" i="8"/>
  <c r="BB741" i="8"/>
  <c r="AZ742" i="8"/>
  <c r="BA742" i="8"/>
  <c r="BB743" i="8"/>
  <c r="BB744" i="8"/>
  <c r="BB745" i="8"/>
  <c r="AZ746" i="8"/>
  <c r="BA746" i="8"/>
  <c r="BB747" i="8"/>
  <c r="BB748" i="8"/>
  <c r="BB749" i="8"/>
  <c r="AZ750" i="8"/>
  <c r="BA750" i="8"/>
  <c r="BB751" i="8"/>
  <c r="BB752" i="8"/>
  <c r="BB753" i="8"/>
  <c r="AZ754" i="8"/>
  <c r="BA754" i="8"/>
  <c r="BB755" i="8"/>
  <c r="BB756" i="8"/>
  <c r="BB757" i="8"/>
  <c r="AZ758" i="8"/>
  <c r="BA758" i="8"/>
  <c r="BB759" i="8"/>
  <c r="BB760" i="8"/>
  <c r="BB761" i="8"/>
  <c r="AZ762" i="8"/>
  <c r="BA762" i="8"/>
  <c r="BB763" i="8"/>
  <c r="BB764" i="8"/>
  <c r="BB765" i="8"/>
  <c r="AZ766" i="8"/>
  <c r="BA766" i="8"/>
  <c r="BB767" i="8"/>
  <c r="BB768" i="8"/>
  <c r="BB769" i="8"/>
  <c r="AZ770" i="8"/>
  <c r="BA770" i="8"/>
  <c r="BB771" i="8"/>
  <c r="BB772" i="8"/>
  <c r="BB773" i="8"/>
  <c r="AZ774" i="8"/>
  <c r="BA774" i="8"/>
  <c r="BB774" i="8"/>
  <c r="BB775" i="8"/>
  <c r="BB776" i="8"/>
  <c r="BB777" i="8"/>
  <c r="AZ778" i="8"/>
  <c r="BA778" i="8"/>
  <c r="BB779" i="8"/>
  <c r="BB780" i="8"/>
  <c r="BB781" i="8"/>
  <c r="AZ782" i="8"/>
  <c r="BA782" i="8"/>
  <c r="BB783" i="8"/>
  <c r="BB784" i="8"/>
  <c r="BB785" i="8"/>
  <c r="AZ786" i="8"/>
  <c r="BA786" i="8"/>
  <c r="BB787" i="8"/>
  <c r="BB788" i="8"/>
  <c r="BB789" i="8"/>
  <c r="AZ790" i="8"/>
  <c r="BA790" i="8"/>
  <c r="BB791" i="8"/>
  <c r="BB792" i="8"/>
  <c r="BB793" i="8"/>
  <c r="AZ794" i="8"/>
  <c r="BA794" i="8"/>
  <c r="BB795" i="8"/>
  <c r="BB796" i="8"/>
  <c r="BB797" i="8"/>
  <c r="AZ798" i="8"/>
  <c r="BA798" i="8"/>
  <c r="BB799" i="8"/>
  <c r="BB800" i="8"/>
  <c r="BB801" i="8"/>
  <c r="AZ802" i="8"/>
  <c r="BA802" i="8"/>
  <c r="BB803" i="8"/>
  <c r="BB804" i="8"/>
  <c r="BB805" i="8"/>
  <c r="AZ806" i="8"/>
  <c r="BA806" i="8"/>
  <c r="BB807" i="8"/>
  <c r="BB808" i="8"/>
  <c r="BB809" i="8"/>
  <c r="AZ810" i="8"/>
  <c r="BA810" i="8"/>
  <c r="BB811" i="8"/>
  <c r="BB812" i="8"/>
  <c r="BB813" i="8"/>
  <c r="AZ814" i="8"/>
  <c r="BA814" i="8"/>
  <c r="BB815" i="8"/>
  <c r="BB816" i="8"/>
  <c r="BB817" i="8"/>
  <c r="AZ818" i="8"/>
  <c r="BA818" i="8"/>
  <c r="BB819" i="8"/>
  <c r="BB820" i="8"/>
  <c r="BB821" i="8"/>
  <c r="AZ822" i="8"/>
  <c r="BA822" i="8"/>
  <c r="BB823" i="8"/>
  <c r="BB824" i="8"/>
  <c r="BB825" i="8"/>
  <c r="AZ826" i="8"/>
  <c r="BA826" i="8"/>
  <c r="BB827" i="8"/>
  <c r="BB828" i="8"/>
  <c r="BB829" i="8"/>
  <c r="AZ830" i="8"/>
  <c r="BA830" i="8"/>
  <c r="BB831" i="8"/>
  <c r="BB832" i="8"/>
  <c r="BB833" i="8"/>
  <c r="AZ834" i="8"/>
  <c r="BA834" i="8"/>
  <c r="BB835" i="8"/>
  <c r="BB836" i="8"/>
  <c r="BB837" i="8"/>
  <c r="AZ838" i="8"/>
  <c r="BA838" i="8"/>
  <c r="BB839" i="8"/>
  <c r="BB840" i="8"/>
  <c r="BB841" i="8"/>
  <c r="AZ842" i="8"/>
  <c r="BA842" i="8"/>
  <c r="BB843" i="8"/>
  <c r="BB844" i="8"/>
  <c r="BB845" i="8"/>
  <c r="AZ846" i="8"/>
  <c r="BA846" i="8"/>
  <c r="BB847" i="8"/>
  <c r="BB848" i="8"/>
  <c r="BB849" i="8"/>
  <c r="AZ850" i="8"/>
  <c r="BA850" i="8"/>
  <c r="BB851" i="8"/>
  <c r="BB852" i="8"/>
  <c r="BB853" i="8"/>
  <c r="AZ854" i="8"/>
  <c r="BA854" i="8"/>
  <c r="BB855" i="8"/>
  <c r="BB856" i="8"/>
  <c r="BB857" i="8"/>
  <c r="AZ858" i="8"/>
  <c r="BA858" i="8"/>
  <c r="BB859" i="8"/>
  <c r="BB860" i="8"/>
  <c r="BB861" i="8"/>
  <c r="AZ862" i="8"/>
  <c r="BA862" i="8"/>
  <c r="BB863" i="8"/>
  <c r="BB864" i="8"/>
  <c r="BB865" i="8"/>
  <c r="AZ866" i="8"/>
  <c r="BA866" i="8"/>
  <c r="BB867" i="8"/>
  <c r="BB868" i="8"/>
  <c r="BB869" i="8"/>
  <c r="AZ870" i="8"/>
  <c r="BA870" i="8"/>
  <c r="BB871" i="8"/>
  <c r="BB872" i="8"/>
  <c r="BB873" i="8"/>
  <c r="AZ874" i="8"/>
  <c r="BA874" i="8"/>
  <c r="BB875" i="8"/>
  <c r="BB876" i="8"/>
  <c r="BB877" i="8"/>
  <c r="AZ878" i="8"/>
  <c r="BA878" i="8"/>
  <c r="BB879" i="8"/>
  <c r="BB880" i="8"/>
  <c r="BB881" i="8"/>
  <c r="AZ882" i="8"/>
  <c r="BA882" i="8"/>
  <c r="BB883" i="8"/>
  <c r="BB884" i="8"/>
  <c r="BB885" i="8"/>
  <c r="AZ886" i="8"/>
  <c r="BA886" i="8"/>
  <c r="BB887" i="8"/>
  <c r="BB888" i="8"/>
  <c r="BB889" i="8"/>
  <c r="AZ890" i="8"/>
  <c r="BA890" i="8"/>
  <c r="BB891" i="8"/>
  <c r="BB892" i="8"/>
  <c r="BB893" i="8"/>
  <c r="AZ894" i="8"/>
  <c r="BA894" i="8"/>
  <c r="BB895" i="8"/>
  <c r="BB896" i="8"/>
  <c r="BB897" i="8"/>
  <c r="AZ898" i="8"/>
  <c r="BA898" i="8"/>
  <c r="BB899" i="8"/>
  <c r="BB900" i="8"/>
  <c r="BB901" i="8"/>
  <c r="AZ902" i="8"/>
  <c r="BA902" i="8"/>
  <c r="BB903" i="8"/>
  <c r="BB904" i="8"/>
  <c r="BB905" i="8"/>
  <c r="AZ906" i="8"/>
  <c r="BA906" i="8"/>
  <c r="BB907" i="8"/>
  <c r="BB908" i="8"/>
  <c r="BB909" i="8"/>
  <c r="AZ910" i="8"/>
  <c r="BA910" i="8"/>
  <c r="BB911" i="8"/>
  <c r="BB912" i="8"/>
  <c r="BB913" i="8"/>
  <c r="AZ914" i="8"/>
  <c r="BA914" i="8"/>
  <c r="BB915" i="8"/>
  <c r="BB916" i="8"/>
  <c r="BB917" i="8"/>
  <c r="AZ918" i="8"/>
  <c r="BA918" i="8"/>
  <c r="BB919" i="8"/>
  <c r="BB920" i="8"/>
  <c r="BB921" i="8"/>
  <c r="AZ922" i="8"/>
  <c r="BA922" i="8"/>
  <c r="BB923" i="8"/>
  <c r="BB924" i="8"/>
  <c r="BB925" i="8"/>
  <c r="AZ926" i="8"/>
  <c r="BA926" i="8"/>
  <c r="BB927" i="8"/>
  <c r="BB928" i="8"/>
  <c r="BB929" i="8"/>
  <c r="AZ930" i="8"/>
  <c r="BA930" i="8"/>
  <c r="BB931" i="8"/>
  <c r="BB932" i="8"/>
  <c r="BB933" i="8"/>
  <c r="AZ934" i="8"/>
  <c r="BA934" i="8"/>
  <c r="BB935" i="8"/>
  <c r="BB936" i="8"/>
  <c r="BB937" i="8"/>
  <c r="AZ938" i="8"/>
  <c r="BA938" i="8"/>
  <c r="BB939" i="8"/>
  <c r="BB940" i="8"/>
  <c r="BB941" i="8"/>
  <c r="AZ942" i="8"/>
  <c r="BA942" i="8"/>
  <c r="BB943" i="8"/>
  <c r="BB944" i="8"/>
  <c r="BB945" i="8"/>
  <c r="AZ946" i="8"/>
  <c r="BA946" i="8"/>
  <c r="BB947" i="8"/>
  <c r="BB948" i="8"/>
  <c r="BB949" i="8"/>
  <c r="AZ950" i="8"/>
  <c r="BA950" i="8"/>
  <c r="BB951" i="8"/>
  <c r="BB952" i="8"/>
  <c r="BB953" i="8"/>
  <c r="AZ954" i="8"/>
  <c r="BA954" i="8"/>
  <c r="BB955" i="8"/>
  <c r="BB956" i="8"/>
  <c r="BB957" i="8"/>
  <c r="AZ958" i="8"/>
  <c r="BA958" i="8"/>
  <c r="BB959" i="8"/>
  <c r="BB960" i="8"/>
  <c r="BB961" i="8"/>
  <c r="AZ962" i="8"/>
  <c r="BA962" i="8"/>
  <c r="BB963" i="8"/>
  <c r="BB964" i="8"/>
  <c r="BB965" i="8"/>
  <c r="AZ966" i="8"/>
  <c r="BA966" i="8"/>
  <c r="BB967" i="8"/>
  <c r="BB968" i="8"/>
  <c r="BB969" i="8"/>
  <c r="AZ970" i="8"/>
  <c r="BA970" i="8"/>
  <c r="BB971" i="8"/>
  <c r="BB972" i="8"/>
  <c r="BB973" i="8"/>
  <c r="AZ974" i="8"/>
  <c r="BA974" i="8"/>
  <c r="BB975" i="8"/>
  <c r="BB976" i="8"/>
  <c r="BB977" i="8"/>
  <c r="AZ978" i="8"/>
  <c r="BA978" i="8"/>
  <c r="BB979" i="8"/>
  <c r="BB980" i="8"/>
  <c r="BB981" i="8"/>
  <c r="AZ982" i="8"/>
  <c r="BA982" i="8"/>
  <c r="BB983" i="8"/>
  <c r="BB984" i="8"/>
  <c r="BB985" i="8"/>
  <c r="AZ986" i="8"/>
  <c r="BA986" i="8"/>
  <c r="BB987" i="8"/>
  <c r="BB988" i="8"/>
  <c r="BB989" i="8"/>
  <c r="AZ990" i="8"/>
  <c r="BA990" i="8"/>
  <c r="BB991" i="8"/>
  <c r="BB992" i="8"/>
  <c r="BB993" i="8"/>
  <c r="AZ994" i="8"/>
  <c r="BA994" i="8"/>
  <c r="BB995" i="8"/>
  <c r="BB996" i="8"/>
  <c r="BB997" i="8"/>
  <c r="AZ998" i="8"/>
  <c r="BA998" i="8"/>
  <c r="BB999" i="8"/>
  <c r="BB1000" i="8"/>
  <c r="BB1001" i="8"/>
  <c r="AZ1002" i="8"/>
  <c r="BA1002" i="8"/>
  <c r="BB1003" i="8"/>
  <c r="BB1004" i="8"/>
  <c r="BB1005" i="8"/>
  <c r="AZ1006" i="8"/>
  <c r="BA1006" i="8"/>
  <c r="BB1007" i="8"/>
  <c r="BB1008" i="8"/>
  <c r="BB1009" i="8"/>
  <c r="AZ1010" i="8"/>
  <c r="BA1010" i="8"/>
  <c r="BB1011" i="8"/>
  <c r="BB1012" i="8"/>
  <c r="BB1013" i="8"/>
  <c r="AZ1014" i="8"/>
  <c r="BA1014" i="8"/>
  <c r="BB1015" i="8"/>
  <c r="BB1016" i="8"/>
  <c r="BB1017" i="8"/>
  <c r="AZ1018" i="8"/>
  <c r="BA1018" i="8"/>
  <c r="BB1019" i="8"/>
  <c r="BB1020" i="8"/>
  <c r="BB1021" i="8"/>
  <c r="AZ1022" i="8"/>
  <c r="BA1022" i="8"/>
  <c r="BB1023" i="8"/>
  <c r="BB1024" i="8"/>
  <c r="BB1025" i="8"/>
  <c r="AZ1026" i="8"/>
  <c r="BA1026" i="8"/>
  <c r="BB1027" i="8"/>
  <c r="BB1028" i="8"/>
  <c r="BB1029" i="8"/>
  <c r="AZ1030" i="8"/>
  <c r="BA1030" i="8"/>
  <c r="BB1031" i="8"/>
  <c r="BB1032" i="8"/>
  <c r="BB1033" i="8"/>
  <c r="AZ1034" i="8"/>
  <c r="BA1034" i="8"/>
  <c r="BB1035" i="8"/>
  <c r="BB1036" i="8"/>
  <c r="BB1037" i="8"/>
  <c r="AZ1038" i="8"/>
  <c r="BA1038" i="8"/>
  <c r="BB1039" i="8"/>
  <c r="BB1040" i="8"/>
  <c r="BB1041" i="8"/>
  <c r="AZ1042" i="8"/>
  <c r="BA1042" i="8"/>
  <c r="BB1043" i="8"/>
  <c r="BB1044" i="8"/>
  <c r="BB1045" i="8"/>
  <c r="AZ1046" i="8"/>
  <c r="BA1046" i="8"/>
  <c r="BB1047" i="8"/>
  <c r="BB1048" i="8"/>
  <c r="BB1049" i="8"/>
  <c r="AZ1050" i="8"/>
  <c r="BA1050" i="8"/>
  <c r="BB1051" i="8"/>
  <c r="BB1052" i="8"/>
  <c r="BB1053" i="8"/>
  <c r="AZ1054" i="8"/>
  <c r="BA1054" i="8"/>
  <c r="BB1055" i="8"/>
  <c r="BB1056" i="8"/>
  <c r="BB1057" i="8"/>
  <c r="AZ1058" i="8"/>
  <c r="BA1058" i="8"/>
  <c r="BB1059" i="8"/>
  <c r="BB1060" i="8"/>
  <c r="BB1061" i="8"/>
  <c r="AZ1062" i="8"/>
  <c r="BA1062" i="8"/>
  <c r="BB1063" i="8"/>
  <c r="BB1064" i="8"/>
  <c r="BB1065" i="8"/>
  <c r="AZ1066" i="8"/>
  <c r="BA1066" i="8"/>
  <c r="BB1067" i="8"/>
  <c r="BB1068" i="8"/>
  <c r="BB1069" i="8"/>
  <c r="AZ1070" i="8"/>
  <c r="BA1070" i="8"/>
  <c r="BB1071" i="8"/>
  <c r="BB1072" i="8"/>
  <c r="BB1073" i="8"/>
  <c r="AZ1074" i="8"/>
  <c r="BA1074" i="8"/>
  <c r="BB1075" i="8"/>
  <c r="BB1076" i="8"/>
  <c r="BB1077" i="8"/>
  <c r="AZ1078" i="8"/>
  <c r="BA1078" i="8"/>
  <c r="BB1079" i="8"/>
  <c r="BB1080" i="8"/>
  <c r="BB1081" i="8"/>
  <c r="AZ1082" i="8"/>
  <c r="BA1082" i="8"/>
  <c r="BB1083" i="8"/>
  <c r="BB1084" i="8"/>
  <c r="BB1085" i="8"/>
  <c r="AZ1086" i="8"/>
  <c r="BA1086" i="8"/>
  <c r="BA14" i="8"/>
  <c r="AZ14" i="8"/>
  <c r="BB13" i="8"/>
  <c r="BB12" i="8"/>
  <c r="BB11" i="8"/>
  <c r="AX15" i="8"/>
  <c r="AX16" i="8"/>
  <c r="AX17" i="8"/>
  <c r="AT18" i="8"/>
  <c r="AU18" i="8"/>
  <c r="AV18" i="8"/>
  <c r="AW18" i="8"/>
  <c r="AX19" i="8"/>
  <c r="AX20" i="8"/>
  <c r="AX21" i="8"/>
  <c r="AT22" i="8"/>
  <c r="AU22" i="8"/>
  <c r="AV22" i="8"/>
  <c r="AW22" i="8"/>
  <c r="AX23" i="8"/>
  <c r="AX24" i="8"/>
  <c r="AX25" i="8"/>
  <c r="AT26" i="8"/>
  <c r="AU26" i="8"/>
  <c r="AV26" i="8"/>
  <c r="AW26" i="8"/>
  <c r="AX27" i="8"/>
  <c r="AX28" i="8"/>
  <c r="AX29" i="8"/>
  <c r="AT30" i="8"/>
  <c r="AU30" i="8"/>
  <c r="AV30" i="8"/>
  <c r="AW30" i="8"/>
  <c r="AX31" i="8"/>
  <c r="AX32" i="8"/>
  <c r="AX33" i="8"/>
  <c r="AT34" i="8"/>
  <c r="AU34" i="8"/>
  <c r="AV34" i="8"/>
  <c r="AW34" i="8"/>
  <c r="AX35" i="8"/>
  <c r="AX36" i="8"/>
  <c r="AX37" i="8"/>
  <c r="AT38" i="8"/>
  <c r="AU38" i="8"/>
  <c r="AV38" i="8"/>
  <c r="AW38" i="8"/>
  <c r="AX39" i="8"/>
  <c r="AX40" i="8"/>
  <c r="AX41" i="8"/>
  <c r="AT42" i="8"/>
  <c r="AU42" i="8"/>
  <c r="AV42" i="8"/>
  <c r="AW42" i="8"/>
  <c r="AX43" i="8"/>
  <c r="AX44" i="8"/>
  <c r="AX45" i="8"/>
  <c r="AT46" i="8"/>
  <c r="AU46" i="8"/>
  <c r="AV46" i="8"/>
  <c r="AW46" i="8"/>
  <c r="AX47" i="8"/>
  <c r="AX48" i="8"/>
  <c r="AX49" i="8"/>
  <c r="AT50" i="8"/>
  <c r="AU50" i="8"/>
  <c r="AV50" i="8"/>
  <c r="AW50" i="8"/>
  <c r="AX51" i="8"/>
  <c r="AX52" i="8"/>
  <c r="AX53" i="8"/>
  <c r="AT54" i="8"/>
  <c r="AU54" i="8"/>
  <c r="AV54" i="8"/>
  <c r="AW54" i="8"/>
  <c r="AX55" i="8"/>
  <c r="AX56" i="8"/>
  <c r="AX57" i="8"/>
  <c r="AT58" i="8"/>
  <c r="AU58" i="8"/>
  <c r="AV58" i="8"/>
  <c r="AW58" i="8"/>
  <c r="AX59" i="8"/>
  <c r="AX60" i="8"/>
  <c r="AX61" i="8"/>
  <c r="AT62" i="8"/>
  <c r="AU62" i="8"/>
  <c r="AV62" i="8"/>
  <c r="AW62" i="8"/>
  <c r="AX63" i="8"/>
  <c r="AX64" i="8"/>
  <c r="AX65" i="8"/>
  <c r="AT66" i="8"/>
  <c r="AU66" i="8"/>
  <c r="AV66" i="8"/>
  <c r="AW66" i="8"/>
  <c r="AX67" i="8"/>
  <c r="AX68" i="8"/>
  <c r="AX69" i="8"/>
  <c r="AT70" i="8"/>
  <c r="AU70" i="8"/>
  <c r="AV70" i="8"/>
  <c r="AW70" i="8"/>
  <c r="AX71" i="8"/>
  <c r="AX72" i="8"/>
  <c r="AX73" i="8"/>
  <c r="AT74" i="8"/>
  <c r="AU74" i="8"/>
  <c r="AV74" i="8"/>
  <c r="AW74" i="8"/>
  <c r="AX75" i="8"/>
  <c r="AX76" i="8"/>
  <c r="AX77" i="8"/>
  <c r="AT78" i="8"/>
  <c r="AU78" i="8"/>
  <c r="AV78" i="8"/>
  <c r="AW78" i="8"/>
  <c r="AX79" i="8"/>
  <c r="AX80" i="8"/>
  <c r="AX81" i="8"/>
  <c r="AT82" i="8"/>
  <c r="AU82" i="8"/>
  <c r="AV82" i="8"/>
  <c r="AW82" i="8"/>
  <c r="AX83" i="8"/>
  <c r="AX84" i="8"/>
  <c r="AX85" i="8"/>
  <c r="AT86" i="8"/>
  <c r="AU86" i="8"/>
  <c r="AV86" i="8"/>
  <c r="AW86" i="8"/>
  <c r="AX87" i="8"/>
  <c r="AX88" i="8"/>
  <c r="AX89" i="8"/>
  <c r="AT90" i="8"/>
  <c r="AU90" i="8"/>
  <c r="AV90" i="8"/>
  <c r="AW90" i="8"/>
  <c r="AX91" i="8"/>
  <c r="AX92" i="8"/>
  <c r="AX93" i="8"/>
  <c r="AT94" i="8"/>
  <c r="AU94" i="8"/>
  <c r="AV94" i="8"/>
  <c r="AW94" i="8"/>
  <c r="AX95" i="8"/>
  <c r="AX96" i="8"/>
  <c r="AX97" i="8"/>
  <c r="AT98" i="8"/>
  <c r="AU98" i="8"/>
  <c r="AV98" i="8"/>
  <c r="AW98" i="8"/>
  <c r="AX99" i="8"/>
  <c r="AX100" i="8"/>
  <c r="AX101" i="8"/>
  <c r="AT102" i="8"/>
  <c r="AU102" i="8"/>
  <c r="AV102" i="8"/>
  <c r="AW102" i="8"/>
  <c r="AX103" i="8"/>
  <c r="AX104" i="8"/>
  <c r="AX105" i="8"/>
  <c r="AT106" i="8"/>
  <c r="AU106" i="8"/>
  <c r="AV106" i="8"/>
  <c r="AW106" i="8"/>
  <c r="AX107" i="8"/>
  <c r="AX108" i="8"/>
  <c r="AX109" i="8"/>
  <c r="AT110" i="8"/>
  <c r="AU110" i="8"/>
  <c r="AV110" i="8"/>
  <c r="AW110" i="8"/>
  <c r="AX111" i="8"/>
  <c r="AX112" i="8"/>
  <c r="AX113" i="8"/>
  <c r="AT114" i="8"/>
  <c r="AU114" i="8"/>
  <c r="AV114" i="8"/>
  <c r="AW114" i="8"/>
  <c r="AX115" i="8"/>
  <c r="AX116" i="8"/>
  <c r="AX117" i="8"/>
  <c r="AT118" i="8"/>
  <c r="AU118" i="8"/>
  <c r="AV118" i="8"/>
  <c r="AW118" i="8"/>
  <c r="AX119" i="8"/>
  <c r="AX120" i="8"/>
  <c r="AX121" i="8"/>
  <c r="AT122" i="8"/>
  <c r="AU122" i="8"/>
  <c r="AV122" i="8"/>
  <c r="AW122" i="8"/>
  <c r="AX123" i="8"/>
  <c r="AX124" i="8"/>
  <c r="AX125" i="8"/>
  <c r="AT126" i="8"/>
  <c r="AU126" i="8"/>
  <c r="AV126" i="8"/>
  <c r="AW126" i="8"/>
  <c r="AX127" i="8"/>
  <c r="AX128" i="8"/>
  <c r="AX129" i="8"/>
  <c r="AT130" i="8"/>
  <c r="AU130" i="8"/>
  <c r="AV130" i="8"/>
  <c r="AW130" i="8"/>
  <c r="AX131" i="8"/>
  <c r="AX132" i="8"/>
  <c r="AX133" i="8"/>
  <c r="AT134" i="8"/>
  <c r="AU134" i="8"/>
  <c r="AV134" i="8"/>
  <c r="AW134" i="8"/>
  <c r="AX135" i="8"/>
  <c r="AX136" i="8"/>
  <c r="AX137" i="8"/>
  <c r="AT138" i="8"/>
  <c r="AU138" i="8"/>
  <c r="AV138" i="8"/>
  <c r="AW138" i="8"/>
  <c r="AX139" i="8"/>
  <c r="AX140" i="8"/>
  <c r="AX141" i="8"/>
  <c r="AT142" i="8"/>
  <c r="AU142" i="8"/>
  <c r="AV142" i="8"/>
  <c r="AW142" i="8"/>
  <c r="AX143" i="8"/>
  <c r="AX144" i="8"/>
  <c r="AX145" i="8"/>
  <c r="AT146" i="8"/>
  <c r="AU146" i="8"/>
  <c r="AV146" i="8"/>
  <c r="AW146" i="8"/>
  <c r="AX147" i="8"/>
  <c r="AX148" i="8"/>
  <c r="AX149" i="8"/>
  <c r="AT150" i="8"/>
  <c r="AU150" i="8"/>
  <c r="AV150" i="8"/>
  <c r="AW150" i="8"/>
  <c r="AX151" i="8"/>
  <c r="AX152" i="8"/>
  <c r="AX153" i="8"/>
  <c r="AT154" i="8"/>
  <c r="AU154" i="8"/>
  <c r="AV154" i="8"/>
  <c r="AW154" i="8"/>
  <c r="AX155" i="8"/>
  <c r="AX156" i="8"/>
  <c r="AX157" i="8"/>
  <c r="AT158" i="8"/>
  <c r="AU158" i="8"/>
  <c r="AV158" i="8"/>
  <c r="AW158" i="8"/>
  <c r="AX159" i="8"/>
  <c r="AX160" i="8"/>
  <c r="AX161" i="8"/>
  <c r="AT162" i="8"/>
  <c r="AU162" i="8"/>
  <c r="AV162" i="8"/>
  <c r="AW162" i="8"/>
  <c r="AX163" i="8"/>
  <c r="AX164" i="8"/>
  <c r="AX165" i="8"/>
  <c r="AT166" i="8"/>
  <c r="AU166" i="8"/>
  <c r="AV166" i="8"/>
  <c r="AW166" i="8"/>
  <c r="AX167" i="8"/>
  <c r="AX168" i="8"/>
  <c r="AX169" i="8"/>
  <c r="AT170" i="8"/>
  <c r="AU170" i="8"/>
  <c r="AV170" i="8"/>
  <c r="AW170" i="8"/>
  <c r="AX171" i="8"/>
  <c r="AX172" i="8"/>
  <c r="AX173" i="8"/>
  <c r="AT174" i="8"/>
  <c r="AU174" i="8"/>
  <c r="AV174" i="8"/>
  <c r="AW174" i="8"/>
  <c r="AX175" i="8"/>
  <c r="AX176" i="8"/>
  <c r="AX177" i="8"/>
  <c r="AT178" i="8"/>
  <c r="AU178" i="8"/>
  <c r="AV178" i="8"/>
  <c r="AW178" i="8"/>
  <c r="AX179" i="8"/>
  <c r="AX180" i="8"/>
  <c r="AX181" i="8"/>
  <c r="AT182" i="8"/>
  <c r="AU182" i="8"/>
  <c r="AV182" i="8"/>
  <c r="AW182" i="8"/>
  <c r="AX183" i="8"/>
  <c r="AX184" i="8"/>
  <c r="AX185" i="8"/>
  <c r="AT186" i="8"/>
  <c r="AU186" i="8"/>
  <c r="AV186" i="8"/>
  <c r="AW186" i="8"/>
  <c r="AX187" i="8"/>
  <c r="AX188" i="8"/>
  <c r="AX189" i="8"/>
  <c r="AT190" i="8"/>
  <c r="AU190" i="8"/>
  <c r="AV190" i="8"/>
  <c r="AW190" i="8"/>
  <c r="AX191" i="8"/>
  <c r="AX192" i="8"/>
  <c r="AX193" i="8"/>
  <c r="AT194" i="8"/>
  <c r="AU194" i="8"/>
  <c r="AV194" i="8"/>
  <c r="AW194" i="8"/>
  <c r="AX195" i="8"/>
  <c r="AX196" i="8"/>
  <c r="AX197" i="8"/>
  <c r="AT198" i="8"/>
  <c r="AU198" i="8"/>
  <c r="AV198" i="8"/>
  <c r="AW198" i="8"/>
  <c r="AX199" i="8"/>
  <c r="AX200" i="8"/>
  <c r="AX201" i="8"/>
  <c r="AT202" i="8"/>
  <c r="AU202" i="8"/>
  <c r="AV202" i="8"/>
  <c r="AW202" i="8"/>
  <c r="AX203" i="8"/>
  <c r="AX204" i="8"/>
  <c r="AX205" i="8"/>
  <c r="AT206" i="8"/>
  <c r="AU206" i="8"/>
  <c r="AV206" i="8"/>
  <c r="AW206" i="8"/>
  <c r="AX207" i="8"/>
  <c r="AX208" i="8"/>
  <c r="AX209" i="8"/>
  <c r="AT210" i="8"/>
  <c r="AU210" i="8"/>
  <c r="AV210" i="8"/>
  <c r="AW210" i="8"/>
  <c r="AX211" i="8"/>
  <c r="AX212" i="8"/>
  <c r="AX213" i="8"/>
  <c r="AT214" i="8"/>
  <c r="AU214" i="8"/>
  <c r="AV214" i="8"/>
  <c r="AW214" i="8"/>
  <c r="AX215" i="8"/>
  <c r="AX216" i="8"/>
  <c r="AX217" i="8"/>
  <c r="AT218" i="8"/>
  <c r="AU218" i="8"/>
  <c r="AV218" i="8"/>
  <c r="AW218" i="8"/>
  <c r="AX219" i="8"/>
  <c r="AX220" i="8"/>
  <c r="AX221" i="8"/>
  <c r="AT222" i="8"/>
  <c r="AU222" i="8"/>
  <c r="AV222" i="8"/>
  <c r="AW222" i="8"/>
  <c r="AX223" i="8"/>
  <c r="AX224" i="8"/>
  <c r="AX225" i="8"/>
  <c r="AT226" i="8"/>
  <c r="AU226" i="8"/>
  <c r="AV226" i="8"/>
  <c r="AW226" i="8"/>
  <c r="AX227" i="8"/>
  <c r="AX228" i="8"/>
  <c r="AX229" i="8"/>
  <c r="AT230" i="8"/>
  <c r="AU230" i="8"/>
  <c r="AV230" i="8"/>
  <c r="AW230" i="8"/>
  <c r="AX231" i="8"/>
  <c r="AX232" i="8"/>
  <c r="AX233" i="8"/>
  <c r="AT234" i="8"/>
  <c r="AU234" i="8"/>
  <c r="AV234" i="8"/>
  <c r="AW234" i="8"/>
  <c r="AX235" i="8"/>
  <c r="AX236" i="8"/>
  <c r="AX237" i="8"/>
  <c r="AT238" i="8"/>
  <c r="AU238" i="8"/>
  <c r="AV238" i="8"/>
  <c r="AW238" i="8"/>
  <c r="AX239" i="8"/>
  <c r="AX240" i="8"/>
  <c r="AX241" i="8"/>
  <c r="AT242" i="8"/>
  <c r="AU242" i="8"/>
  <c r="AV242" i="8"/>
  <c r="AW242" i="8"/>
  <c r="AX243" i="8"/>
  <c r="AX244" i="8"/>
  <c r="AX245" i="8"/>
  <c r="AT246" i="8"/>
  <c r="AU246" i="8"/>
  <c r="AV246" i="8"/>
  <c r="AW246" i="8"/>
  <c r="AX247" i="8"/>
  <c r="AX248" i="8"/>
  <c r="AX249" i="8"/>
  <c r="AT250" i="8"/>
  <c r="AU250" i="8"/>
  <c r="AV250" i="8"/>
  <c r="AW250" i="8"/>
  <c r="AX251" i="8"/>
  <c r="AX252" i="8"/>
  <c r="AX253" i="8"/>
  <c r="AT254" i="8"/>
  <c r="AU254" i="8"/>
  <c r="AV254" i="8"/>
  <c r="AW254" i="8"/>
  <c r="AX255" i="8"/>
  <c r="AX256" i="8"/>
  <c r="AX257" i="8"/>
  <c r="AT258" i="8"/>
  <c r="AU258" i="8"/>
  <c r="AV258" i="8"/>
  <c r="AW258" i="8"/>
  <c r="AX259" i="8"/>
  <c r="AX260" i="8"/>
  <c r="AX261" i="8"/>
  <c r="AT262" i="8"/>
  <c r="AU262" i="8"/>
  <c r="AV262" i="8"/>
  <c r="AW262" i="8"/>
  <c r="AX263" i="8"/>
  <c r="AX264" i="8"/>
  <c r="AX265" i="8"/>
  <c r="AT266" i="8"/>
  <c r="AU266" i="8"/>
  <c r="AV266" i="8"/>
  <c r="AW266" i="8"/>
  <c r="AX267" i="8"/>
  <c r="AX268" i="8"/>
  <c r="AX269" i="8"/>
  <c r="AT270" i="8"/>
  <c r="AU270" i="8"/>
  <c r="AV270" i="8"/>
  <c r="AW270" i="8"/>
  <c r="AX271" i="8"/>
  <c r="AX272" i="8"/>
  <c r="AX273" i="8"/>
  <c r="AT274" i="8"/>
  <c r="AU274" i="8"/>
  <c r="AV274" i="8"/>
  <c r="AW274" i="8"/>
  <c r="AX275" i="8"/>
  <c r="AX276" i="8"/>
  <c r="AX277" i="8"/>
  <c r="AT278" i="8"/>
  <c r="AU278" i="8"/>
  <c r="AV278" i="8"/>
  <c r="AW278" i="8"/>
  <c r="AX279" i="8"/>
  <c r="AX280" i="8"/>
  <c r="AX281" i="8"/>
  <c r="AT282" i="8"/>
  <c r="AU282" i="8"/>
  <c r="AV282" i="8"/>
  <c r="AW282" i="8"/>
  <c r="AX283" i="8"/>
  <c r="AX284" i="8"/>
  <c r="AX285" i="8"/>
  <c r="AT286" i="8"/>
  <c r="AU286" i="8"/>
  <c r="AV286" i="8"/>
  <c r="AW286" i="8"/>
  <c r="AX287" i="8"/>
  <c r="AX288" i="8"/>
  <c r="AX289" i="8"/>
  <c r="AT290" i="8"/>
  <c r="AU290" i="8"/>
  <c r="AV290" i="8"/>
  <c r="AW290" i="8"/>
  <c r="AX291" i="8"/>
  <c r="AX292" i="8"/>
  <c r="AX293" i="8"/>
  <c r="AT294" i="8"/>
  <c r="AU294" i="8"/>
  <c r="AV294" i="8"/>
  <c r="AW294" i="8"/>
  <c r="AX295" i="8"/>
  <c r="AX296" i="8"/>
  <c r="AX297" i="8"/>
  <c r="AT298" i="8"/>
  <c r="AU298" i="8"/>
  <c r="AV298" i="8"/>
  <c r="AW298" i="8"/>
  <c r="AX299" i="8"/>
  <c r="AX300" i="8"/>
  <c r="AX301" i="8"/>
  <c r="AT302" i="8"/>
  <c r="AU302" i="8"/>
  <c r="AV302" i="8"/>
  <c r="AW302" i="8"/>
  <c r="AX303" i="8"/>
  <c r="AX304" i="8"/>
  <c r="AX305" i="8"/>
  <c r="AT306" i="8"/>
  <c r="AU306" i="8"/>
  <c r="AV306" i="8"/>
  <c r="AW306" i="8"/>
  <c r="AX307" i="8"/>
  <c r="AX308" i="8"/>
  <c r="AX309" i="8"/>
  <c r="AT310" i="8"/>
  <c r="AU310" i="8"/>
  <c r="AV310" i="8"/>
  <c r="AW310" i="8"/>
  <c r="AX311" i="8"/>
  <c r="AX312" i="8"/>
  <c r="AX313" i="8"/>
  <c r="AT314" i="8"/>
  <c r="AU314" i="8"/>
  <c r="AV314" i="8"/>
  <c r="AW314" i="8"/>
  <c r="AX315" i="8"/>
  <c r="AX316" i="8"/>
  <c r="AX317" i="8"/>
  <c r="AT318" i="8"/>
  <c r="AU318" i="8"/>
  <c r="AV318" i="8"/>
  <c r="AW318" i="8"/>
  <c r="AX319" i="8"/>
  <c r="AX320" i="8"/>
  <c r="AX321" i="8"/>
  <c r="AT322" i="8"/>
  <c r="AU322" i="8"/>
  <c r="AV322" i="8"/>
  <c r="AW322" i="8"/>
  <c r="AX323" i="8"/>
  <c r="AX324" i="8"/>
  <c r="AX325" i="8"/>
  <c r="AT326" i="8"/>
  <c r="AU326" i="8"/>
  <c r="AV326" i="8"/>
  <c r="AW326" i="8"/>
  <c r="AX327" i="8"/>
  <c r="AX328" i="8"/>
  <c r="AX329" i="8"/>
  <c r="AT330" i="8"/>
  <c r="AU330" i="8"/>
  <c r="AV330" i="8"/>
  <c r="AW330" i="8"/>
  <c r="AX331" i="8"/>
  <c r="AX332" i="8"/>
  <c r="AX333" i="8"/>
  <c r="AT334" i="8"/>
  <c r="AU334" i="8"/>
  <c r="AV334" i="8"/>
  <c r="AW334" i="8"/>
  <c r="AX335" i="8"/>
  <c r="AX336" i="8"/>
  <c r="AX337" i="8"/>
  <c r="AT338" i="8"/>
  <c r="AU338" i="8"/>
  <c r="AV338" i="8"/>
  <c r="AW338" i="8"/>
  <c r="AX339" i="8"/>
  <c r="AX340" i="8"/>
  <c r="AX341" i="8"/>
  <c r="AT342" i="8"/>
  <c r="AU342" i="8"/>
  <c r="AV342" i="8"/>
  <c r="AW342" i="8"/>
  <c r="AX343" i="8"/>
  <c r="AX344" i="8"/>
  <c r="AX345" i="8"/>
  <c r="AT346" i="8"/>
  <c r="AU346" i="8"/>
  <c r="AV346" i="8"/>
  <c r="AW346" i="8"/>
  <c r="AX347" i="8"/>
  <c r="AX348" i="8"/>
  <c r="AX349" i="8"/>
  <c r="AT350" i="8"/>
  <c r="AU350" i="8"/>
  <c r="AV350" i="8"/>
  <c r="AW350" i="8"/>
  <c r="AX351" i="8"/>
  <c r="AX352" i="8"/>
  <c r="AX353" i="8"/>
  <c r="AT354" i="8"/>
  <c r="AU354" i="8"/>
  <c r="AV354" i="8"/>
  <c r="AW354" i="8"/>
  <c r="AX355" i="8"/>
  <c r="AX356" i="8"/>
  <c r="AX357" i="8"/>
  <c r="AT358" i="8"/>
  <c r="AU358" i="8"/>
  <c r="AV358" i="8"/>
  <c r="AW358" i="8"/>
  <c r="AX359" i="8"/>
  <c r="AX360" i="8"/>
  <c r="AX361" i="8"/>
  <c r="AT362" i="8"/>
  <c r="AU362" i="8"/>
  <c r="AV362" i="8"/>
  <c r="AW362" i="8"/>
  <c r="AX363" i="8"/>
  <c r="AX364" i="8"/>
  <c r="AX365" i="8"/>
  <c r="AT366" i="8"/>
  <c r="AU366" i="8"/>
  <c r="AV366" i="8"/>
  <c r="AW366" i="8"/>
  <c r="AX367" i="8"/>
  <c r="AX368" i="8"/>
  <c r="AX369" i="8"/>
  <c r="AT370" i="8"/>
  <c r="AU370" i="8"/>
  <c r="AV370" i="8"/>
  <c r="AW370" i="8"/>
  <c r="AX371" i="8"/>
  <c r="AX372" i="8"/>
  <c r="AX373" i="8"/>
  <c r="AT374" i="8"/>
  <c r="AU374" i="8"/>
  <c r="AV374" i="8"/>
  <c r="AW374" i="8"/>
  <c r="AX375" i="8"/>
  <c r="AX376" i="8"/>
  <c r="AX377" i="8"/>
  <c r="AT378" i="8"/>
  <c r="AU378" i="8"/>
  <c r="AV378" i="8"/>
  <c r="AW378" i="8"/>
  <c r="AX379" i="8"/>
  <c r="AX380" i="8"/>
  <c r="AX381" i="8"/>
  <c r="AT382" i="8"/>
  <c r="AU382" i="8"/>
  <c r="AV382" i="8"/>
  <c r="AW382" i="8"/>
  <c r="AX383" i="8"/>
  <c r="AX384" i="8"/>
  <c r="AX385" i="8"/>
  <c r="AT386" i="8"/>
  <c r="AU386" i="8"/>
  <c r="AV386" i="8"/>
  <c r="AW386" i="8"/>
  <c r="AX387" i="8"/>
  <c r="AX388" i="8"/>
  <c r="AX389" i="8"/>
  <c r="AT390" i="8"/>
  <c r="AU390" i="8"/>
  <c r="AV390" i="8"/>
  <c r="AW390" i="8"/>
  <c r="AX391" i="8"/>
  <c r="AX392" i="8"/>
  <c r="AX393" i="8"/>
  <c r="AT394" i="8"/>
  <c r="AU394" i="8"/>
  <c r="AV394" i="8"/>
  <c r="AW394" i="8"/>
  <c r="AX395" i="8"/>
  <c r="AX396" i="8"/>
  <c r="AX397" i="8"/>
  <c r="AT398" i="8"/>
  <c r="AU398" i="8"/>
  <c r="AV398" i="8"/>
  <c r="AW398" i="8"/>
  <c r="AX399" i="8"/>
  <c r="AX400" i="8"/>
  <c r="AX401" i="8"/>
  <c r="AT402" i="8"/>
  <c r="AU402" i="8"/>
  <c r="AV402" i="8"/>
  <c r="AW402" i="8"/>
  <c r="AX403" i="8"/>
  <c r="AX404" i="8"/>
  <c r="AX405" i="8"/>
  <c r="AT406" i="8"/>
  <c r="AU406" i="8"/>
  <c r="AV406" i="8"/>
  <c r="AW406" i="8"/>
  <c r="AX407" i="8"/>
  <c r="AX408" i="8"/>
  <c r="AX409" i="8"/>
  <c r="AT410" i="8"/>
  <c r="AU410" i="8"/>
  <c r="AV410" i="8"/>
  <c r="AW410" i="8"/>
  <c r="AX411" i="8"/>
  <c r="AX412" i="8"/>
  <c r="AX413" i="8"/>
  <c r="AT414" i="8"/>
  <c r="AU414" i="8"/>
  <c r="AV414" i="8"/>
  <c r="AW414" i="8"/>
  <c r="AX415" i="8"/>
  <c r="AX416" i="8"/>
  <c r="AX417" i="8"/>
  <c r="AT418" i="8"/>
  <c r="AU418" i="8"/>
  <c r="AV418" i="8"/>
  <c r="AW418" i="8"/>
  <c r="AX419" i="8"/>
  <c r="AX420" i="8"/>
  <c r="AX421" i="8"/>
  <c r="AT422" i="8"/>
  <c r="AU422" i="8"/>
  <c r="AV422" i="8"/>
  <c r="AW422" i="8"/>
  <c r="AX423" i="8"/>
  <c r="AX424" i="8"/>
  <c r="AX425" i="8"/>
  <c r="AT426" i="8"/>
  <c r="AU426" i="8"/>
  <c r="AV426" i="8"/>
  <c r="AW426" i="8"/>
  <c r="AX427" i="8"/>
  <c r="AX428" i="8"/>
  <c r="AX429" i="8"/>
  <c r="AT430" i="8"/>
  <c r="AU430" i="8"/>
  <c r="AV430" i="8"/>
  <c r="AW430" i="8"/>
  <c r="AX431" i="8"/>
  <c r="AX432" i="8"/>
  <c r="AX433" i="8"/>
  <c r="AT434" i="8"/>
  <c r="AU434" i="8"/>
  <c r="AV434" i="8"/>
  <c r="AW434" i="8"/>
  <c r="AX435" i="8"/>
  <c r="AX436" i="8"/>
  <c r="AX437" i="8"/>
  <c r="AT438" i="8"/>
  <c r="AU438" i="8"/>
  <c r="AV438" i="8"/>
  <c r="AW438" i="8"/>
  <c r="AX439" i="8"/>
  <c r="AX440" i="8"/>
  <c r="AX441" i="8"/>
  <c r="AT442" i="8"/>
  <c r="AU442" i="8"/>
  <c r="AV442" i="8"/>
  <c r="AW442" i="8"/>
  <c r="AX443" i="8"/>
  <c r="AX444" i="8"/>
  <c r="AX445" i="8"/>
  <c r="AT446" i="8"/>
  <c r="AU446" i="8"/>
  <c r="AV446" i="8"/>
  <c r="AW446" i="8"/>
  <c r="AX447" i="8"/>
  <c r="AX448" i="8"/>
  <c r="AX449" i="8"/>
  <c r="AT450" i="8"/>
  <c r="AU450" i="8"/>
  <c r="AV450" i="8"/>
  <c r="AW450" i="8"/>
  <c r="AX451" i="8"/>
  <c r="AX452" i="8"/>
  <c r="AX453" i="8"/>
  <c r="AT454" i="8"/>
  <c r="AU454" i="8"/>
  <c r="AV454" i="8"/>
  <c r="AW454" i="8"/>
  <c r="AX455" i="8"/>
  <c r="AX456" i="8"/>
  <c r="AX457" i="8"/>
  <c r="AT458" i="8"/>
  <c r="AU458" i="8"/>
  <c r="AV458" i="8"/>
  <c r="AW458" i="8"/>
  <c r="AX459" i="8"/>
  <c r="AX460" i="8"/>
  <c r="AX461" i="8"/>
  <c r="AT462" i="8"/>
  <c r="AU462" i="8"/>
  <c r="AV462" i="8"/>
  <c r="AW462" i="8"/>
  <c r="AX463" i="8"/>
  <c r="AX464" i="8"/>
  <c r="AX465" i="8"/>
  <c r="AT466" i="8"/>
  <c r="AU466" i="8"/>
  <c r="AV466" i="8"/>
  <c r="AW466" i="8"/>
  <c r="AX467" i="8"/>
  <c r="AX468" i="8"/>
  <c r="AX469" i="8"/>
  <c r="AT470" i="8"/>
  <c r="AU470" i="8"/>
  <c r="AV470" i="8"/>
  <c r="AW470" i="8"/>
  <c r="AX471" i="8"/>
  <c r="AX472" i="8"/>
  <c r="AX473" i="8"/>
  <c r="AT474" i="8"/>
  <c r="AU474" i="8"/>
  <c r="AV474" i="8"/>
  <c r="AW474" i="8"/>
  <c r="AX475" i="8"/>
  <c r="AX476" i="8"/>
  <c r="AX477" i="8"/>
  <c r="AT478" i="8"/>
  <c r="AU478" i="8"/>
  <c r="AV478" i="8"/>
  <c r="AW478" i="8"/>
  <c r="AX479" i="8"/>
  <c r="AX480" i="8"/>
  <c r="AX481" i="8"/>
  <c r="AT482" i="8"/>
  <c r="AU482" i="8"/>
  <c r="AV482" i="8"/>
  <c r="AW482" i="8"/>
  <c r="AX483" i="8"/>
  <c r="AX484" i="8"/>
  <c r="AX485" i="8"/>
  <c r="AT486" i="8"/>
  <c r="AU486" i="8"/>
  <c r="AV486" i="8"/>
  <c r="AW486" i="8"/>
  <c r="AX487" i="8"/>
  <c r="AX488" i="8"/>
  <c r="AX489" i="8"/>
  <c r="AT490" i="8"/>
  <c r="AU490" i="8"/>
  <c r="AV490" i="8"/>
  <c r="AW490" i="8"/>
  <c r="AX491" i="8"/>
  <c r="AX492" i="8"/>
  <c r="AX493" i="8"/>
  <c r="AT494" i="8"/>
  <c r="AU494" i="8"/>
  <c r="AV494" i="8"/>
  <c r="AW494" i="8"/>
  <c r="AX495" i="8"/>
  <c r="AX496" i="8"/>
  <c r="AX497" i="8"/>
  <c r="AT498" i="8"/>
  <c r="AU498" i="8"/>
  <c r="AV498" i="8"/>
  <c r="AW498" i="8"/>
  <c r="AX499" i="8"/>
  <c r="AX500" i="8"/>
  <c r="AX501" i="8"/>
  <c r="AT502" i="8"/>
  <c r="AU502" i="8"/>
  <c r="AV502" i="8"/>
  <c r="AW502" i="8"/>
  <c r="AX503" i="8"/>
  <c r="AX504" i="8"/>
  <c r="AX505" i="8"/>
  <c r="AT506" i="8"/>
  <c r="AU506" i="8"/>
  <c r="AV506" i="8"/>
  <c r="AW506" i="8"/>
  <c r="AX507" i="8"/>
  <c r="AX508" i="8"/>
  <c r="AX509" i="8"/>
  <c r="AT510" i="8"/>
  <c r="AU510" i="8"/>
  <c r="AV510" i="8"/>
  <c r="AW510" i="8"/>
  <c r="AX511" i="8"/>
  <c r="AX512" i="8"/>
  <c r="AX513" i="8"/>
  <c r="AT514" i="8"/>
  <c r="AU514" i="8"/>
  <c r="AV514" i="8"/>
  <c r="AW514" i="8"/>
  <c r="AX515" i="8"/>
  <c r="AX516" i="8"/>
  <c r="AX517" i="8"/>
  <c r="AT518" i="8"/>
  <c r="AU518" i="8"/>
  <c r="AV518" i="8"/>
  <c r="AW518" i="8"/>
  <c r="AX519" i="8"/>
  <c r="AX520" i="8"/>
  <c r="AX521" i="8"/>
  <c r="AT522" i="8"/>
  <c r="AU522" i="8"/>
  <c r="AV522" i="8"/>
  <c r="AW522" i="8"/>
  <c r="AX523" i="8"/>
  <c r="AX524" i="8"/>
  <c r="AX525" i="8"/>
  <c r="AT526" i="8"/>
  <c r="AU526" i="8"/>
  <c r="AV526" i="8"/>
  <c r="AW526" i="8"/>
  <c r="AX527" i="8"/>
  <c r="AX528" i="8"/>
  <c r="AX529" i="8"/>
  <c r="AT530" i="8"/>
  <c r="AU530" i="8"/>
  <c r="AV530" i="8"/>
  <c r="AW530" i="8"/>
  <c r="AX531" i="8"/>
  <c r="AX532" i="8"/>
  <c r="AX533" i="8"/>
  <c r="AT534" i="8"/>
  <c r="AU534" i="8"/>
  <c r="AV534" i="8"/>
  <c r="AW534" i="8"/>
  <c r="AX535" i="8"/>
  <c r="AX536" i="8"/>
  <c r="AX537" i="8"/>
  <c r="AT538" i="8"/>
  <c r="AU538" i="8"/>
  <c r="AV538" i="8"/>
  <c r="AW538" i="8"/>
  <c r="AX539" i="8"/>
  <c r="AX540" i="8"/>
  <c r="AX541" i="8"/>
  <c r="AT542" i="8"/>
  <c r="AU542" i="8"/>
  <c r="AV542" i="8"/>
  <c r="AW542" i="8"/>
  <c r="AX543" i="8"/>
  <c r="AX544" i="8"/>
  <c r="AX545" i="8"/>
  <c r="AT546" i="8"/>
  <c r="AU546" i="8"/>
  <c r="AV546" i="8"/>
  <c r="AW546" i="8"/>
  <c r="AX547" i="8"/>
  <c r="AX548" i="8"/>
  <c r="AX549" i="8"/>
  <c r="AT550" i="8"/>
  <c r="AU550" i="8"/>
  <c r="AV550" i="8"/>
  <c r="AW550" i="8"/>
  <c r="AX551" i="8"/>
  <c r="AX552" i="8"/>
  <c r="AX553" i="8"/>
  <c r="AT554" i="8"/>
  <c r="AU554" i="8"/>
  <c r="AV554" i="8"/>
  <c r="AW554" i="8"/>
  <c r="AX555" i="8"/>
  <c r="AX556" i="8"/>
  <c r="AX557" i="8"/>
  <c r="AT558" i="8"/>
  <c r="AU558" i="8"/>
  <c r="AV558" i="8"/>
  <c r="AW558" i="8"/>
  <c r="AX559" i="8"/>
  <c r="AX560" i="8"/>
  <c r="AX561" i="8"/>
  <c r="AT562" i="8"/>
  <c r="AU562" i="8"/>
  <c r="AV562" i="8"/>
  <c r="AW562" i="8"/>
  <c r="AX563" i="8"/>
  <c r="AX564" i="8"/>
  <c r="AX565" i="8"/>
  <c r="AT566" i="8"/>
  <c r="AU566" i="8"/>
  <c r="AV566" i="8"/>
  <c r="AW566" i="8"/>
  <c r="AX567" i="8"/>
  <c r="AX568" i="8"/>
  <c r="AX569" i="8"/>
  <c r="AT570" i="8"/>
  <c r="AU570" i="8"/>
  <c r="AV570" i="8"/>
  <c r="AW570" i="8"/>
  <c r="AX571" i="8"/>
  <c r="AX572" i="8"/>
  <c r="AX573" i="8"/>
  <c r="AT574" i="8"/>
  <c r="AU574" i="8"/>
  <c r="AV574" i="8"/>
  <c r="AW574" i="8"/>
  <c r="AX575" i="8"/>
  <c r="AX576" i="8"/>
  <c r="AX577" i="8"/>
  <c r="AT578" i="8"/>
  <c r="AU578" i="8"/>
  <c r="AV578" i="8"/>
  <c r="AW578" i="8"/>
  <c r="AX579" i="8"/>
  <c r="AX580" i="8"/>
  <c r="AX581" i="8"/>
  <c r="AT582" i="8"/>
  <c r="AU582" i="8"/>
  <c r="AV582" i="8"/>
  <c r="AW582" i="8"/>
  <c r="AX583" i="8"/>
  <c r="AX584" i="8"/>
  <c r="AX585" i="8"/>
  <c r="AT586" i="8"/>
  <c r="AU586" i="8"/>
  <c r="AV586" i="8"/>
  <c r="AW586" i="8"/>
  <c r="AX587" i="8"/>
  <c r="AX588" i="8"/>
  <c r="AX589" i="8"/>
  <c r="AT590" i="8"/>
  <c r="AU590" i="8"/>
  <c r="AV590" i="8"/>
  <c r="AW590" i="8"/>
  <c r="AX591" i="8"/>
  <c r="AX592" i="8"/>
  <c r="AX593" i="8"/>
  <c r="AT594" i="8"/>
  <c r="AU594" i="8"/>
  <c r="AV594" i="8"/>
  <c r="AW594" i="8"/>
  <c r="AX595" i="8"/>
  <c r="AX596" i="8"/>
  <c r="AX597" i="8"/>
  <c r="AT598" i="8"/>
  <c r="AU598" i="8"/>
  <c r="AV598" i="8"/>
  <c r="AW598" i="8"/>
  <c r="AX599" i="8"/>
  <c r="AX600" i="8"/>
  <c r="AX601" i="8"/>
  <c r="AT602" i="8"/>
  <c r="AU602" i="8"/>
  <c r="AV602" i="8"/>
  <c r="AW602" i="8"/>
  <c r="AX603" i="8"/>
  <c r="AX604" i="8"/>
  <c r="AX605" i="8"/>
  <c r="AT606" i="8"/>
  <c r="AU606" i="8"/>
  <c r="AV606" i="8"/>
  <c r="AW606" i="8"/>
  <c r="AX607" i="8"/>
  <c r="AX608" i="8"/>
  <c r="AX609" i="8"/>
  <c r="AT610" i="8"/>
  <c r="AU610" i="8"/>
  <c r="AV610" i="8"/>
  <c r="AW610" i="8"/>
  <c r="AX611" i="8"/>
  <c r="AX612" i="8"/>
  <c r="AX613" i="8"/>
  <c r="AT614" i="8"/>
  <c r="AU614" i="8"/>
  <c r="AV614" i="8"/>
  <c r="AW614" i="8"/>
  <c r="AX615" i="8"/>
  <c r="AX616" i="8"/>
  <c r="AX617" i="8"/>
  <c r="AT618" i="8"/>
  <c r="AU618" i="8"/>
  <c r="AV618" i="8"/>
  <c r="AW618" i="8"/>
  <c r="AX619" i="8"/>
  <c r="AX620" i="8"/>
  <c r="AX621" i="8"/>
  <c r="AT622" i="8"/>
  <c r="AU622" i="8"/>
  <c r="AV622" i="8"/>
  <c r="AW622" i="8"/>
  <c r="AX623" i="8"/>
  <c r="AX624" i="8"/>
  <c r="AX625" i="8"/>
  <c r="AT626" i="8"/>
  <c r="AU626" i="8"/>
  <c r="AV626" i="8"/>
  <c r="AW626" i="8"/>
  <c r="AX627" i="8"/>
  <c r="AX628" i="8"/>
  <c r="AX629" i="8"/>
  <c r="AT630" i="8"/>
  <c r="AU630" i="8"/>
  <c r="AV630" i="8"/>
  <c r="AW630" i="8"/>
  <c r="AX631" i="8"/>
  <c r="AX632" i="8"/>
  <c r="AX633" i="8"/>
  <c r="AT634" i="8"/>
  <c r="AU634" i="8"/>
  <c r="AV634" i="8"/>
  <c r="AW634" i="8"/>
  <c r="AX635" i="8"/>
  <c r="AX636" i="8"/>
  <c r="AX637" i="8"/>
  <c r="AT638" i="8"/>
  <c r="AU638" i="8"/>
  <c r="AV638" i="8"/>
  <c r="AW638" i="8"/>
  <c r="AX639" i="8"/>
  <c r="AX640" i="8"/>
  <c r="AX641" i="8"/>
  <c r="AT642" i="8"/>
  <c r="AU642" i="8"/>
  <c r="AV642" i="8"/>
  <c r="AW642" i="8"/>
  <c r="AX643" i="8"/>
  <c r="AX644" i="8"/>
  <c r="AX645" i="8"/>
  <c r="AT646" i="8"/>
  <c r="AU646" i="8"/>
  <c r="AV646" i="8"/>
  <c r="AW646" i="8"/>
  <c r="AX647" i="8"/>
  <c r="AX648" i="8"/>
  <c r="AX649" i="8"/>
  <c r="AT650" i="8"/>
  <c r="AU650" i="8"/>
  <c r="AV650" i="8"/>
  <c r="AW650" i="8"/>
  <c r="AX651" i="8"/>
  <c r="AX652" i="8"/>
  <c r="AX653" i="8"/>
  <c r="AT654" i="8"/>
  <c r="AU654" i="8"/>
  <c r="AV654" i="8"/>
  <c r="AW654" i="8"/>
  <c r="AX655" i="8"/>
  <c r="AX656" i="8"/>
  <c r="AX657" i="8"/>
  <c r="AT658" i="8"/>
  <c r="AU658" i="8"/>
  <c r="AV658" i="8"/>
  <c r="AW658" i="8"/>
  <c r="AX659" i="8"/>
  <c r="AX660" i="8"/>
  <c r="AX661" i="8"/>
  <c r="AT662" i="8"/>
  <c r="AU662" i="8"/>
  <c r="AV662" i="8"/>
  <c r="AW662" i="8"/>
  <c r="AX663" i="8"/>
  <c r="AX664" i="8"/>
  <c r="AX665" i="8"/>
  <c r="AT666" i="8"/>
  <c r="AU666" i="8"/>
  <c r="AV666" i="8"/>
  <c r="AW666" i="8"/>
  <c r="AX667" i="8"/>
  <c r="AX668" i="8"/>
  <c r="AX669" i="8"/>
  <c r="AT670" i="8"/>
  <c r="AU670" i="8"/>
  <c r="AV670" i="8"/>
  <c r="AW670" i="8"/>
  <c r="AX671" i="8"/>
  <c r="AX672" i="8"/>
  <c r="AX673" i="8"/>
  <c r="AT674" i="8"/>
  <c r="AU674" i="8"/>
  <c r="AV674" i="8"/>
  <c r="AW674" i="8"/>
  <c r="AX675" i="8"/>
  <c r="AX676" i="8"/>
  <c r="AX677" i="8"/>
  <c r="AT678" i="8"/>
  <c r="AU678" i="8"/>
  <c r="AV678" i="8"/>
  <c r="AW678" i="8"/>
  <c r="AX679" i="8"/>
  <c r="AX680" i="8"/>
  <c r="AX681" i="8"/>
  <c r="AT682" i="8"/>
  <c r="AU682" i="8"/>
  <c r="AV682" i="8"/>
  <c r="AW682" i="8"/>
  <c r="AX683" i="8"/>
  <c r="AX684" i="8"/>
  <c r="AX685" i="8"/>
  <c r="AT686" i="8"/>
  <c r="AU686" i="8"/>
  <c r="AV686" i="8"/>
  <c r="AW686" i="8"/>
  <c r="AX687" i="8"/>
  <c r="AX688" i="8"/>
  <c r="AX689" i="8"/>
  <c r="AT690" i="8"/>
  <c r="AU690" i="8"/>
  <c r="AV690" i="8"/>
  <c r="AW690" i="8"/>
  <c r="AX691" i="8"/>
  <c r="AX692" i="8"/>
  <c r="AX693" i="8"/>
  <c r="AT694" i="8"/>
  <c r="AU694" i="8"/>
  <c r="AV694" i="8"/>
  <c r="AW694" i="8"/>
  <c r="AX695" i="8"/>
  <c r="AX696" i="8"/>
  <c r="AX697" i="8"/>
  <c r="AT698" i="8"/>
  <c r="AU698" i="8"/>
  <c r="AV698" i="8"/>
  <c r="AW698" i="8"/>
  <c r="AX699" i="8"/>
  <c r="AX700" i="8"/>
  <c r="AX701" i="8"/>
  <c r="AT702" i="8"/>
  <c r="AU702" i="8"/>
  <c r="AV702" i="8"/>
  <c r="AW702" i="8"/>
  <c r="AX703" i="8"/>
  <c r="AX704" i="8"/>
  <c r="AX705" i="8"/>
  <c r="AT706" i="8"/>
  <c r="AU706" i="8"/>
  <c r="AV706" i="8"/>
  <c r="AW706" i="8"/>
  <c r="AX707" i="8"/>
  <c r="AX708" i="8"/>
  <c r="AX709" i="8"/>
  <c r="AT710" i="8"/>
  <c r="AU710" i="8"/>
  <c r="AV710" i="8"/>
  <c r="AW710" i="8"/>
  <c r="AX711" i="8"/>
  <c r="AX712" i="8"/>
  <c r="AX713" i="8"/>
  <c r="AT714" i="8"/>
  <c r="AU714" i="8"/>
  <c r="AV714" i="8"/>
  <c r="AW714" i="8"/>
  <c r="AX715" i="8"/>
  <c r="AX716" i="8"/>
  <c r="AX717" i="8"/>
  <c r="AT718" i="8"/>
  <c r="AU718" i="8"/>
  <c r="AV718" i="8"/>
  <c r="AW718" i="8"/>
  <c r="AX719" i="8"/>
  <c r="AX720" i="8"/>
  <c r="AX721" i="8"/>
  <c r="AT722" i="8"/>
  <c r="AU722" i="8"/>
  <c r="AV722" i="8"/>
  <c r="AW722" i="8"/>
  <c r="AX723" i="8"/>
  <c r="AX724" i="8"/>
  <c r="AX725" i="8"/>
  <c r="AT726" i="8"/>
  <c r="AU726" i="8"/>
  <c r="AV726" i="8"/>
  <c r="AW726" i="8"/>
  <c r="AX727" i="8"/>
  <c r="AX728" i="8"/>
  <c r="AX729" i="8"/>
  <c r="AT730" i="8"/>
  <c r="AU730" i="8"/>
  <c r="AV730" i="8"/>
  <c r="AW730" i="8"/>
  <c r="AX731" i="8"/>
  <c r="AX732" i="8"/>
  <c r="AX733" i="8"/>
  <c r="AT734" i="8"/>
  <c r="AU734" i="8"/>
  <c r="AV734" i="8"/>
  <c r="AW734" i="8"/>
  <c r="AX735" i="8"/>
  <c r="AX736" i="8"/>
  <c r="AX737" i="8"/>
  <c r="AT738" i="8"/>
  <c r="AU738" i="8"/>
  <c r="AV738" i="8"/>
  <c r="AW738" i="8"/>
  <c r="AX739" i="8"/>
  <c r="AX740" i="8"/>
  <c r="AX741" i="8"/>
  <c r="AT742" i="8"/>
  <c r="AU742" i="8"/>
  <c r="AV742" i="8"/>
  <c r="AW742" i="8"/>
  <c r="AX743" i="8"/>
  <c r="AX744" i="8"/>
  <c r="AX745" i="8"/>
  <c r="AT746" i="8"/>
  <c r="AU746" i="8"/>
  <c r="AV746" i="8"/>
  <c r="AW746" i="8"/>
  <c r="AX747" i="8"/>
  <c r="AX748" i="8"/>
  <c r="AX749" i="8"/>
  <c r="AT750" i="8"/>
  <c r="AU750" i="8"/>
  <c r="AV750" i="8"/>
  <c r="AW750" i="8"/>
  <c r="AX751" i="8"/>
  <c r="AX752" i="8"/>
  <c r="AX753" i="8"/>
  <c r="AT754" i="8"/>
  <c r="AU754" i="8"/>
  <c r="AV754" i="8"/>
  <c r="AW754" i="8"/>
  <c r="AX755" i="8"/>
  <c r="AX756" i="8"/>
  <c r="AX757" i="8"/>
  <c r="AT758" i="8"/>
  <c r="AU758" i="8"/>
  <c r="AV758" i="8"/>
  <c r="AW758" i="8"/>
  <c r="AX759" i="8"/>
  <c r="AX760" i="8"/>
  <c r="AX761" i="8"/>
  <c r="AT762" i="8"/>
  <c r="AU762" i="8"/>
  <c r="AV762" i="8"/>
  <c r="AW762" i="8"/>
  <c r="AX763" i="8"/>
  <c r="AX764" i="8"/>
  <c r="AX765" i="8"/>
  <c r="AT766" i="8"/>
  <c r="AU766" i="8"/>
  <c r="AV766" i="8"/>
  <c r="AW766" i="8"/>
  <c r="AX767" i="8"/>
  <c r="AX768" i="8"/>
  <c r="AX769" i="8"/>
  <c r="AT770" i="8"/>
  <c r="AU770" i="8"/>
  <c r="AV770" i="8"/>
  <c r="AW770" i="8"/>
  <c r="AX771" i="8"/>
  <c r="AX772" i="8"/>
  <c r="AX773" i="8"/>
  <c r="AT774" i="8"/>
  <c r="AU774" i="8"/>
  <c r="AV774" i="8"/>
  <c r="AW774" i="8"/>
  <c r="AX775" i="8"/>
  <c r="AX776" i="8"/>
  <c r="AX777" i="8"/>
  <c r="AT778" i="8"/>
  <c r="AU778" i="8"/>
  <c r="AV778" i="8"/>
  <c r="AW778" i="8"/>
  <c r="AX779" i="8"/>
  <c r="AX780" i="8"/>
  <c r="AX781" i="8"/>
  <c r="AT782" i="8"/>
  <c r="AU782" i="8"/>
  <c r="AV782" i="8"/>
  <c r="AW782" i="8"/>
  <c r="AX783" i="8"/>
  <c r="AX784" i="8"/>
  <c r="AX785" i="8"/>
  <c r="AT786" i="8"/>
  <c r="AU786" i="8"/>
  <c r="AV786" i="8"/>
  <c r="AW786" i="8"/>
  <c r="AX787" i="8"/>
  <c r="AX788" i="8"/>
  <c r="AX789" i="8"/>
  <c r="AT790" i="8"/>
  <c r="AU790" i="8"/>
  <c r="AV790" i="8"/>
  <c r="AW790" i="8"/>
  <c r="AX791" i="8"/>
  <c r="AX792" i="8"/>
  <c r="AX793" i="8"/>
  <c r="AT794" i="8"/>
  <c r="AU794" i="8"/>
  <c r="AV794" i="8"/>
  <c r="AW794" i="8"/>
  <c r="AX795" i="8"/>
  <c r="AX796" i="8"/>
  <c r="AX797" i="8"/>
  <c r="AT798" i="8"/>
  <c r="AU798" i="8"/>
  <c r="AV798" i="8"/>
  <c r="AW798" i="8"/>
  <c r="AX799" i="8"/>
  <c r="AX800" i="8"/>
  <c r="AX801" i="8"/>
  <c r="AT802" i="8"/>
  <c r="AU802" i="8"/>
  <c r="AV802" i="8"/>
  <c r="AW802" i="8"/>
  <c r="AX803" i="8"/>
  <c r="AX804" i="8"/>
  <c r="AX805" i="8"/>
  <c r="AT806" i="8"/>
  <c r="AU806" i="8"/>
  <c r="AV806" i="8"/>
  <c r="AW806" i="8"/>
  <c r="AX807" i="8"/>
  <c r="AX808" i="8"/>
  <c r="AX809" i="8"/>
  <c r="AT810" i="8"/>
  <c r="AU810" i="8"/>
  <c r="AV810" i="8"/>
  <c r="AW810" i="8"/>
  <c r="AX811" i="8"/>
  <c r="AX812" i="8"/>
  <c r="AX813" i="8"/>
  <c r="AT814" i="8"/>
  <c r="AU814" i="8"/>
  <c r="AV814" i="8"/>
  <c r="AW814" i="8"/>
  <c r="AX815" i="8"/>
  <c r="AX816" i="8"/>
  <c r="AX817" i="8"/>
  <c r="AT818" i="8"/>
  <c r="AU818" i="8"/>
  <c r="AV818" i="8"/>
  <c r="AW818" i="8"/>
  <c r="AX819" i="8"/>
  <c r="AX820" i="8"/>
  <c r="AX821" i="8"/>
  <c r="AT822" i="8"/>
  <c r="AU822" i="8"/>
  <c r="AV822" i="8"/>
  <c r="AW822" i="8"/>
  <c r="AX823" i="8"/>
  <c r="AX824" i="8"/>
  <c r="AX825" i="8"/>
  <c r="AT826" i="8"/>
  <c r="AU826" i="8"/>
  <c r="AV826" i="8"/>
  <c r="AW826" i="8"/>
  <c r="AX827" i="8"/>
  <c r="AX828" i="8"/>
  <c r="AX829" i="8"/>
  <c r="AT830" i="8"/>
  <c r="AU830" i="8"/>
  <c r="AV830" i="8"/>
  <c r="AW830" i="8"/>
  <c r="AX831" i="8"/>
  <c r="AX832" i="8"/>
  <c r="AX833" i="8"/>
  <c r="AT834" i="8"/>
  <c r="AU834" i="8"/>
  <c r="AV834" i="8"/>
  <c r="AW834" i="8"/>
  <c r="AX835" i="8"/>
  <c r="AX836" i="8"/>
  <c r="AX837" i="8"/>
  <c r="AT838" i="8"/>
  <c r="AU838" i="8"/>
  <c r="AV838" i="8"/>
  <c r="AW838" i="8"/>
  <c r="AX839" i="8"/>
  <c r="AX840" i="8"/>
  <c r="AX841" i="8"/>
  <c r="AT842" i="8"/>
  <c r="AU842" i="8"/>
  <c r="AV842" i="8"/>
  <c r="AW842" i="8"/>
  <c r="AX843" i="8"/>
  <c r="AX844" i="8"/>
  <c r="AX845" i="8"/>
  <c r="AT846" i="8"/>
  <c r="AU846" i="8"/>
  <c r="AV846" i="8"/>
  <c r="AW846" i="8"/>
  <c r="AX847" i="8"/>
  <c r="AX848" i="8"/>
  <c r="AX849" i="8"/>
  <c r="AT850" i="8"/>
  <c r="AU850" i="8"/>
  <c r="AV850" i="8"/>
  <c r="AW850" i="8"/>
  <c r="AX851" i="8"/>
  <c r="AX852" i="8"/>
  <c r="AX853" i="8"/>
  <c r="AT854" i="8"/>
  <c r="AU854" i="8"/>
  <c r="AV854" i="8"/>
  <c r="AW854" i="8"/>
  <c r="AX855" i="8"/>
  <c r="AX856" i="8"/>
  <c r="AX857" i="8"/>
  <c r="AT858" i="8"/>
  <c r="AU858" i="8"/>
  <c r="AV858" i="8"/>
  <c r="AW858" i="8"/>
  <c r="AX859" i="8"/>
  <c r="AX860" i="8"/>
  <c r="AX861" i="8"/>
  <c r="AT862" i="8"/>
  <c r="AU862" i="8"/>
  <c r="AV862" i="8"/>
  <c r="AW862" i="8"/>
  <c r="AX863" i="8"/>
  <c r="AX864" i="8"/>
  <c r="AX865" i="8"/>
  <c r="AT866" i="8"/>
  <c r="AU866" i="8"/>
  <c r="AV866" i="8"/>
  <c r="AW866" i="8"/>
  <c r="AX867" i="8"/>
  <c r="AX868" i="8"/>
  <c r="AX869" i="8"/>
  <c r="AT870" i="8"/>
  <c r="AU870" i="8"/>
  <c r="AV870" i="8"/>
  <c r="AW870" i="8"/>
  <c r="AX871" i="8"/>
  <c r="AX872" i="8"/>
  <c r="AX873" i="8"/>
  <c r="AT874" i="8"/>
  <c r="AU874" i="8"/>
  <c r="AV874" i="8"/>
  <c r="AW874" i="8"/>
  <c r="AX875" i="8"/>
  <c r="AX876" i="8"/>
  <c r="AX877" i="8"/>
  <c r="AT878" i="8"/>
  <c r="AU878" i="8"/>
  <c r="AV878" i="8"/>
  <c r="AW878" i="8"/>
  <c r="AX879" i="8"/>
  <c r="AX880" i="8"/>
  <c r="AX881" i="8"/>
  <c r="AT882" i="8"/>
  <c r="AU882" i="8"/>
  <c r="AV882" i="8"/>
  <c r="AW882" i="8"/>
  <c r="AX883" i="8"/>
  <c r="AX884" i="8"/>
  <c r="AX885" i="8"/>
  <c r="AT886" i="8"/>
  <c r="AU886" i="8"/>
  <c r="AV886" i="8"/>
  <c r="AW886" i="8"/>
  <c r="AX887" i="8"/>
  <c r="AX888" i="8"/>
  <c r="AX889" i="8"/>
  <c r="AT890" i="8"/>
  <c r="AU890" i="8"/>
  <c r="AV890" i="8"/>
  <c r="AW890" i="8"/>
  <c r="AX891" i="8"/>
  <c r="AX892" i="8"/>
  <c r="AX893" i="8"/>
  <c r="AT894" i="8"/>
  <c r="AU894" i="8"/>
  <c r="AV894" i="8"/>
  <c r="AW894" i="8"/>
  <c r="AX895" i="8"/>
  <c r="AX896" i="8"/>
  <c r="AX897" i="8"/>
  <c r="AT898" i="8"/>
  <c r="AU898" i="8"/>
  <c r="AV898" i="8"/>
  <c r="AW898" i="8"/>
  <c r="AX899" i="8"/>
  <c r="AX900" i="8"/>
  <c r="AX901" i="8"/>
  <c r="AT902" i="8"/>
  <c r="AU902" i="8"/>
  <c r="AV902" i="8"/>
  <c r="AW902" i="8"/>
  <c r="AX903" i="8"/>
  <c r="AX904" i="8"/>
  <c r="AX905" i="8"/>
  <c r="AT906" i="8"/>
  <c r="AU906" i="8"/>
  <c r="AV906" i="8"/>
  <c r="AW906" i="8"/>
  <c r="AX907" i="8"/>
  <c r="AX908" i="8"/>
  <c r="AX909" i="8"/>
  <c r="AT910" i="8"/>
  <c r="AU910" i="8"/>
  <c r="AV910" i="8"/>
  <c r="AW910" i="8"/>
  <c r="AX911" i="8"/>
  <c r="AX912" i="8"/>
  <c r="AX913" i="8"/>
  <c r="AT914" i="8"/>
  <c r="AU914" i="8"/>
  <c r="AV914" i="8"/>
  <c r="AW914" i="8"/>
  <c r="AX915" i="8"/>
  <c r="AX916" i="8"/>
  <c r="AX917" i="8"/>
  <c r="AT918" i="8"/>
  <c r="AU918" i="8"/>
  <c r="AV918" i="8"/>
  <c r="AW918" i="8"/>
  <c r="AX919" i="8"/>
  <c r="AX920" i="8"/>
  <c r="AX921" i="8"/>
  <c r="AT922" i="8"/>
  <c r="AU922" i="8"/>
  <c r="AV922" i="8"/>
  <c r="AW922" i="8"/>
  <c r="AX923" i="8"/>
  <c r="AX924" i="8"/>
  <c r="AX925" i="8"/>
  <c r="AT926" i="8"/>
  <c r="AU926" i="8"/>
  <c r="AV926" i="8"/>
  <c r="AW926" i="8"/>
  <c r="AX927" i="8"/>
  <c r="AX928" i="8"/>
  <c r="AX929" i="8"/>
  <c r="AT930" i="8"/>
  <c r="AU930" i="8"/>
  <c r="AV930" i="8"/>
  <c r="AW930" i="8"/>
  <c r="AX931" i="8"/>
  <c r="AX932" i="8"/>
  <c r="AX933" i="8"/>
  <c r="AT934" i="8"/>
  <c r="AU934" i="8"/>
  <c r="AV934" i="8"/>
  <c r="AW934" i="8"/>
  <c r="AX935" i="8"/>
  <c r="AX936" i="8"/>
  <c r="AX937" i="8"/>
  <c r="AT938" i="8"/>
  <c r="AU938" i="8"/>
  <c r="AV938" i="8"/>
  <c r="AW938" i="8"/>
  <c r="AX939" i="8"/>
  <c r="AX940" i="8"/>
  <c r="AX941" i="8"/>
  <c r="AT942" i="8"/>
  <c r="AU942" i="8"/>
  <c r="AV942" i="8"/>
  <c r="AW942" i="8"/>
  <c r="AX943" i="8"/>
  <c r="AX944" i="8"/>
  <c r="AX945" i="8"/>
  <c r="AT946" i="8"/>
  <c r="AU946" i="8"/>
  <c r="AV946" i="8"/>
  <c r="AW946" i="8"/>
  <c r="AX947" i="8"/>
  <c r="AX948" i="8"/>
  <c r="AX949" i="8"/>
  <c r="AT950" i="8"/>
  <c r="AU950" i="8"/>
  <c r="AV950" i="8"/>
  <c r="AW950" i="8"/>
  <c r="AX951" i="8"/>
  <c r="AX952" i="8"/>
  <c r="AX953" i="8"/>
  <c r="AT954" i="8"/>
  <c r="AU954" i="8"/>
  <c r="AV954" i="8"/>
  <c r="AW954" i="8"/>
  <c r="AX955" i="8"/>
  <c r="AX956" i="8"/>
  <c r="AX957" i="8"/>
  <c r="AT958" i="8"/>
  <c r="AU958" i="8"/>
  <c r="AV958" i="8"/>
  <c r="AW958" i="8"/>
  <c r="AX959" i="8"/>
  <c r="AX960" i="8"/>
  <c r="AX961" i="8"/>
  <c r="AT962" i="8"/>
  <c r="AU962" i="8"/>
  <c r="AV962" i="8"/>
  <c r="AW962" i="8"/>
  <c r="AX963" i="8"/>
  <c r="AX964" i="8"/>
  <c r="AX965" i="8"/>
  <c r="AT966" i="8"/>
  <c r="AU966" i="8"/>
  <c r="AV966" i="8"/>
  <c r="AW966" i="8"/>
  <c r="AX967" i="8"/>
  <c r="AX968" i="8"/>
  <c r="AX969" i="8"/>
  <c r="AT970" i="8"/>
  <c r="AU970" i="8"/>
  <c r="AV970" i="8"/>
  <c r="AW970" i="8"/>
  <c r="AX971" i="8"/>
  <c r="AX972" i="8"/>
  <c r="AX973" i="8"/>
  <c r="AT974" i="8"/>
  <c r="AU974" i="8"/>
  <c r="AV974" i="8"/>
  <c r="AW974" i="8"/>
  <c r="AX975" i="8"/>
  <c r="AX976" i="8"/>
  <c r="AX977" i="8"/>
  <c r="AT978" i="8"/>
  <c r="AU978" i="8"/>
  <c r="AV978" i="8"/>
  <c r="AW978" i="8"/>
  <c r="AX979" i="8"/>
  <c r="AX980" i="8"/>
  <c r="AX981" i="8"/>
  <c r="AT982" i="8"/>
  <c r="AU982" i="8"/>
  <c r="AV982" i="8"/>
  <c r="AW982" i="8"/>
  <c r="AX983" i="8"/>
  <c r="AX984" i="8"/>
  <c r="AX985" i="8"/>
  <c r="AT986" i="8"/>
  <c r="AU986" i="8"/>
  <c r="AV986" i="8"/>
  <c r="AW986" i="8"/>
  <c r="AX987" i="8"/>
  <c r="AX988" i="8"/>
  <c r="AX989" i="8"/>
  <c r="AT990" i="8"/>
  <c r="AU990" i="8"/>
  <c r="AV990" i="8"/>
  <c r="AW990" i="8"/>
  <c r="AX991" i="8"/>
  <c r="AX992" i="8"/>
  <c r="AX993" i="8"/>
  <c r="AT994" i="8"/>
  <c r="AU994" i="8"/>
  <c r="AV994" i="8"/>
  <c r="AW994" i="8"/>
  <c r="AX995" i="8"/>
  <c r="AX996" i="8"/>
  <c r="AX997" i="8"/>
  <c r="AT998" i="8"/>
  <c r="AU998" i="8"/>
  <c r="AV998" i="8"/>
  <c r="AW998" i="8"/>
  <c r="AX999" i="8"/>
  <c r="AX1000" i="8"/>
  <c r="AX1001" i="8"/>
  <c r="AT1002" i="8"/>
  <c r="AU1002" i="8"/>
  <c r="AV1002" i="8"/>
  <c r="AW1002" i="8"/>
  <c r="AX1003" i="8"/>
  <c r="AX1004" i="8"/>
  <c r="AX1005" i="8"/>
  <c r="AT1006" i="8"/>
  <c r="AU1006" i="8"/>
  <c r="AV1006" i="8"/>
  <c r="AW1006" i="8"/>
  <c r="AX1007" i="8"/>
  <c r="AX1008" i="8"/>
  <c r="AX1009" i="8"/>
  <c r="AT1010" i="8"/>
  <c r="AU1010" i="8"/>
  <c r="AV1010" i="8"/>
  <c r="AW1010" i="8"/>
  <c r="AX1011" i="8"/>
  <c r="AX1012" i="8"/>
  <c r="AX1013" i="8"/>
  <c r="AT1014" i="8"/>
  <c r="AU1014" i="8"/>
  <c r="AV1014" i="8"/>
  <c r="AW1014" i="8"/>
  <c r="AX1015" i="8"/>
  <c r="AX1016" i="8"/>
  <c r="AX1017" i="8"/>
  <c r="AT1018" i="8"/>
  <c r="AU1018" i="8"/>
  <c r="AV1018" i="8"/>
  <c r="AW1018" i="8"/>
  <c r="AX1019" i="8"/>
  <c r="AX1020" i="8"/>
  <c r="AX1021" i="8"/>
  <c r="AT1022" i="8"/>
  <c r="AU1022" i="8"/>
  <c r="AV1022" i="8"/>
  <c r="AW1022" i="8"/>
  <c r="AX1023" i="8"/>
  <c r="AX1024" i="8"/>
  <c r="AX1025" i="8"/>
  <c r="AT1026" i="8"/>
  <c r="AU1026" i="8"/>
  <c r="AV1026" i="8"/>
  <c r="AW1026" i="8"/>
  <c r="AX1027" i="8"/>
  <c r="AX1028" i="8"/>
  <c r="AX1029" i="8"/>
  <c r="AT1030" i="8"/>
  <c r="AU1030" i="8"/>
  <c r="AV1030" i="8"/>
  <c r="AW1030" i="8"/>
  <c r="AX1031" i="8"/>
  <c r="AX1032" i="8"/>
  <c r="AX1033" i="8"/>
  <c r="AT1034" i="8"/>
  <c r="AU1034" i="8"/>
  <c r="AV1034" i="8"/>
  <c r="AW1034" i="8"/>
  <c r="AX1035" i="8"/>
  <c r="AX1036" i="8"/>
  <c r="AX1037" i="8"/>
  <c r="AT1038" i="8"/>
  <c r="AU1038" i="8"/>
  <c r="AV1038" i="8"/>
  <c r="AW1038" i="8"/>
  <c r="AX1039" i="8"/>
  <c r="AX1040" i="8"/>
  <c r="AX1041" i="8"/>
  <c r="AT1042" i="8"/>
  <c r="AU1042" i="8"/>
  <c r="AV1042" i="8"/>
  <c r="AW1042" i="8"/>
  <c r="AX1043" i="8"/>
  <c r="AX1044" i="8"/>
  <c r="AX1045" i="8"/>
  <c r="AT1046" i="8"/>
  <c r="AU1046" i="8"/>
  <c r="AV1046" i="8"/>
  <c r="AW1046" i="8"/>
  <c r="AX1047" i="8"/>
  <c r="AX1048" i="8"/>
  <c r="AX1049" i="8"/>
  <c r="AT1050" i="8"/>
  <c r="AU1050" i="8"/>
  <c r="AV1050" i="8"/>
  <c r="AW1050" i="8"/>
  <c r="AX1051" i="8"/>
  <c r="AX1052" i="8"/>
  <c r="AX1053" i="8"/>
  <c r="AT1054" i="8"/>
  <c r="AU1054" i="8"/>
  <c r="AV1054" i="8"/>
  <c r="AW1054" i="8"/>
  <c r="AX1055" i="8"/>
  <c r="AX1056" i="8"/>
  <c r="AX1057" i="8"/>
  <c r="AT1058" i="8"/>
  <c r="AU1058" i="8"/>
  <c r="AV1058" i="8"/>
  <c r="AW1058" i="8"/>
  <c r="AX1059" i="8"/>
  <c r="AX1060" i="8"/>
  <c r="AX1061" i="8"/>
  <c r="AT1062" i="8"/>
  <c r="AU1062" i="8"/>
  <c r="AV1062" i="8"/>
  <c r="AW1062" i="8"/>
  <c r="AX1063" i="8"/>
  <c r="AX1064" i="8"/>
  <c r="AX1065" i="8"/>
  <c r="AT1066" i="8"/>
  <c r="AU1066" i="8"/>
  <c r="AV1066" i="8"/>
  <c r="AW1066" i="8"/>
  <c r="AX1067" i="8"/>
  <c r="AX1068" i="8"/>
  <c r="AX1069" i="8"/>
  <c r="AT1070" i="8"/>
  <c r="AU1070" i="8"/>
  <c r="AV1070" i="8"/>
  <c r="AW1070" i="8"/>
  <c r="AX1071" i="8"/>
  <c r="AX1072" i="8"/>
  <c r="AX1073" i="8"/>
  <c r="AT1074" i="8"/>
  <c r="AU1074" i="8"/>
  <c r="AV1074" i="8"/>
  <c r="AW1074" i="8"/>
  <c r="AX1075" i="8"/>
  <c r="AX1076" i="8"/>
  <c r="AX1077" i="8"/>
  <c r="AT1078" i="8"/>
  <c r="AU1078" i="8"/>
  <c r="AV1078" i="8"/>
  <c r="AW1078" i="8"/>
  <c r="AX1079" i="8"/>
  <c r="AX1080" i="8"/>
  <c r="AX1081" i="8"/>
  <c r="AT1082" i="8"/>
  <c r="AU1082" i="8"/>
  <c r="AV1082" i="8"/>
  <c r="AW1082" i="8"/>
  <c r="AX1083" i="8"/>
  <c r="AX1084" i="8"/>
  <c r="AX1085" i="8"/>
  <c r="AT1086" i="8"/>
  <c r="AU1086" i="8"/>
  <c r="AV1086" i="8"/>
  <c r="AW1086" i="8"/>
  <c r="AW14" i="8"/>
  <c r="AV14" i="8"/>
  <c r="AU14" i="8"/>
  <c r="AT14" i="8"/>
  <c r="AX13" i="8"/>
  <c r="AX12" i="8"/>
  <c r="AX11" i="8"/>
  <c r="BB1022" i="8" l="1"/>
  <c r="BB638" i="8"/>
  <c r="BB454" i="8"/>
  <c r="BB470" i="8"/>
  <c r="BB54" i="8"/>
  <c r="BB558" i="8"/>
  <c r="BB598" i="8"/>
  <c r="BB590" i="8"/>
  <c r="BB574" i="8"/>
  <c r="BB554" i="8"/>
  <c r="BB246" i="8"/>
  <c r="BB982" i="8"/>
  <c r="BB870" i="8"/>
  <c r="BB782" i="8"/>
  <c r="BB770" i="8"/>
  <c r="BB510" i="8"/>
  <c r="BB478" i="8"/>
  <c r="BB430" i="8"/>
  <c r="BB414" i="8"/>
  <c r="BB406" i="8"/>
  <c r="BB382" i="8"/>
  <c r="BB318" i="8"/>
  <c r="BB286" i="8"/>
  <c r="BB266" i="8"/>
  <c r="AX1078" i="8"/>
  <c r="AX1062" i="8"/>
  <c r="AX982" i="8"/>
  <c r="AX870" i="8"/>
  <c r="AX566" i="8"/>
  <c r="AX438" i="8"/>
  <c r="AX422" i="8"/>
  <c r="AX390" i="8"/>
  <c r="AX374" i="8"/>
  <c r="AX358" i="8"/>
  <c r="AX326" i="8"/>
  <c r="AX310" i="8"/>
  <c r="AX294" i="8"/>
  <c r="AX278" i="8"/>
  <c r="AX246" i="8"/>
  <c r="AX230" i="8"/>
  <c r="AX198" i="8"/>
  <c r="AX182" i="8"/>
  <c r="AX166" i="8"/>
  <c r="AX150" i="8"/>
  <c r="AX134" i="8"/>
  <c r="AX118" i="8"/>
  <c r="AX102" i="8"/>
  <c r="AX86" i="8"/>
  <c r="AX70" i="8"/>
  <c r="AX54" i="8"/>
  <c r="AX38" i="8"/>
  <c r="BB630" i="8"/>
  <c r="BB622" i="8"/>
  <c r="BB222" i="8"/>
  <c r="BB94" i="8"/>
  <c r="BB78" i="8"/>
  <c r="BB182" i="8"/>
  <c r="BB158" i="8"/>
  <c r="BB150" i="8"/>
  <c r="BB46" i="8"/>
  <c r="BB30" i="8"/>
  <c r="BB22" i="8"/>
  <c r="AX342" i="8"/>
  <c r="AX262" i="8"/>
  <c r="AX214" i="8"/>
  <c r="AX22" i="8"/>
  <c r="BB662" i="8"/>
  <c r="BB494" i="8"/>
  <c r="BB302" i="8"/>
  <c r="BB206" i="8"/>
  <c r="BB190" i="8"/>
  <c r="BB142" i="8"/>
  <c r="BB126" i="8"/>
  <c r="BB118" i="8"/>
  <c r="BB110" i="8"/>
  <c r="BB90" i="8"/>
  <c r="BB702" i="8"/>
  <c r="BB686" i="8"/>
  <c r="BB670" i="8"/>
  <c r="BB534" i="8"/>
  <c r="BB438" i="8"/>
  <c r="BB374" i="8"/>
  <c r="BB342" i="8"/>
  <c r="BB1046" i="8"/>
  <c r="BB958" i="8"/>
  <c r="BB926" i="8"/>
  <c r="BB918" i="8"/>
  <c r="BB710" i="8"/>
  <c r="BB654" i="8"/>
  <c r="BB542" i="8"/>
  <c r="BB502" i="8"/>
  <c r="BB482" i="8"/>
  <c r="BB462" i="8"/>
  <c r="BB402" i="8"/>
  <c r="BB386" i="8"/>
  <c r="BB366" i="8"/>
  <c r="BB254" i="8"/>
  <c r="BB214" i="8"/>
  <c r="BB194" i="8"/>
  <c r="BB174" i="8"/>
  <c r="BB114" i="8"/>
  <c r="BB38" i="8"/>
  <c r="BB1014" i="8"/>
  <c r="BB978" i="8"/>
  <c r="BB798" i="8"/>
  <c r="BB658" i="8"/>
  <c r="BB606" i="8"/>
  <c r="BB566" i="8"/>
  <c r="BB526" i="8"/>
  <c r="BB506" i="8"/>
  <c r="BB426" i="8"/>
  <c r="BB314" i="8"/>
  <c r="BB278" i="8"/>
  <c r="BB238" i="8"/>
  <c r="BB218" i="8"/>
  <c r="BB62" i="8"/>
  <c r="BB822" i="8"/>
  <c r="BB610" i="8"/>
  <c r="BB530" i="8"/>
  <c r="BB86" i="8"/>
  <c r="BB66" i="8"/>
  <c r="AX906" i="8"/>
  <c r="AX570" i="8"/>
  <c r="AX394" i="8"/>
  <c r="AX378" i="8"/>
  <c r="AX362" i="8"/>
  <c r="AX346" i="8"/>
  <c r="AX330" i="8"/>
  <c r="AX314" i="8"/>
  <c r="AX298" i="8"/>
  <c r="AX282" i="8"/>
  <c r="AX266" i="8"/>
  <c r="AX250" i="8"/>
  <c r="AX154" i="8"/>
  <c r="AX138" i="8"/>
  <c r="AX122" i="8"/>
  <c r="AX106" i="8"/>
  <c r="AX90" i="8"/>
  <c r="AX74" i="8"/>
  <c r="AX58" i="8"/>
  <c r="AX42" i="8"/>
  <c r="AX26" i="8"/>
  <c r="BB1054" i="8"/>
  <c r="BB1038" i="8"/>
  <c r="BB1018" i="8"/>
  <c r="BB862" i="8"/>
  <c r="BB830" i="8"/>
  <c r="BB814" i="8"/>
  <c r="BB794" i="8"/>
  <c r="BB742" i="8"/>
  <c r="BB734" i="8"/>
  <c r="BB706" i="8"/>
  <c r="BB666" i="8"/>
  <c r="BB642" i="8"/>
  <c r="BB586" i="8"/>
  <c r="BB562" i="8"/>
  <c r="BB538" i="8"/>
  <c r="BB514" i="8"/>
  <c r="BB486" i="8"/>
  <c r="BB458" i="8"/>
  <c r="BB434" i="8"/>
  <c r="BB410" i="8"/>
  <c r="BB398" i="8"/>
  <c r="BB322" i="8"/>
  <c r="BB310" i="8"/>
  <c r="BB298" i="8"/>
  <c r="BB274" i="8"/>
  <c r="BB250" i="8"/>
  <c r="BB226" i="8"/>
  <c r="BB170" i="8"/>
  <c r="BB146" i="8"/>
  <c r="BB122" i="8"/>
  <c r="BB98" i="8"/>
  <c r="BB70" i="8"/>
  <c r="BB42" i="8"/>
  <c r="AX890" i="8"/>
  <c r="AX858" i="8"/>
  <c r="AX794" i="8"/>
  <c r="AX574" i="8"/>
  <c r="AX558" i="8"/>
  <c r="AX542" i="8"/>
  <c r="AX526" i="8"/>
  <c r="AX510" i="8"/>
  <c r="AX494" i="8"/>
  <c r="AX478" i="8"/>
  <c r="AX462" i="8"/>
  <c r="AX446" i="8"/>
  <c r="AX382" i="8"/>
  <c r="AX366" i="8"/>
  <c r="AX350" i="8"/>
  <c r="AX334" i="8"/>
  <c r="AX318" i="8"/>
  <c r="AX302" i="8"/>
  <c r="AX286" i="8"/>
  <c r="AX270" i="8"/>
  <c r="AX254" i="8"/>
  <c r="AX238" i="8"/>
  <c r="AX142" i="8"/>
  <c r="AX126" i="8"/>
  <c r="AX110" i="8"/>
  <c r="AX94" i="8"/>
  <c r="AX78" i="8"/>
  <c r="AX62" i="8"/>
  <c r="AX46" i="8"/>
  <c r="AX30" i="8"/>
  <c r="BB1082" i="8"/>
  <c r="BB1066" i="8"/>
  <c r="BB1042" i="8"/>
  <c r="BB942" i="8"/>
  <c r="BB902" i="8"/>
  <c r="BB886" i="8"/>
  <c r="BB866" i="8"/>
  <c r="BB818" i="8"/>
  <c r="BB694" i="8"/>
  <c r="BB674" i="8"/>
  <c r="BB618" i="8"/>
  <c r="BB594" i="8"/>
  <c r="BB570" i="8"/>
  <c r="BB546" i="8"/>
  <c r="BB490" i="8"/>
  <c r="BB466" i="8"/>
  <c r="BB442" i="8"/>
  <c r="BB418" i="8"/>
  <c r="BB370" i="8"/>
  <c r="BB334" i="8"/>
  <c r="BB326" i="8"/>
  <c r="BB306" i="8"/>
  <c r="BB282" i="8"/>
  <c r="BB258" i="8"/>
  <c r="BB202" i="8"/>
  <c r="BB178" i="8"/>
  <c r="BB154" i="8"/>
  <c r="BB130" i="8"/>
  <c r="BB50" i="8"/>
  <c r="BB26" i="8"/>
  <c r="AX874" i="8"/>
  <c r="AX810" i="8"/>
  <c r="AX730" i="8"/>
  <c r="AX1074" i="8"/>
  <c r="AX1058" i="8"/>
  <c r="AX1042" i="8"/>
  <c r="AX1026" i="8"/>
  <c r="AX1010" i="8"/>
  <c r="AX994" i="8"/>
  <c r="AX962" i="8"/>
  <c r="AX946" i="8"/>
  <c r="AX930" i="8"/>
  <c r="AX898" i="8"/>
  <c r="AX786" i="8"/>
  <c r="AX770" i="8"/>
  <c r="AX754" i="8"/>
  <c r="AX690" i="8"/>
  <c r="AX626" i="8"/>
  <c r="AX610" i="8"/>
  <c r="AX594" i="8"/>
  <c r="AX578" i="8"/>
  <c r="AX562" i="8"/>
  <c r="AX450" i="8"/>
  <c r="AX434" i="8"/>
  <c r="AX418" i="8"/>
  <c r="AX386" i="8"/>
  <c r="AX370" i="8"/>
  <c r="AX354" i="8"/>
  <c r="AX338" i="8"/>
  <c r="AX322" i="8"/>
  <c r="AX306" i="8"/>
  <c r="AX290" i="8"/>
  <c r="AX274" i="8"/>
  <c r="AX258" i="8"/>
  <c r="AX242" i="8"/>
  <c r="AX146" i="8"/>
  <c r="AX130" i="8"/>
  <c r="AX114" i="8"/>
  <c r="AX98" i="8"/>
  <c r="AX82" i="8"/>
  <c r="AX66" i="8"/>
  <c r="AX50" i="8"/>
  <c r="AX34" i="8"/>
  <c r="AX18" i="8"/>
  <c r="BB1086" i="8"/>
  <c r="BB1070" i="8"/>
  <c r="BB966" i="8"/>
  <c r="BB954" i="8"/>
  <c r="BB894" i="8"/>
  <c r="BB890" i="8"/>
  <c r="BB854" i="8"/>
  <c r="BB846" i="8"/>
  <c r="BB758" i="8"/>
  <c r="BB602" i="8"/>
  <c r="BB578" i="8"/>
  <c r="BB522" i="8"/>
  <c r="BB498" i="8"/>
  <c r="BB450" i="8"/>
  <c r="BB378" i="8"/>
  <c r="BB354" i="8"/>
  <c r="BB290" i="8"/>
  <c r="BB234" i="8"/>
  <c r="BB210" i="8"/>
  <c r="BB186" i="8"/>
  <c r="BB162" i="8"/>
  <c r="BB106" i="8"/>
  <c r="BB82" i="8"/>
  <c r="BB58" i="8"/>
  <c r="BB34" i="8"/>
  <c r="AX1082" i="8"/>
  <c r="AX1066" i="8"/>
  <c r="AX1050" i="8"/>
  <c r="AX1034" i="8"/>
  <c r="AX1018" i="8"/>
  <c r="AX1002" i="8"/>
  <c r="AX986" i="8"/>
  <c r="AX970" i="8"/>
  <c r="AX954" i="8"/>
  <c r="AX938" i="8"/>
  <c r="AX922" i="8"/>
  <c r="AX842" i="8"/>
  <c r="AX826" i="8"/>
  <c r="AX778" i="8"/>
  <c r="AX762" i="8"/>
  <c r="AX746" i="8"/>
  <c r="AX714" i="8"/>
  <c r="AX698" i="8"/>
  <c r="AX682" i="8"/>
  <c r="AX666" i="8"/>
  <c r="AX650" i="8"/>
  <c r="AX634" i="8"/>
  <c r="AX618" i="8"/>
  <c r="AX602" i="8"/>
  <c r="AX586" i="8"/>
  <c r="AX550" i="8"/>
  <c r="AX534" i="8"/>
  <c r="AX518" i="8"/>
  <c r="AX502" i="8"/>
  <c r="AX486" i="8"/>
  <c r="AX470" i="8"/>
  <c r="AX454" i="8"/>
  <c r="AX406" i="8"/>
  <c r="AX1086" i="8"/>
  <c r="AX1070" i="8"/>
  <c r="AX1054" i="8"/>
  <c r="AX1038" i="8"/>
  <c r="AX1022" i="8"/>
  <c r="AX1006" i="8"/>
  <c r="AX990" i="8"/>
  <c r="AX974" i="8"/>
  <c r="AX958" i="8"/>
  <c r="AX942" i="8"/>
  <c r="AX926" i="8"/>
  <c r="AX910" i="8"/>
  <c r="AX894" i="8"/>
  <c r="AX878" i="8"/>
  <c r="AX862" i="8"/>
  <c r="AX846" i="8"/>
  <c r="AX830" i="8"/>
  <c r="AX814" i="8"/>
  <c r="AX798" i="8"/>
  <c r="AX782" i="8"/>
  <c r="AX766" i="8"/>
  <c r="AX750" i="8"/>
  <c r="AX734" i="8"/>
  <c r="AX718" i="8"/>
  <c r="AX702" i="8"/>
  <c r="AX686" i="8"/>
  <c r="AX670" i="8"/>
  <c r="AX654" i="8"/>
  <c r="AX638" i="8"/>
  <c r="AX622" i="8"/>
  <c r="AX606" i="8"/>
  <c r="AX590" i="8"/>
  <c r="AX554" i="8"/>
  <c r="AX538" i="8"/>
  <c r="AX522" i="8"/>
  <c r="AX506" i="8"/>
  <c r="AX490" i="8"/>
  <c r="AX474" i="8"/>
  <c r="AX458" i="8"/>
  <c r="AX442" i="8"/>
  <c r="AX426" i="8"/>
  <c r="AX410" i="8"/>
  <c r="AX978" i="8"/>
  <c r="AX914" i="8"/>
  <c r="AX882" i="8"/>
  <c r="AX866" i="8"/>
  <c r="AX850" i="8"/>
  <c r="AX834" i="8"/>
  <c r="AX818" i="8"/>
  <c r="AX802" i="8"/>
  <c r="AX738" i="8"/>
  <c r="AX722" i="8"/>
  <c r="AX706" i="8"/>
  <c r="AX674" i="8"/>
  <c r="AX658" i="8"/>
  <c r="AX642" i="8"/>
  <c r="AX430" i="8"/>
  <c r="AX414" i="8"/>
  <c r="AX398" i="8"/>
  <c r="AX1046" i="8"/>
  <c r="AX1030" i="8"/>
  <c r="AX1014" i="8"/>
  <c r="AX998" i="8"/>
  <c r="AX966" i="8"/>
  <c r="AX950" i="8"/>
  <c r="AX934" i="8"/>
  <c r="AX918" i="8"/>
  <c r="AX902" i="8"/>
  <c r="AX886" i="8"/>
  <c r="AX854" i="8"/>
  <c r="AX838" i="8"/>
  <c r="AX822" i="8"/>
  <c r="AX806" i="8"/>
  <c r="AX790" i="8"/>
  <c r="AX774" i="8"/>
  <c r="AX758" i="8"/>
  <c r="AX742" i="8"/>
  <c r="AX726" i="8"/>
  <c r="AX710" i="8"/>
  <c r="AX694" i="8"/>
  <c r="AX678" i="8"/>
  <c r="AX662" i="8"/>
  <c r="AX646" i="8"/>
  <c r="AX630" i="8"/>
  <c r="AX614" i="8"/>
  <c r="AX598" i="8"/>
  <c r="AX582" i="8"/>
  <c r="AX546" i="8"/>
  <c r="AX530" i="8"/>
  <c r="AX514" i="8"/>
  <c r="AX498" i="8"/>
  <c r="AX482" i="8"/>
  <c r="AX466" i="8"/>
  <c r="AX402" i="8"/>
  <c r="AX234" i="8"/>
  <c r="AX218" i="8"/>
  <c r="AX202" i="8"/>
  <c r="AX186" i="8"/>
  <c r="AX170" i="8"/>
  <c r="AX222" i="8"/>
  <c r="AX206" i="8"/>
  <c r="AX190" i="8"/>
  <c r="AX174" i="8"/>
  <c r="AX158" i="8"/>
  <c r="AX226" i="8"/>
  <c r="AX210" i="8"/>
  <c r="AX194" i="8"/>
  <c r="AX178" i="8"/>
  <c r="AX162" i="8"/>
  <c r="BB678" i="8"/>
  <c r="BB650" i="8"/>
  <c r="BB626" i="8"/>
  <c r="BB550" i="8"/>
  <c r="BB474" i="8"/>
  <c r="BB422" i="8"/>
  <c r="BB394" i="8"/>
  <c r="BB346" i="8"/>
  <c r="BB294" i="8"/>
  <c r="BB242" i="8"/>
  <c r="BB166" i="8"/>
  <c r="BB138" i="8"/>
  <c r="BB1074" i="8"/>
  <c r="BB1030" i="8"/>
  <c r="BB1026" i="8"/>
  <c r="BB1006" i="8"/>
  <c r="BB1002" i="8"/>
  <c r="BB990" i="8"/>
  <c r="BB986" i="8"/>
  <c r="BB962" i="8"/>
  <c r="BB938" i="8"/>
  <c r="BB914" i="8"/>
  <c r="BB878" i="8"/>
  <c r="BB874" i="8"/>
  <c r="BB842" i="8"/>
  <c r="BB806" i="8"/>
  <c r="BB802" i="8"/>
  <c r="BB778" i="8"/>
  <c r="BB754" i="8"/>
  <c r="BB730" i="8"/>
  <c r="BB718" i="8"/>
  <c r="BB714" i="8"/>
  <c r="BB682" i="8"/>
  <c r="BB582" i="8"/>
  <c r="BB198" i="8"/>
  <c r="BB1050" i="8"/>
  <c r="BB974" i="8"/>
  <c r="BB970" i="8"/>
  <c r="BB950" i="8"/>
  <c r="BB946" i="8"/>
  <c r="BB922" i="8"/>
  <c r="BB898" i="8"/>
  <c r="BB850" i="8"/>
  <c r="BB826" i="8"/>
  <c r="BB790" i="8"/>
  <c r="BB786" i="8"/>
  <c r="BB766" i="8"/>
  <c r="BB762" i="8"/>
  <c r="BB738" i="8"/>
  <c r="BB690" i="8"/>
  <c r="BB614" i="8"/>
  <c r="BB358" i="8"/>
  <c r="BB330" i="8"/>
  <c r="BB230" i="8"/>
  <c r="BB102" i="8"/>
  <c r="BB74" i="8"/>
  <c r="BB1078" i="8"/>
  <c r="BB1062" i="8"/>
  <c r="BB1058" i="8"/>
  <c r="BB1034" i="8"/>
  <c r="BB1010" i="8"/>
  <c r="BB998" i="8"/>
  <c r="BB994" i="8"/>
  <c r="BB934" i="8"/>
  <c r="BB930" i="8"/>
  <c r="BB910" i="8"/>
  <c r="BB906" i="8"/>
  <c r="BB882" i="8"/>
  <c r="BB858" i="8"/>
  <c r="BB838" i="8"/>
  <c r="BB834" i="8"/>
  <c r="BB810" i="8"/>
  <c r="BB750" i="8"/>
  <c r="BB746" i="8"/>
  <c r="BB726" i="8"/>
  <c r="BB722" i="8"/>
  <c r="BB698" i="8"/>
  <c r="BB646" i="8"/>
  <c r="BB518" i="8"/>
  <c r="BB390" i="8"/>
  <c r="BB362" i="8"/>
  <c r="BB338" i="8"/>
  <c r="BB262" i="8"/>
  <c r="BB134" i="8"/>
  <c r="BB14" i="8"/>
  <c r="AX14" i="8"/>
  <c r="K11" i="8"/>
  <c r="K863" i="8" l="1"/>
  <c r="L863" i="8"/>
  <c r="AR863" i="8"/>
  <c r="BQ863" i="8"/>
  <c r="BQ864" i="8"/>
  <c r="AR865" i="8"/>
  <c r="BQ865" i="8"/>
  <c r="AR866" i="8"/>
  <c r="BQ866" i="8"/>
  <c r="K867" i="8"/>
  <c r="L867" i="8"/>
  <c r="AR867" i="8"/>
  <c r="BQ867" i="8"/>
  <c r="BQ868" i="8"/>
  <c r="AR869" i="8"/>
  <c r="BQ869" i="8"/>
  <c r="AR870" i="8"/>
  <c r="BQ870" i="8"/>
  <c r="K871" i="8"/>
  <c r="L871" i="8"/>
  <c r="AR871" i="8"/>
  <c r="BQ871" i="8"/>
  <c r="BQ872" i="8"/>
  <c r="AR873" i="8"/>
  <c r="BQ873" i="8"/>
  <c r="AR874" i="8"/>
  <c r="BQ874" i="8"/>
  <c r="K875" i="8"/>
  <c r="L875" i="8"/>
  <c r="AR875" i="8"/>
  <c r="BQ875" i="8"/>
  <c r="BQ876" i="8"/>
  <c r="AR877" i="8"/>
  <c r="BQ877" i="8"/>
  <c r="AR878" i="8"/>
  <c r="BQ878" i="8"/>
  <c r="K879" i="8"/>
  <c r="L879" i="8"/>
  <c r="AR879" i="8"/>
  <c r="BQ879" i="8"/>
  <c r="BQ880" i="8"/>
  <c r="AR881" i="8"/>
  <c r="BQ881" i="8"/>
  <c r="AR882" i="8"/>
  <c r="BQ882" i="8"/>
  <c r="K883" i="8"/>
  <c r="L883" i="8"/>
  <c r="AR883" i="8"/>
  <c r="BQ883" i="8"/>
  <c r="BQ884" i="8"/>
  <c r="AR885" i="8"/>
  <c r="BQ885" i="8"/>
  <c r="AR886" i="8"/>
  <c r="BQ886" i="8"/>
  <c r="K887" i="8"/>
  <c r="L887" i="8"/>
  <c r="AR887" i="8"/>
  <c r="BQ887" i="8"/>
  <c r="BQ888" i="8"/>
  <c r="AR889" i="8"/>
  <c r="BQ889" i="8"/>
  <c r="AR890" i="8"/>
  <c r="BQ890" i="8"/>
  <c r="K891" i="8"/>
  <c r="L891" i="8"/>
  <c r="AR891" i="8"/>
  <c r="BQ891" i="8"/>
  <c r="BQ892" i="8"/>
  <c r="AR893" i="8"/>
  <c r="BQ893" i="8"/>
  <c r="AR894" i="8"/>
  <c r="BQ894" i="8"/>
  <c r="K895" i="8"/>
  <c r="L895" i="8"/>
  <c r="AR895" i="8"/>
  <c r="BQ895" i="8"/>
  <c r="BQ896" i="8"/>
  <c r="AR897" i="8"/>
  <c r="BQ897" i="8"/>
  <c r="AR898" i="8"/>
  <c r="BQ898" i="8"/>
  <c r="K899" i="8"/>
  <c r="L899" i="8"/>
  <c r="AR899" i="8"/>
  <c r="BQ899" i="8"/>
  <c r="BQ900" i="8"/>
  <c r="AR901" i="8"/>
  <c r="BQ901" i="8"/>
  <c r="AR902" i="8"/>
  <c r="BQ902" i="8"/>
  <c r="K903" i="8"/>
  <c r="L903" i="8"/>
  <c r="AR903" i="8"/>
  <c r="BQ903" i="8"/>
  <c r="BQ904" i="8"/>
  <c r="AR905" i="8"/>
  <c r="BQ905" i="8"/>
  <c r="AR906" i="8"/>
  <c r="BQ906" i="8"/>
  <c r="K907" i="8"/>
  <c r="L907" i="8"/>
  <c r="AR907" i="8"/>
  <c r="BQ907" i="8"/>
  <c r="BQ908" i="8"/>
  <c r="AR909" i="8"/>
  <c r="BQ909" i="8"/>
  <c r="AR910" i="8"/>
  <c r="BQ910" i="8"/>
  <c r="K911" i="8"/>
  <c r="L911" i="8"/>
  <c r="AR911" i="8"/>
  <c r="BQ911" i="8"/>
  <c r="BQ912" i="8"/>
  <c r="AR913" i="8"/>
  <c r="BQ913" i="8"/>
  <c r="AR914" i="8"/>
  <c r="BQ914" i="8"/>
  <c r="K915" i="8"/>
  <c r="L915" i="8"/>
  <c r="AR915" i="8"/>
  <c r="BQ915" i="8"/>
  <c r="BQ916" i="8"/>
  <c r="AR917" i="8"/>
  <c r="BQ917" i="8"/>
  <c r="AR918" i="8"/>
  <c r="BQ918" i="8"/>
  <c r="K919" i="8"/>
  <c r="L919" i="8"/>
  <c r="AR919" i="8"/>
  <c r="BQ919" i="8"/>
  <c r="BQ920" i="8"/>
  <c r="AR921" i="8"/>
  <c r="BQ921" i="8"/>
  <c r="AR922" i="8"/>
  <c r="BQ922" i="8"/>
  <c r="K923" i="8"/>
  <c r="L923" i="8"/>
  <c r="AR923" i="8"/>
  <c r="BQ923" i="8"/>
  <c r="BQ924" i="8"/>
  <c r="AR925" i="8"/>
  <c r="BQ925" i="8"/>
  <c r="AR926" i="8"/>
  <c r="BQ926" i="8"/>
  <c r="K927" i="8"/>
  <c r="L927" i="8"/>
  <c r="AR927" i="8"/>
  <c r="BQ927" i="8"/>
  <c r="BQ928" i="8"/>
  <c r="AR929" i="8"/>
  <c r="BQ929" i="8"/>
  <c r="AR930" i="8"/>
  <c r="BQ930" i="8"/>
  <c r="K931" i="8"/>
  <c r="L931" i="8"/>
  <c r="AR931" i="8"/>
  <c r="BQ931" i="8"/>
  <c r="BQ932" i="8"/>
  <c r="AR933" i="8"/>
  <c r="BQ933" i="8"/>
  <c r="AR934" i="8"/>
  <c r="BQ934" i="8"/>
  <c r="K935" i="8"/>
  <c r="L935" i="8"/>
  <c r="AR935" i="8"/>
  <c r="BQ935" i="8"/>
  <c r="BQ936" i="8"/>
  <c r="AR937" i="8"/>
  <c r="BQ937" i="8"/>
  <c r="AR938" i="8"/>
  <c r="BQ938" i="8"/>
  <c r="K939" i="8"/>
  <c r="L939" i="8"/>
  <c r="AR939" i="8"/>
  <c r="BQ939" i="8"/>
  <c r="BQ940" i="8"/>
  <c r="AR941" i="8"/>
  <c r="BQ941" i="8"/>
  <c r="AR942" i="8"/>
  <c r="BQ942" i="8"/>
  <c r="K943" i="8"/>
  <c r="L943" i="8"/>
  <c r="AR943" i="8"/>
  <c r="BQ943" i="8"/>
  <c r="BQ944" i="8"/>
  <c r="AR945" i="8"/>
  <c r="BQ945" i="8"/>
  <c r="AR946" i="8"/>
  <c r="BQ946" i="8"/>
  <c r="K947" i="8"/>
  <c r="L947" i="8"/>
  <c r="AR947" i="8"/>
  <c r="BQ947" i="8"/>
  <c r="BQ948" i="8"/>
  <c r="AR949" i="8"/>
  <c r="BQ949" i="8"/>
  <c r="AR950" i="8"/>
  <c r="BQ950" i="8"/>
  <c r="K951" i="8"/>
  <c r="L951" i="8"/>
  <c r="AR951" i="8"/>
  <c r="BQ951" i="8"/>
  <c r="BQ952" i="8"/>
  <c r="AR953" i="8"/>
  <c r="BQ953" i="8"/>
  <c r="AR954" i="8"/>
  <c r="BQ954" i="8"/>
  <c r="K955" i="8"/>
  <c r="L955" i="8"/>
  <c r="AR955" i="8"/>
  <c r="BQ955" i="8"/>
  <c r="BQ956" i="8"/>
  <c r="AR957" i="8"/>
  <c r="BQ957" i="8"/>
  <c r="AR958" i="8"/>
  <c r="BQ958" i="8"/>
  <c r="K959" i="8"/>
  <c r="L959" i="8"/>
  <c r="AR959" i="8"/>
  <c r="BQ959" i="8"/>
  <c r="BQ960" i="8"/>
  <c r="AR961" i="8"/>
  <c r="BQ961" i="8"/>
  <c r="AR962" i="8"/>
  <c r="BQ962" i="8"/>
  <c r="K963" i="8"/>
  <c r="L963" i="8"/>
  <c r="AR963" i="8"/>
  <c r="BQ963" i="8"/>
  <c r="BQ964" i="8"/>
  <c r="AR965" i="8"/>
  <c r="BQ965" i="8"/>
  <c r="AR966" i="8"/>
  <c r="BQ966" i="8"/>
  <c r="K967" i="8"/>
  <c r="L967" i="8"/>
  <c r="AR967" i="8"/>
  <c r="BQ967" i="8"/>
  <c r="BQ968" i="8"/>
  <c r="AR969" i="8"/>
  <c r="BQ969" i="8"/>
  <c r="AR970" i="8"/>
  <c r="BQ970" i="8"/>
  <c r="K971" i="8"/>
  <c r="L971" i="8"/>
  <c r="AR971" i="8"/>
  <c r="BQ971" i="8"/>
  <c r="BQ972" i="8"/>
  <c r="AR973" i="8"/>
  <c r="BQ973" i="8"/>
  <c r="AR974" i="8"/>
  <c r="BQ974" i="8"/>
  <c r="K975" i="8"/>
  <c r="L975" i="8"/>
  <c r="AR975" i="8"/>
  <c r="BQ975" i="8"/>
  <c r="BQ976" i="8"/>
  <c r="AR977" i="8"/>
  <c r="BQ977" i="8"/>
  <c r="AR978" i="8"/>
  <c r="BQ978" i="8"/>
  <c r="K979" i="8"/>
  <c r="L979" i="8"/>
  <c r="AR979" i="8"/>
  <c r="BQ979" i="8"/>
  <c r="BQ980" i="8"/>
  <c r="AR981" i="8"/>
  <c r="BQ981" i="8"/>
  <c r="AR982" i="8"/>
  <c r="BQ982" i="8"/>
  <c r="K983" i="8"/>
  <c r="L983" i="8"/>
  <c r="AR983" i="8"/>
  <c r="BQ983" i="8"/>
  <c r="BQ984" i="8"/>
  <c r="AR985" i="8"/>
  <c r="BQ985" i="8"/>
  <c r="AR986" i="8"/>
  <c r="BQ986" i="8"/>
  <c r="K987" i="8"/>
  <c r="L987" i="8"/>
  <c r="AR987" i="8"/>
  <c r="BQ987" i="8"/>
  <c r="BQ988" i="8"/>
  <c r="AR989" i="8"/>
  <c r="BQ989" i="8"/>
  <c r="AR990" i="8"/>
  <c r="BQ990" i="8"/>
  <c r="K991" i="8"/>
  <c r="L991" i="8"/>
  <c r="AR991" i="8"/>
  <c r="BQ991" i="8"/>
  <c r="BQ992" i="8"/>
  <c r="AR993" i="8"/>
  <c r="BQ993" i="8"/>
  <c r="AR994" i="8"/>
  <c r="BQ994" i="8"/>
  <c r="K995" i="8"/>
  <c r="L995" i="8"/>
  <c r="AR995" i="8"/>
  <c r="BQ995" i="8"/>
  <c r="BQ996" i="8"/>
  <c r="AR997" i="8"/>
  <c r="BQ997" i="8"/>
  <c r="AR998" i="8"/>
  <c r="BQ998" i="8"/>
  <c r="K999" i="8"/>
  <c r="L999" i="8"/>
  <c r="AR999" i="8"/>
  <c r="BQ999" i="8"/>
  <c r="BQ1000" i="8"/>
  <c r="AR1001" i="8"/>
  <c r="BQ1001" i="8"/>
  <c r="AR1002" i="8"/>
  <c r="BQ1002" i="8"/>
  <c r="K1003" i="8"/>
  <c r="L1003" i="8"/>
  <c r="AR1003" i="8"/>
  <c r="BQ1003" i="8"/>
  <c r="BQ1004" i="8"/>
  <c r="AR1005" i="8"/>
  <c r="BQ1005" i="8"/>
  <c r="AR1006" i="8"/>
  <c r="BQ1006" i="8"/>
  <c r="K1007" i="8"/>
  <c r="L1007" i="8"/>
  <c r="AR1007" i="8"/>
  <c r="BQ1007" i="8"/>
  <c r="BQ1008" i="8"/>
  <c r="AR1009" i="8"/>
  <c r="BQ1009" i="8"/>
  <c r="AR1010" i="8"/>
  <c r="BQ1010" i="8"/>
  <c r="K1011" i="8"/>
  <c r="L1011" i="8"/>
  <c r="AR1011" i="8"/>
  <c r="BQ1011" i="8"/>
  <c r="BQ1012" i="8"/>
  <c r="AR1013" i="8"/>
  <c r="BQ1013" i="8"/>
  <c r="AR1014" i="8"/>
  <c r="BQ1014" i="8"/>
  <c r="K1015" i="8"/>
  <c r="L1015" i="8"/>
  <c r="AR1015" i="8"/>
  <c r="BQ1015" i="8"/>
  <c r="BQ1016" i="8"/>
  <c r="AR1017" i="8"/>
  <c r="BQ1017" i="8"/>
  <c r="AR1018" i="8"/>
  <c r="BQ1018" i="8"/>
  <c r="K1019" i="8"/>
  <c r="L1019" i="8"/>
  <c r="AR1019" i="8"/>
  <c r="BQ1019" i="8"/>
  <c r="BQ1020" i="8"/>
  <c r="AR1021" i="8"/>
  <c r="BQ1021" i="8"/>
  <c r="AR1022" i="8"/>
  <c r="BQ1022" i="8"/>
  <c r="K1023" i="8"/>
  <c r="L1023" i="8"/>
  <c r="AR1023" i="8"/>
  <c r="BQ1023" i="8"/>
  <c r="BQ1024" i="8"/>
  <c r="AR1025" i="8"/>
  <c r="BQ1025" i="8"/>
  <c r="AR1026" i="8"/>
  <c r="BQ1026" i="8"/>
  <c r="K1027" i="8"/>
  <c r="L1027" i="8"/>
  <c r="AR1027" i="8"/>
  <c r="BQ1027" i="8"/>
  <c r="BQ1028" i="8"/>
  <c r="AR1029" i="8"/>
  <c r="BQ1029" i="8"/>
  <c r="AR1030" i="8"/>
  <c r="BQ1030" i="8"/>
  <c r="K1031" i="8"/>
  <c r="L1031" i="8"/>
  <c r="AR1031" i="8"/>
  <c r="BQ1031" i="8"/>
  <c r="BQ1032" i="8"/>
  <c r="AR1033" i="8"/>
  <c r="BQ1033" i="8"/>
  <c r="AR1034" i="8"/>
  <c r="BQ1034" i="8"/>
  <c r="K1035" i="8"/>
  <c r="L1035" i="8"/>
  <c r="AR1035" i="8"/>
  <c r="BQ1035" i="8"/>
  <c r="BQ1036" i="8"/>
  <c r="AR1037" i="8"/>
  <c r="BQ1037" i="8"/>
  <c r="AR1038" i="8"/>
  <c r="BQ1038" i="8"/>
  <c r="K1039" i="8"/>
  <c r="L1039" i="8"/>
  <c r="AR1039" i="8"/>
  <c r="BQ1039" i="8"/>
  <c r="BQ1040" i="8"/>
  <c r="AR1041" i="8"/>
  <c r="BQ1041" i="8"/>
  <c r="AR1042" i="8"/>
  <c r="BQ1042" i="8"/>
  <c r="K1043" i="8"/>
  <c r="L1043" i="8"/>
  <c r="AR1043" i="8"/>
  <c r="BQ1043" i="8"/>
  <c r="BQ1044" i="8"/>
  <c r="AR1045" i="8"/>
  <c r="BQ1045" i="8"/>
  <c r="AR1046" i="8"/>
  <c r="BQ1046" i="8"/>
  <c r="K1047" i="8"/>
  <c r="L1047" i="8"/>
  <c r="AR1047" i="8"/>
  <c r="BQ1047" i="8"/>
  <c r="BQ1048" i="8"/>
  <c r="AR1049" i="8"/>
  <c r="BQ1049" i="8"/>
  <c r="AR1050" i="8"/>
  <c r="BQ1050" i="8"/>
  <c r="K1051" i="8"/>
  <c r="L1051" i="8"/>
  <c r="AR1051" i="8"/>
  <c r="BQ1051" i="8"/>
  <c r="BQ1052" i="8"/>
  <c r="AR1053" i="8"/>
  <c r="BQ1053" i="8"/>
  <c r="AR1054" i="8"/>
  <c r="BQ1054" i="8"/>
  <c r="K1055" i="8"/>
  <c r="L1055" i="8"/>
  <c r="AR1055" i="8"/>
  <c r="BQ1055" i="8"/>
  <c r="BQ1056" i="8"/>
  <c r="AR1057" i="8"/>
  <c r="BQ1057" i="8"/>
  <c r="AR1058" i="8"/>
  <c r="BQ1058" i="8"/>
  <c r="K1059" i="8"/>
  <c r="L1059" i="8"/>
  <c r="AR1059" i="8"/>
  <c r="BQ1059" i="8"/>
  <c r="BQ1060" i="8"/>
  <c r="AR1061" i="8"/>
  <c r="BQ1061" i="8"/>
  <c r="AR1062" i="8"/>
  <c r="BQ1062" i="8"/>
  <c r="K1063" i="8"/>
  <c r="L1063" i="8"/>
  <c r="AR1063" i="8"/>
  <c r="BQ1063" i="8"/>
  <c r="BQ1064" i="8"/>
  <c r="AR1065" i="8"/>
  <c r="BQ1065" i="8"/>
  <c r="AR1066" i="8"/>
  <c r="BQ1066" i="8"/>
  <c r="K1067" i="8"/>
  <c r="L1067" i="8"/>
  <c r="AR1067" i="8"/>
  <c r="BQ1067" i="8"/>
  <c r="BQ1068" i="8"/>
  <c r="AR1069" i="8"/>
  <c r="BQ1069" i="8"/>
  <c r="AR1070" i="8"/>
  <c r="BQ1070" i="8"/>
  <c r="K1071" i="8"/>
  <c r="L1071" i="8"/>
  <c r="AR1071" i="8"/>
  <c r="BQ1071" i="8"/>
  <c r="BQ1072" i="8"/>
  <c r="AR1073" i="8"/>
  <c r="BQ1073" i="8"/>
  <c r="AR1074" i="8"/>
  <c r="BQ1074" i="8"/>
  <c r="K1075" i="8"/>
  <c r="L1075" i="8"/>
  <c r="AR1075" i="8"/>
  <c r="BQ1075" i="8"/>
  <c r="BQ1076" i="8"/>
  <c r="AR1077" i="8"/>
  <c r="BQ1077" i="8"/>
  <c r="AR1078" i="8"/>
  <c r="BQ1078" i="8"/>
  <c r="K1079" i="8"/>
  <c r="L1079" i="8"/>
  <c r="AR1079" i="8"/>
  <c r="BQ1079" i="8"/>
  <c r="BQ1080" i="8"/>
  <c r="AR1081" i="8"/>
  <c r="BQ1081" i="8"/>
  <c r="AR1082" i="8"/>
  <c r="BQ1082" i="8"/>
  <c r="K1083" i="8"/>
  <c r="L1083" i="8"/>
  <c r="AR1083" i="8"/>
  <c r="BQ1083" i="8"/>
  <c r="BQ1084" i="8"/>
  <c r="AR1085" i="8"/>
  <c r="BQ1085" i="8"/>
  <c r="AR1086" i="8"/>
  <c r="BQ1086" i="8"/>
  <c r="AR427" i="8"/>
  <c r="BQ427" i="8"/>
  <c r="BQ428" i="8"/>
  <c r="AR429" i="8"/>
  <c r="BQ429" i="8"/>
  <c r="AR430" i="8"/>
  <c r="BQ430" i="8"/>
  <c r="AR431" i="8"/>
  <c r="BQ431" i="8"/>
  <c r="BQ432" i="8"/>
  <c r="AR433" i="8"/>
  <c r="BQ433" i="8"/>
  <c r="AR434" i="8"/>
  <c r="BQ434" i="8"/>
  <c r="AR435" i="8"/>
  <c r="BQ435" i="8"/>
  <c r="BQ436" i="8"/>
  <c r="AR437" i="8"/>
  <c r="BQ437" i="8"/>
  <c r="AR438" i="8"/>
  <c r="BQ438" i="8"/>
  <c r="K439" i="8"/>
  <c r="L439" i="8"/>
  <c r="AR439" i="8"/>
  <c r="BQ439" i="8"/>
  <c r="BQ440" i="8"/>
  <c r="AR441" i="8"/>
  <c r="BQ441" i="8"/>
  <c r="AR442" i="8"/>
  <c r="BQ442" i="8"/>
  <c r="K443" i="8"/>
  <c r="L443" i="8"/>
  <c r="AR443" i="8"/>
  <c r="BQ443" i="8"/>
  <c r="BQ444" i="8"/>
  <c r="AR445" i="8"/>
  <c r="BQ445" i="8"/>
  <c r="AR446" i="8"/>
  <c r="BQ446" i="8"/>
  <c r="K447" i="8"/>
  <c r="L447" i="8"/>
  <c r="AR447" i="8"/>
  <c r="BQ447" i="8"/>
  <c r="BQ448" i="8"/>
  <c r="AR449" i="8"/>
  <c r="BQ449" i="8"/>
  <c r="AR450" i="8"/>
  <c r="BQ450" i="8"/>
  <c r="K451" i="8"/>
  <c r="L451" i="8"/>
  <c r="AR451" i="8"/>
  <c r="BQ451" i="8"/>
  <c r="BQ452" i="8"/>
  <c r="AR453" i="8"/>
  <c r="BQ453" i="8"/>
  <c r="AR454" i="8"/>
  <c r="BQ454" i="8"/>
  <c r="K455" i="8"/>
  <c r="L455" i="8"/>
  <c r="AR455" i="8"/>
  <c r="BQ455" i="8"/>
  <c r="BQ456" i="8"/>
  <c r="AR457" i="8"/>
  <c r="BQ457" i="8"/>
  <c r="AR458" i="8"/>
  <c r="BQ458" i="8"/>
  <c r="K459" i="8"/>
  <c r="L459" i="8"/>
  <c r="AR459" i="8"/>
  <c r="BQ459" i="8"/>
  <c r="BQ460" i="8"/>
  <c r="AR461" i="8"/>
  <c r="BQ461" i="8"/>
  <c r="AR462" i="8"/>
  <c r="BQ462" i="8"/>
  <c r="K463" i="8"/>
  <c r="L463" i="8"/>
  <c r="AR463" i="8"/>
  <c r="BQ463" i="8"/>
  <c r="BQ464" i="8"/>
  <c r="AR465" i="8"/>
  <c r="BQ465" i="8"/>
  <c r="AR466" i="8"/>
  <c r="BQ466" i="8"/>
  <c r="K467" i="8"/>
  <c r="L467" i="8"/>
  <c r="AR467" i="8"/>
  <c r="BQ467" i="8"/>
  <c r="BQ468" i="8"/>
  <c r="AR469" i="8"/>
  <c r="BQ469" i="8"/>
  <c r="AR470" i="8"/>
  <c r="BQ470" i="8"/>
  <c r="K471" i="8"/>
  <c r="L471" i="8"/>
  <c r="AR471" i="8"/>
  <c r="BQ471" i="8"/>
  <c r="BQ472" i="8"/>
  <c r="AR473" i="8"/>
  <c r="BQ473" i="8"/>
  <c r="AR474" i="8"/>
  <c r="BQ474" i="8"/>
  <c r="K475" i="8"/>
  <c r="L475" i="8"/>
  <c r="AR475" i="8"/>
  <c r="BQ475" i="8"/>
  <c r="BQ476" i="8"/>
  <c r="AR477" i="8"/>
  <c r="BQ477" i="8"/>
  <c r="AR478" i="8"/>
  <c r="BQ478" i="8"/>
  <c r="K479" i="8"/>
  <c r="L479" i="8"/>
  <c r="AR479" i="8"/>
  <c r="BQ479" i="8"/>
  <c r="BQ480" i="8"/>
  <c r="AR481" i="8"/>
  <c r="BQ481" i="8"/>
  <c r="AR482" i="8"/>
  <c r="BQ482" i="8"/>
  <c r="K483" i="8"/>
  <c r="L483" i="8"/>
  <c r="AR483" i="8"/>
  <c r="BQ483" i="8"/>
  <c r="BQ484" i="8"/>
  <c r="AR485" i="8"/>
  <c r="BQ485" i="8"/>
  <c r="AR486" i="8"/>
  <c r="BQ486" i="8"/>
  <c r="K487" i="8"/>
  <c r="L487" i="8"/>
  <c r="AR487" i="8"/>
  <c r="BQ487" i="8"/>
  <c r="BQ488" i="8"/>
  <c r="AR489" i="8"/>
  <c r="BQ489" i="8"/>
  <c r="AR490" i="8"/>
  <c r="BQ490" i="8"/>
  <c r="K491" i="8"/>
  <c r="L491" i="8"/>
  <c r="AR491" i="8"/>
  <c r="BQ491" i="8"/>
  <c r="BQ492" i="8"/>
  <c r="AR493" i="8"/>
  <c r="BQ493" i="8"/>
  <c r="AR494" i="8"/>
  <c r="BQ494" i="8"/>
  <c r="K495" i="8"/>
  <c r="L495" i="8"/>
  <c r="AR495" i="8"/>
  <c r="BQ495" i="8"/>
  <c r="BQ496" i="8"/>
  <c r="AR497" i="8"/>
  <c r="BQ497" i="8"/>
  <c r="AR498" i="8"/>
  <c r="BQ498" i="8"/>
  <c r="K499" i="8"/>
  <c r="L499" i="8"/>
  <c r="AR499" i="8"/>
  <c r="BQ499" i="8"/>
  <c r="BQ500" i="8"/>
  <c r="AR501" i="8"/>
  <c r="BQ501" i="8"/>
  <c r="AR502" i="8"/>
  <c r="BQ502" i="8"/>
  <c r="K503" i="8"/>
  <c r="L503" i="8"/>
  <c r="AR503" i="8"/>
  <c r="BQ503" i="8"/>
  <c r="BQ504" i="8"/>
  <c r="AR505" i="8"/>
  <c r="BQ505" i="8"/>
  <c r="AR506" i="8"/>
  <c r="BQ506" i="8"/>
  <c r="K507" i="8"/>
  <c r="L507" i="8"/>
  <c r="AR507" i="8"/>
  <c r="BQ507" i="8"/>
  <c r="BQ508" i="8"/>
  <c r="AR509" i="8"/>
  <c r="BQ509" i="8"/>
  <c r="AR510" i="8"/>
  <c r="BQ510" i="8"/>
  <c r="K511" i="8"/>
  <c r="L511" i="8"/>
  <c r="AR511" i="8"/>
  <c r="BQ511" i="8"/>
  <c r="BQ512" i="8"/>
  <c r="AR513" i="8"/>
  <c r="BQ513" i="8"/>
  <c r="AR514" i="8"/>
  <c r="BQ514" i="8"/>
  <c r="K515" i="8"/>
  <c r="L515" i="8"/>
  <c r="AR515" i="8"/>
  <c r="BQ515" i="8"/>
  <c r="BQ516" i="8"/>
  <c r="AR517" i="8"/>
  <c r="BQ517" i="8"/>
  <c r="AR518" i="8"/>
  <c r="BQ518" i="8"/>
  <c r="K519" i="8"/>
  <c r="L519" i="8"/>
  <c r="AR519" i="8"/>
  <c r="BQ519" i="8"/>
  <c r="BQ520" i="8"/>
  <c r="AR521" i="8"/>
  <c r="BQ521" i="8"/>
  <c r="AR522" i="8"/>
  <c r="BQ522" i="8"/>
  <c r="K523" i="8"/>
  <c r="L523" i="8"/>
  <c r="AR523" i="8"/>
  <c r="BQ523" i="8"/>
  <c r="BQ524" i="8"/>
  <c r="AR525" i="8"/>
  <c r="BQ525" i="8"/>
  <c r="AR526" i="8"/>
  <c r="BQ526" i="8"/>
  <c r="K527" i="8"/>
  <c r="L527" i="8"/>
  <c r="AR527" i="8"/>
  <c r="BQ527" i="8"/>
  <c r="BQ528" i="8"/>
  <c r="AR529" i="8"/>
  <c r="BQ529" i="8"/>
  <c r="AR530" i="8"/>
  <c r="BQ530" i="8"/>
  <c r="K531" i="8"/>
  <c r="L531" i="8"/>
  <c r="AR531" i="8"/>
  <c r="BQ531" i="8"/>
  <c r="BQ532" i="8"/>
  <c r="AR533" i="8"/>
  <c r="BQ533" i="8"/>
  <c r="AR534" i="8"/>
  <c r="BQ534" i="8"/>
  <c r="K535" i="8"/>
  <c r="L535" i="8"/>
  <c r="AR535" i="8"/>
  <c r="BQ535" i="8"/>
  <c r="BQ536" i="8"/>
  <c r="AR537" i="8"/>
  <c r="BQ537" i="8"/>
  <c r="AR538" i="8"/>
  <c r="BQ538" i="8"/>
  <c r="K539" i="8"/>
  <c r="L539" i="8"/>
  <c r="AR539" i="8"/>
  <c r="BQ539" i="8"/>
  <c r="BQ540" i="8"/>
  <c r="AR541" i="8"/>
  <c r="BQ541" i="8"/>
  <c r="AR542" i="8"/>
  <c r="BQ542" i="8"/>
  <c r="K543" i="8"/>
  <c r="L543" i="8"/>
  <c r="AR543" i="8"/>
  <c r="BQ543" i="8"/>
  <c r="BQ544" i="8"/>
  <c r="AR545" i="8"/>
  <c r="BQ545" i="8"/>
  <c r="AR546" i="8"/>
  <c r="BQ546" i="8"/>
  <c r="K547" i="8"/>
  <c r="L547" i="8"/>
  <c r="AR547" i="8"/>
  <c r="BQ547" i="8"/>
  <c r="BQ548" i="8"/>
  <c r="AR549" i="8"/>
  <c r="BQ549" i="8"/>
  <c r="AR550" i="8"/>
  <c r="BQ550" i="8"/>
  <c r="K551" i="8"/>
  <c r="L551" i="8"/>
  <c r="AR551" i="8"/>
  <c r="BQ551" i="8"/>
  <c r="BQ552" i="8"/>
  <c r="AR553" i="8"/>
  <c r="BQ553" i="8"/>
  <c r="AR554" i="8"/>
  <c r="BQ554" i="8"/>
  <c r="K555" i="8"/>
  <c r="L555" i="8"/>
  <c r="AR555" i="8"/>
  <c r="BQ555" i="8"/>
  <c r="BQ556" i="8"/>
  <c r="AR557" i="8"/>
  <c r="BQ557" i="8"/>
  <c r="AR558" i="8"/>
  <c r="BQ558" i="8"/>
  <c r="K559" i="8"/>
  <c r="L559" i="8"/>
  <c r="AR559" i="8"/>
  <c r="BQ559" i="8"/>
  <c r="BQ560" i="8"/>
  <c r="AR561" i="8"/>
  <c r="BQ561" i="8"/>
  <c r="AR562" i="8"/>
  <c r="BQ562" i="8"/>
  <c r="K563" i="8"/>
  <c r="L563" i="8"/>
  <c r="AR563" i="8"/>
  <c r="BQ563" i="8"/>
  <c r="BQ564" i="8"/>
  <c r="AR565" i="8"/>
  <c r="BQ565" i="8"/>
  <c r="AR566" i="8"/>
  <c r="BQ566" i="8"/>
  <c r="K567" i="8"/>
  <c r="L567" i="8"/>
  <c r="AR567" i="8"/>
  <c r="BQ567" i="8"/>
  <c r="BQ568" i="8"/>
  <c r="AR569" i="8"/>
  <c r="BQ569" i="8"/>
  <c r="AR570" i="8"/>
  <c r="BQ570" i="8"/>
  <c r="K571" i="8"/>
  <c r="L571" i="8"/>
  <c r="AR571" i="8"/>
  <c r="BQ571" i="8"/>
  <c r="BQ572" i="8"/>
  <c r="AR573" i="8"/>
  <c r="BQ573" i="8"/>
  <c r="AR574" i="8"/>
  <c r="BQ574" i="8"/>
  <c r="K575" i="8"/>
  <c r="L575" i="8"/>
  <c r="AR575" i="8"/>
  <c r="BQ575" i="8"/>
  <c r="BQ576" i="8"/>
  <c r="AR577" i="8"/>
  <c r="BQ577" i="8"/>
  <c r="AR578" i="8"/>
  <c r="BQ578" i="8"/>
  <c r="K579" i="8"/>
  <c r="L579" i="8"/>
  <c r="AR579" i="8"/>
  <c r="BQ579" i="8"/>
  <c r="BQ580" i="8"/>
  <c r="AR581" i="8"/>
  <c r="BQ581" i="8"/>
  <c r="AR582" i="8"/>
  <c r="BQ582" i="8"/>
  <c r="K583" i="8"/>
  <c r="L583" i="8"/>
  <c r="AR583" i="8"/>
  <c r="BQ583" i="8"/>
  <c r="BQ584" i="8"/>
  <c r="AR585" i="8"/>
  <c r="BQ585" i="8"/>
  <c r="AR586" i="8"/>
  <c r="BQ586" i="8"/>
  <c r="K587" i="8"/>
  <c r="L587" i="8"/>
  <c r="AR587" i="8"/>
  <c r="BQ587" i="8"/>
  <c r="BQ588" i="8"/>
  <c r="AR589" i="8"/>
  <c r="BQ589" i="8"/>
  <c r="AR590" i="8"/>
  <c r="BQ590" i="8"/>
  <c r="K591" i="8"/>
  <c r="L591" i="8"/>
  <c r="AR591" i="8"/>
  <c r="BQ591" i="8"/>
  <c r="BQ592" i="8"/>
  <c r="AR593" i="8"/>
  <c r="BQ593" i="8"/>
  <c r="AR594" i="8"/>
  <c r="BQ594" i="8"/>
  <c r="K595" i="8"/>
  <c r="L595" i="8"/>
  <c r="AR595" i="8"/>
  <c r="BQ595" i="8"/>
  <c r="BQ596" i="8"/>
  <c r="AR597" i="8"/>
  <c r="BQ597" i="8"/>
  <c r="AR598" i="8"/>
  <c r="BQ598" i="8"/>
  <c r="K599" i="8"/>
  <c r="L599" i="8"/>
  <c r="AR599" i="8"/>
  <c r="BQ599" i="8"/>
  <c r="BQ600" i="8"/>
  <c r="AR601" i="8"/>
  <c r="BQ601" i="8"/>
  <c r="AR602" i="8"/>
  <c r="BQ602" i="8"/>
  <c r="K603" i="8"/>
  <c r="L603" i="8"/>
  <c r="AR603" i="8"/>
  <c r="BQ603" i="8"/>
  <c r="BQ604" i="8"/>
  <c r="AR605" i="8"/>
  <c r="BQ605" i="8"/>
  <c r="AR606" i="8"/>
  <c r="BQ606" i="8"/>
  <c r="K607" i="8"/>
  <c r="L607" i="8"/>
  <c r="AR607" i="8"/>
  <c r="BQ607" i="8"/>
  <c r="BQ608" i="8"/>
  <c r="AR609" i="8"/>
  <c r="BQ609" i="8"/>
  <c r="AR610" i="8"/>
  <c r="BQ610" i="8"/>
  <c r="K611" i="8"/>
  <c r="L611" i="8"/>
  <c r="AR611" i="8"/>
  <c r="BQ611" i="8"/>
  <c r="BQ612" i="8"/>
  <c r="AR613" i="8"/>
  <c r="BQ613" i="8"/>
  <c r="AR614" i="8"/>
  <c r="BQ614" i="8"/>
  <c r="K615" i="8"/>
  <c r="L615" i="8"/>
  <c r="AR615" i="8"/>
  <c r="BQ615" i="8"/>
  <c r="BQ616" i="8"/>
  <c r="AR617" i="8"/>
  <c r="BQ617" i="8"/>
  <c r="AR618" i="8"/>
  <c r="BQ618" i="8"/>
  <c r="K619" i="8"/>
  <c r="L619" i="8"/>
  <c r="AR619" i="8"/>
  <c r="BQ619" i="8"/>
  <c r="BQ620" i="8"/>
  <c r="AR621" i="8"/>
  <c r="BQ621" i="8"/>
  <c r="AR622" i="8"/>
  <c r="BQ622" i="8"/>
  <c r="K623" i="8"/>
  <c r="L623" i="8"/>
  <c r="AR623" i="8"/>
  <c r="BQ623" i="8"/>
  <c r="BQ624" i="8"/>
  <c r="AR625" i="8"/>
  <c r="BQ625" i="8"/>
  <c r="AR626" i="8"/>
  <c r="BQ626" i="8"/>
  <c r="K627" i="8"/>
  <c r="L627" i="8"/>
  <c r="AR627" i="8"/>
  <c r="BQ627" i="8"/>
  <c r="BQ628" i="8"/>
  <c r="AR629" i="8"/>
  <c r="BQ629" i="8"/>
  <c r="AR630" i="8"/>
  <c r="BQ630" i="8"/>
  <c r="K631" i="8"/>
  <c r="L631" i="8"/>
  <c r="AR631" i="8"/>
  <c r="BQ631" i="8"/>
  <c r="BQ632" i="8"/>
  <c r="AR633" i="8"/>
  <c r="BQ633" i="8"/>
  <c r="AR634" i="8"/>
  <c r="BQ634" i="8"/>
  <c r="K635" i="8"/>
  <c r="L635" i="8"/>
  <c r="AR635" i="8"/>
  <c r="BQ635" i="8"/>
  <c r="BQ636" i="8"/>
  <c r="AR637" i="8"/>
  <c r="BQ637" i="8"/>
  <c r="AR638" i="8"/>
  <c r="BQ638" i="8"/>
  <c r="K639" i="8"/>
  <c r="L639" i="8"/>
  <c r="AR639" i="8"/>
  <c r="BQ639" i="8"/>
  <c r="BQ640" i="8"/>
  <c r="AR641" i="8"/>
  <c r="BQ641" i="8"/>
  <c r="AR642" i="8"/>
  <c r="BQ642" i="8"/>
  <c r="K643" i="8"/>
  <c r="L643" i="8"/>
  <c r="AR643" i="8"/>
  <c r="BQ643" i="8"/>
  <c r="BQ644" i="8"/>
  <c r="AR645" i="8"/>
  <c r="BQ645" i="8"/>
  <c r="AR646" i="8"/>
  <c r="BQ646" i="8"/>
  <c r="K647" i="8"/>
  <c r="L647" i="8"/>
  <c r="AR647" i="8"/>
  <c r="BQ647" i="8"/>
  <c r="BQ648" i="8"/>
  <c r="AR649" i="8"/>
  <c r="BQ649" i="8"/>
  <c r="AR650" i="8"/>
  <c r="BQ650" i="8"/>
  <c r="K651" i="8"/>
  <c r="L651" i="8"/>
  <c r="AR651" i="8"/>
  <c r="BQ651" i="8"/>
  <c r="BQ652" i="8"/>
  <c r="AR653" i="8"/>
  <c r="BQ653" i="8"/>
  <c r="AR654" i="8"/>
  <c r="BQ654" i="8"/>
  <c r="K655" i="8"/>
  <c r="L655" i="8"/>
  <c r="AR655" i="8"/>
  <c r="BQ655" i="8"/>
  <c r="BQ656" i="8"/>
  <c r="AR657" i="8"/>
  <c r="BQ657" i="8"/>
  <c r="AR658" i="8"/>
  <c r="BQ658" i="8"/>
  <c r="K659" i="8"/>
  <c r="L659" i="8"/>
  <c r="AR659" i="8"/>
  <c r="BQ659" i="8"/>
  <c r="BQ660" i="8"/>
  <c r="AR661" i="8"/>
  <c r="BQ661" i="8"/>
  <c r="AR662" i="8"/>
  <c r="BQ662" i="8"/>
  <c r="K663" i="8"/>
  <c r="L663" i="8"/>
  <c r="AR663" i="8"/>
  <c r="BQ663" i="8"/>
  <c r="BQ664" i="8"/>
  <c r="AR665" i="8"/>
  <c r="BQ665" i="8"/>
  <c r="AR666" i="8"/>
  <c r="BQ666" i="8"/>
  <c r="K667" i="8"/>
  <c r="L667" i="8"/>
  <c r="AR667" i="8"/>
  <c r="BQ667" i="8"/>
  <c r="BQ668" i="8"/>
  <c r="AR669" i="8"/>
  <c r="BQ669" i="8"/>
  <c r="AR670" i="8"/>
  <c r="BQ670" i="8"/>
  <c r="K671" i="8"/>
  <c r="L671" i="8"/>
  <c r="AR671" i="8"/>
  <c r="BQ671" i="8"/>
  <c r="BQ672" i="8"/>
  <c r="AR673" i="8"/>
  <c r="BQ673" i="8"/>
  <c r="AR674" i="8"/>
  <c r="BQ674" i="8"/>
  <c r="K675" i="8"/>
  <c r="L675" i="8"/>
  <c r="AR675" i="8"/>
  <c r="BQ675" i="8"/>
  <c r="BQ676" i="8"/>
  <c r="AR677" i="8"/>
  <c r="BQ677" i="8"/>
  <c r="AR678" i="8"/>
  <c r="BQ678" i="8"/>
  <c r="K679" i="8"/>
  <c r="L679" i="8"/>
  <c r="AR679" i="8"/>
  <c r="BQ679" i="8"/>
  <c r="BQ680" i="8"/>
  <c r="AR681" i="8"/>
  <c r="BQ681" i="8"/>
  <c r="AR682" i="8"/>
  <c r="BQ682" i="8"/>
  <c r="K683" i="8"/>
  <c r="L683" i="8"/>
  <c r="AR683" i="8"/>
  <c r="BQ683" i="8"/>
  <c r="BQ684" i="8"/>
  <c r="AR685" i="8"/>
  <c r="BQ685" i="8"/>
  <c r="AR686" i="8"/>
  <c r="BQ686" i="8"/>
  <c r="K687" i="8"/>
  <c r="L687" i="8"/>
  <c r="AR687" i="8"/>
  <c r="BQ687" i="8"/>
  <c r="BQ688" i="8"/>
  <c r="AR689" i="8"/>
  <c r="BQ689" i="8"/>
  <c r="AR690" i="8"/>
  <c r="BQ690" i="8"/>
  <c r="K691" i="8"/>
  <c r="L691" i="8"/>
  <c r="AR691" i="8"/>
  <c r="BQ691" i="8"/>
  <c r="BQ692" i="8"/>
  <c r="AR693" i="8"/>
  <c r="BQ693" i="8"/>
  <c r="AR694" i="8"/>
  <c r="BQ694" i="8"/>
  <c r="K695" i="8"/>
  <c r="L695" i="8"/>
  <c r="AR695" i="8"/>
  <c r="BQ695" i="8"/>
  <c r="BQ696" i="8"/>
  <c r="AR697" i="8"/>
  <c r="BQ697" i="8"/>
  <c r="AR698" i="8"/>
  <c r="BQ698" i="8"/>
  <c r="K699" i="8"/>
  <c r="L699" i="8"/>
  <c r="AR699" i="8"/>
  <c r="BQ699" i="8"/>
  <c r="BQ700" i="8"/>
  <c r="AR701" i="8"/>
  <c r="BQ701" i="8"/>
  <c r="AR702" i="8"/>
  <c r="BQ702" i="8"/>
  <c r="K703" i="8"/>
  <c r="L703" i="8"/>
  <c r="AR703" i="8"/>
  <c r="BQ703" i="8"/>
  <c r="BQ704" i="8"/>
  <c r="AR705" i="8"/>
  <c r="BQ705" i="8"/>
  <c r="AR706" i="8"/>
  <c r="BQ706" i="8"/>
  <c r="K707" i="8"/>
  <c r="L707" i="8"/>
  <c r="AR707" i="8"/>
  <c r="BQ707" i="8"/>
  <c r="BQ708" i="8"/>
  <c r="AR709" i="8"/>
  <c r="BQ709" i="8"/>
  <c r="AR710" i="8"/>
  <c r="BQ710" i="8"/>
  <c r="K711" i="8"/>
  <c r="L711" i="8"/>
  <c r="AR711" i="8"/>
  <c r="BQ711" i="8"/>
  <c r="BQ712" i="8"/>
  <c r="AR713" i="8"/>
  <c r="BQ713" i="8"/>
  <c r="AR714" i="8"/>
  <c r="BQ714" i="8"/>
  <c r="K715" i="8"/>
  <c r="L715" i="8"/>
  <c r="AR715" i="8"/>
  <c r="BQ715" i="8"/>
  <c r="BQ716" i="8"/>
  <c r="AR717" i="8"/>
  <c r="BQ717" i="8"/>
  <c r="AR718" i="8"/>
  <c r="BQ718" i="8"/>
  <c r="K719" i="8"/>
  <c r="L719" i="8"/>
  <c r="AR719" i="8"/>
  <c r="BQ719" i="8"/>
  <c r="BQ720" i="8"/>
  <c r="AR721" i="8"/>
  <c r="BQ721" i="8"/>
  <c r="AR722" i="8"/>
  <c r="BQ722" i="8"/>
  <c r="K723" i="8"/>
  <c r="L723" i="8"/>
  <c r="AR723" i="8"/>
  <c r="BQ723" i="8"/>
  <c r="BQ724" i="8"/>
  <c r="AR725" i="8"/>
  <c r="BQ725" i="8"/>
  <c r="AR726" i="8"/>
  <c r="BQ726" i="8"/>
  <c r="K727" i="8"/>
  <c r="L727" i="8"/>
  <c r="AR727" i="8"/>
  <c r="BQ727" i="8"/>
  <c r="BQ728" i="8"/>
  <c r="AR729" i="8"/>
  <c r="BQ729" i="8"/>
  <c r="AR730" i="8"/>
  <c r="BQ730" i="8"/>
  <c r="K731" i="8"/>
  <c r="L731" i="8"/>
  <c r="AR731" i="8"/>
  <c r="BQ731" i="8"/>
  <c r="BQ732" i="8"/>
  <c r="AR733" i="8"/>
  <c r="BQ733" i="8"/>
  <c r="AR734" i="8"/>
  <c r="BQ734" i="8"/>
  <c r="K735" i="8"/>
  <c r="L735" i="8"/>
  <c r="AR735" i="8"/>
  <c r="BQ735" i="8"/>
  <c r="BQ736" i="8"/>
  <c r="AR737" i="8"/>
  <c r="BQ737" i="8"/>
  <c r="AR738" i="8"/>
  <c r="BQ738" i="8"/>
  <c r="K739" i="8"/>
  <c r="L739" i="8"/>
  <c r="AR739" i="8"/>
  <c r="BQ739" i="8"/>
  <c r="BQ740" i="8"/>
  <c r="AR741" i="8"/>
  <c r="BQ741" i="8"/>
  <c r="AR742" i="8"/>
  <c r="BQ742" i="8"/>
  <c r="K743" i="8"/>
  <c r="L743" i="8"/>
  <c r="AR743" i="8"/>
  <c r="BQ743" i="8"/>
  <c r="BQ744" i="8"/>
  <c r="AR745" i="8"/>
  <c r="BQ745" i="8"/>
  <c r="AR746" i="8"/>
  <c r="BQ746" i="8"/>
  <c r="K747" i="8"/>
  <c r="L747" i="8"/>
  <c r="AR747" i="8"/>
  <c r="BQ747" i="8"/>
  <c r="BQ748" i="8"/>
  <c r="AR749" i="8"/>
  <c r="BQ749" i="8"/>
  <c r="AR750" i="8"/>
  <c r="BQ750" i="8"/>
  <c r="K751" i="8"/>
  <c r="L751" i="8"/>
  <c r="AR751" i="8"/>
  <c r="BQ751" i="8"/>
  <c r="BQ752" i="8"/>
  <c r="AR753" i="8"/>
  <c r="BQ753" i="8"/>
  <c r="AR754" i="8"/>
  <c r="BQ754" i="8"/>
  <c r="K755" i="8"/>
  <c r="L755" i="8"/>
  <c r="AR755" i="8"/>
  <c r="BQ755" i="8"/>
  <c r="BQ756" i="8"/>
  <c r="AR757" i="8"/>
  <c r="BQ757" i="8"/>
  <c r="AR758" i="8"/>
  <c r="BQ758" i="8"/>
  <c r="K759" i="8"/>
  <c r="L759" i="8"/>
  <c r="AR759" i="8"/>
  <c r="BQ759" i="8"/>
  <c r="BQ760" i="8"/>
  <c r="AR761" i="8"/>
  <c r="BQ761" i="8"/>
  <c r="AR762" i="8"/>
  <c r="BQ762" i="8"/>
  <c r="K763" i="8"/>
  <c r="L763" i="8"/>
  <c r="AR763" i="8"/>
  <c r="BQ763" i="8"/>
  <c r="BQ764" i="8"/>
  <c r="AR765" i="8"/>
  <c r="BQ765" i="8"/>
  <c r="AR766" i="8"/>
  <c r="BQ766" i="8"/>
  <c r="K767" i="8"/>
  <c r="L767" i="8"/>
  <c r="AR767" i="8"/>
  <c r="BQ767" i="8"/>
  <c r="BQ768" i="8"/>
  <c r="AR769" i="8"/>
  <c r="BQ769" i="8"/>
  <c r="AR770" i="8"/>
  <c r="BQ770" i="8"/>
  <c r="K771" i="8"/>
  <c r="L771" i="8"/>
  <c r="AR771" i="8"/>
  <c r="BQ771" i="8"/>
  <c r="BQ772" i="8"/>
  <c r="AR773" i="8"/>
  <c r="BQ773" i="8"/>
  <c r="AR774" i="8"/>
  <c r="BQ774" i="8"/>
  <c r="K775" i="8"/>
  <c r="L775" i="8"/>
  <c r="AR775" i="8"/>
  <c r="BQ775" i="8"/>
  <c r="BQ776" i="8"/>
  <c r="AR777" i="8"/>
  <c r="BQ777" i="8"/>
  <c r="AR778" i="8"/>
  <c r="BQ778" i="8"/>
  <c r="K779" i="8"/>
  <c r="L779" i="8"/>
  <c r="AR779" i="8"/>
  <c r="BQ779" i="8"/>
  <c r="BQ780" i="8"/>
  <c r="AR781" i="8"/>
  <c r="BQ781" i="8"/>
  <c r="AR782" i="8"/>
  <c r="BQ782" i="8"/>
  <c r="K783" i="8"/>
  <c r="L783" i="8"/>
  <c r="AR783" i="8"/>
  <c r="BQ783" i="8"/>
  <c r="BQ784" i="8"/>
  <c r="AR785" i="8"/>
  <c r="BQ785" i="8"/>
  <c r="AR786" i="8"/>
  <c r="BQ786" i="8"/>
  <c r="K787" i="8"/>
  <c r="L787" i="8"/>
  <c r="AR787" i="8"/>
  <c r="BQ787" i="8"/>
  <c r="BQ788" i="8"/>
  <c r="AR789" i="8"/>
  <c r="BQ789" i="8"/>
  <c r="AR790" i="8"/>
  <c r="BQ790" i="8"/>
  <c r="K791" i="8"/>
  <c r="L791" i="8"/>
  <c r="AR791" i="8"/>
  <c r="BQ791" i="8"/>
  <c r="BQ792" i="8"/>
  <c r="AR793" i="8"/>
  <c r="BQ793" i="8"/>
  <c r="AR794" i="8"/>
  <c r="BQ794" i="8"/>
  <c r="K795" i="8"/>
  <c r="L795" i="8"/>
  <c r="AR795" i="8"/>
  <c r="BQ795" i="8"/>
  <c r="BQ796" i="8"/>
  <c r="AR797" i="8"/>
  <c r="BQ797" i="8"/>
  <c r="AR798" i="8"/>
  <c r="BQ798" i="8"/>
  <c r="K799" i="8"/>
  <c r="L799" i="8"/>
  <c r="AR799" i="8"/>
  <c r="BQ799" i="8"/>
  <c r="BQ800" i="8"/>
  <c r="AR801" i="8"/>
  <c r="BQ801" i="8"/>
  <c r="AR802" i="8"/>
  <c r="BQ802" i="8"/>
  <c r="K803" i="8"/>
  <c r="L803" i="8"/>
  <c r="AR803" i="8"/>
  <c r="BQ803" i="8"/>
  <c r="BQ804" i="8"/>
  <c r="AR805" i="8"/>
  <c r="BQ805" i="8"/>
  <c r="AR806" i="8"/>
  <c r="BQ806" i="8"/>
  <c r="K807" i="8"/>
  <c r="L807" i="8"/>
  <c r="AR807" i="8"/>
  <c r="BQ807" i="8"/>
  <c r="BQ808" i="8"/>
  <c r="AR809" i="8"/>
  <c r="BQ809" i="8"/>
  <c r="AR810" i="8"/>
  <c r="BQ810" i="8"/>
  <c r="K811" i="8"/>
  <c r="L811" i="8"/>
  <c r="AR811" i="8"/>
  <c r="BQ811" i="8"/>
  <c r="BQ812" i="8"/>
  <c r="AR813" i="8"/>
  <c r="BQ813" i="8"/>
  <c r="AR814" i="8"/>
  <c r="BQ814" i="8"/>
  <c r="K815" i="8"/>
  <c r="L815" i="8"/>
  <c r="AR815" i="8"/>
  <c r="BQ815" i="8"/>
  <c r="BQ816" i="8"/>
  <c r="AR817" i="8"/>
  <c r="BQ817" i="8"/>
  <c r="AR818" i="8"/>
  <c r="BQ818" i="8"/>
  <c r="K819" i="8"/>
  <c r="L819" i="8"/>
  <c r="AR819" i="8"/>
  <c r="BQ819" i="8"/>
  <c r="BQ820" i="8"/>
  <c r="AR821" i="8"/>
  <c r="BQ821" i="8"/>
  <c r="AR822" i="8"/>
  <c r="BQ822" i="8"/>
  <c r="K823" i="8"/>
  <c r="L823" i="8"/>
  <c r="AR823" i="8"/>
  <c r="BQ823" i="8"/>
  <c r="BQ824" i="8"/>
  <c r="AR825" i="8"/>
  <c r="BQ825" i="8"/>
  <c r="AR826" i="8"/>
  <c r="BQ826" i="8"/>
  <c r="K827" i="8"/>
  <c r="L827" i="8"/>
  <c r="AR827" i="8"/>
  <c r="BQ827" i="8"/>
  <c r="BQ828" i="8"/>
  <c r="AR829" i="8"/>
  <c r="BQ829" i="8"/>
  <c r="AR830" i="8"/>
  <c r="BQ830" i="8"/>
  <c r="K831" i="8"/>
  <c r="L831" i="8"/>
  <c r="AR831" i="8"/>
  <c r="BQ831" i="8"/>
  <c r="BQ832" i="8"/>
  <c r="AR833" i="8"/>
  <c r="BQ833" i="8"/>
  <c r="AR834" i="8"/>
  <c r="BQ834" i="8"/>
  <c r="K835" i="8"/>
  <c r="L835" i="8"/>
  <c r="AR835" i="8"/>
  <c r="BQ835" i="8"/>
  <c r="BQ836" i="8"/>
  <c r="AR837" i="8"/>
  <c r="BQ837" i="8"/>
  <c r="AR838" i="8"/>
  <c r="BQ838" i="8"/>
  <c r="K839" i="8"/>
  <c r="L839" i="8"/>
  <c r="AR839" i="8"/>
  <c r="BQ839" i="8"/>
  <c r="BQ840" i="8"/>
  <c r="AR841" i="8"/>
  <c r="BQ841" i="8"/>
  <c r="AR842" i="8"/>
  <c r="BQ842" i="8"/>
  <c r="K843" i="8"/>
  <c r="L843" i="8"/>
  <c r="AR843" i="8"/>
  <c r="BQ843" i="8"/>
  <c r="BQ844" i="8"/>
  <c r="AR845" i="8"/>
  <c r="BQ845" i="8"/>
  <c r="AR846" i="8"/>
  <c r="BQ846" i="8"/>
  <c r="K847" i="8"/>
  <c r="L847" i="8"/>
  <c r="AR847" i="8"/>
  <c r="BQ847" i="8"/>
  <c r="BQ848" i="8"/>
  <c r="AR849" i="8"/>
  <c r="BQ849" i="8"/>
  <c r="AR850" i="8"/>
  <c r="BQ850" i="8"/>
  <c r="K851" i="8"/>
  <c r="L851" i="8"/>
  <c r="AR851" i="8"/>
  <c r="BQ851" i="8"/>
  <c r="BQ852" i="8"/>
  <c r="AR853" i="8"/>
  <c r="BQ853" i="8"/>
  <c r="AR854" i="8"/>
  <c r="BQ854" i="8"/>
  <c r="K855" i="8"/>
  <c r="L855" i="8"/>
  <c r="AR855" i="8"/>
  <c r="BQ855" i="8"/>
  <c r="BQ856" i="8"/>
  <c r="AR857" i="8"/>
  <c r="BQ857" i="8"/>
  <c r="AR858" i="8"/>
  <c r="BQ858" i="8"/>
  <c r="K859" i="8"/>
  <c r="L859" i="8"/>
  <c r="AR859" i="8"/>
  <c r="BQ859" i="8"/>
  <c r="BQ860" i="8"/>
  <c r="AR861" i="8"/>
  <c r="BQ861" i="8"/>
  <c r="AR862" i="8"/>
  <c r="BQ862" i="8"/>
  <c r="L15" i="8"/>
  <c r="AR15" i="8"/>
  <c r="BQ15" i="8"/>
  <c r="BQ16" i="8"/>
  <c r="AR17" i="8"/>
  <c r="BQ17" i="8"/>
  <c r="AR18" i="8"/>
  <c r="BQ18" i="8"/>
  <c r="K19" i="8"/>
  <c r="L19" i="8"/>
  <c r="AR19" i="8"/>
  <c r="BQ19" i="8"/>
  <c r="BQ20" i="8"/>
  <c r="AR21" i="8"/>
  <c r="BQ21" i="8"/>
  <c r="AR22" i="8"/>
  <c r="BQ22" i="8"/>
  <c r="K23" i="8"/>
  <c r="L23" i="8"/>
  <c r="AR23" i="8"/>
  <c r="BQ23" i="8"/>
  <c r="BQ24" i="8"/>
  <c r="AR25" i="8"/>
  <c r="BQ25" i="8"/>
  <c r="AR26" i="8"/>
  <c r="BQ26" i="8"/>
  <c r="K27" i="8"/>
  <c r="L27" i="8"/>
  <c r="AR27" i="8"/>
  <c r="BQ27" i="8"/>
  <c r="BQ28" i="8"/>
  <c r="AR29" i="8"/>
  <c r="BQ29" i="8"/>
  <c r="AR30" i="8"/>
  <c r="BQ30" i="8"/>
  <c r="K31" i="8"/>
  <c r="L31" i="8"/>
  <c r="AR31" i="8"/>
  <c r="BQ31" i="8"/>
  <c r="BQ32" i="8"/>
  <c r="AR33" i="8"/>
  <c r="BQ33" i="8"/>
  <c r="AR34" i="8"/>
  <c r="BQ34" i="8"/>
  <c r="K35" i="8"/>
  <c r="L35" i="8"/>
  <c r="AR35" i="8"/>
  <c r="BQ35" i="8"/>
  <c r="BQ36" i="8"/>
  <c r="AR37" i="8"/>
  <c r="BQ37" i="8"/>
  <c r="AR38" i="8"/>
  <c r="BQ38" i="8"/>
  <c r="K39" i="8"/>
  <c r="L39" i="8"/>
  <c r="AR39" i="8"/>
  <c r="BQ39" i="8"/>
  <c r="BQ40" i="8"/>
  <c r="AR41" i="8"/>
  <c r="BQ41" i="8"/>
  <c r="AR42" i="8"/>
  <c r="BQ42" i="8"/>
  <c r="K43" i="8"/>
  <c r="L43" i="8"/>
  <c r="AR43" i="8"/>
  <c r="BQ43" i="8"/>
  <c r="BQ44" i="8"/>
  <c r="AR45" i="8"/>
  <c r="BQ45" i="8"/>
  <c r="AR46" i="8"/>
  <c r="BQ46" i="8"/>
  <c r="K47" i="8"/>
  <c r="L47" i="8"/>
  <c r="AR47" i="8"/>
  <c r="BQ47" i="8"/>
  <c r="BQ48" i="8"/>
  <c r="AR49" i="8"/>
  <c r="BQ49" i="8"/>
  <c r="AR50" i="8"/>
  <c r="BQ50" i="8"/>
  <c r="K51" i="8"/>
  <c r="L51" i="8"/>
  <c r="AR51" i="8"/>
  <c r="BQ51" i="8"/>
  <c r="BQ52" i="8"/>
  <c r="AR53" i="8"/>
  <c r="BQ53" i="8"/>
  <c r="AR54" i="8"/>
  <c r="BQ54" i="8"/>
  <c r="K55" i="8"/>
  <c r="L55" i="8"/>
  <c r="AR55" i="8"/>
  <c r="BQ55" i="8"/>
  <c r="BQ56" i="8"/>
  <c r="AR57" i="8"/>
  <c r="BQ57" i="8"/>
  <c r="AR58" i="8"/>
  <c r="BQ58" i="8"/>
  <c r="K59" i="8"/>
  <c r="L59" i="8"/>
  <c r="AR59" i="8"/>
  <c r="BQ59" i="8"/>
  <c r="BQ60" i="8"/>
  <c r="AR61" i="8"/>
  <c r="BQ61" i="8"/>
  <c r="AR62" i="8"/>
  <c r="BQ62" i="8"/>
  <c r="K63" i="8"/>
  <c r="L63" i="8"/>
  <c r="AR63" i="8"/>
  <c r="BQ63" i="8"/>
  <c r="BQ64" i="8"/>
  <c r="AR65" i="8"/>
  <c r="BQ65" i="8"/>
  <c r="AR66" i="8"/>
  <c r="BQ66" i="8"/>
  <c r="K67" i="8"/>
  <c r="L67" i="8"/>
  <c r="AR67" i="8"/>
  <c r="BQ67" i="8"/>
  <c r="BQ68" i="8"/>
  <c r="AR69" i="8"/>
  <c r="BQ69" i="8"/>
  <c r="AR70" i="8"/>
  <c r="BQ70" i="8"/>
  <c r="K71" i="8"/>
  <c r="L71" i="8"/>
  <c r="AR71" i="8"/>
  <c r="BQ71" i="8"/>
  <c r="BQ72" i="8"/>
  <c r="AR73" i="8"/>
  <c r="BQ73" i="8"/>
  <c r="AR74" i="8"/>
  <c r="BQ74" i="8"/>
  <c r="K75" i="8"/>
  <c r="L75" i="8"/>
  <c r="AR75" i="8"/>
  <c r="BQ75" i="8"/>
  <c r="BQ76" i="8"/>
  <c r="AR77" i="8"/>
  <c r="BQ77" i="8"/>
  <c r="AR78" i="8"/>
  <c r="BQ78" i="8"/>
  <c r="K79" i="8"/>
  <c r="L79" i="8"/>
  <c r="AR79" i="8"/>
  <c r="BQ79" i="8"/>
  <c r="BQ80" i="8"/>
  <c r="AR81" i="8"/>
  <c r="BQ81" i="8"/>
  <c r="AR82" i="8"/>
  <c r="BQ82" i="8"/>
  <c r="K83" i="8"/>
  <c r="L83" i="8"/>
  <c r="AR83" i="8"/>
  <c r="BQ83" i="8"/>
  <c r="BQ84" i="8"/>
  <c r="AR85" i="8"/>
  <c r="BQ85" i="8"/>
  <c r="AR86" i="8"/>
  <c r="BQ86" i="8"/>
  <c r="K87" i="8"/>
  <c r="L87" i="8"/>
  <c r="AR87" i="8"/>
  <c r="BQ87" i="8"/>
  <c r="BQ88" i="8"/>
  <c r="AR89" i="8"/>
  <c r="BQ89" i="8"/>
  <c r="AR90" i="8"/>
  <c r="BQ90" i="8"/>
  <c r="K91" i="8"/>
  <c r="L91" i="8"/>
  <c r="AR91" i="8"/>
  <c r="BQ91" i="8"/>
  <c r="BQ92" i="8"/>
  <c r="AR93" i="8"/>
  <c r="BQ93" i="8"/>
  <c r="AR94" i="8"/>
  <c r="BQ94" i="8"/>
  <c r="K95" i="8"/>
  <c r="L95" i="8"/>
  <c r="AR95" i="8"/>
  <c r="BQ95" i="8"/>
  <c r="BQ96" i="8"/>
  <c r="AR97" i="8"/>
  <c r="BQ97" i="8"/>
  <c r="AR98" i="8"/>
  <c r="BQ98" i="8"/>
  <c r="K99" i="8"/>
  <c r="L99" i="8"/>
  <c r="AR99" i="8"/>
  <c r="BQ99" i="8"/>
  <c r="BQ100" i="8"/>
  <c r="AR101" i="8"/>
  <c r="BQ101" i="8"/>
  <c r="AR102" i="8"/>
  <c r="BQ102" i="8"/>
  <c r="K103" i="8"/>
  <c r="L103" i="8"/>
  <c r="AR103" i="8"/>
  <c r="BQ103" i="8"/>
  <c r="BQ104" i="8"/>
  <c r="AR105" i="8"/>
  <c r="BQ105" i="8"/>
  <c r="AR106" i="8"/>
  <c r="BQ106" i="8"/>
  <c r="K107" i="8"/>
  <c r="L107" i="8"/>
  <c r="AR107" i="8"/>
  <c r="BQ107" i="8"/>
  <c r="BQ108" i="8"/>
  <c r="AR109" i="8"/>
  <c r="BQ109" i="8"/>
  <c r="AR110" i="8"/>
  <c r="BQ110" i="8"/>
  <c r="K111" i="8"/>
  <c r="L111" i="8"/>
  <c r="AR111" i="8"/>
  <c r="BQ111" i="8"/>
  <c r="BQ112" i="8"/>
  <c r="AR113" i="8"/>
  <c r="BQ113" i="8"/>
  <c r="AR114" i="8"/>
  <c r="BQ114" i="8"/>
  <c r="K115" i="8"/>
  <c r="L115" i="8"/>
  <c r="AR115" i="8"/>
  <c r="BQ115" i="8"/>
  <c r="BQ116" i="8"/>
  <c r="AR117" i="8"/>
  <c r="BQ117" i="8"/>
  <c r="AR118" i="8"/>
  <c r="BQ118" i="8"/>
  <c r="K119" i="8"/>
  <c r="L119" i="8"/>
  <c r="AR119" i="8"/>
  <c r="BQ119" i="8"/>
  <c r="BQ120" i="8"/>
  <c r="AR121" i="8"/>
  <c r="BQ121" i="8"/>
  <c r="AR122" i="8"/>
  <c r="BQ122" i="8"/>
  <c r="K123" i="8"/>
  <c r="L123" i="8"/>
  <c r="AR123" i="8"/>
  <c r="BQ123" i="8"/>
  <c r="BQ124" i="8"/>
  <c r="AR125" i="8"/>
  <c r="BQ125" i="8"/>
  <c r="AR126" i="8"/>
  <c r="BQ126" i="8"/>
  <c r="K127" i="8"/>
  <c r="L127" i="8"/>
  <c r="AR127" i="8"/>
  <c r="BQ127" i="8"/>
  <c r="BQ128" i="8"/>
  <c r="AR129" i="8"/>
  <c r="BQ129" i="8"/>
  <c r="AR130" i="8"/>
  <c r="BQ130" i="8"/>
  <c r="K131" i="8"/>
  <c r="L131" i="8"/>
  <c r="AR131" i="8"/>
  <c r="BQ131" i="8"/>
  <c r="BQ132" i="8"/>
  <c r="AR133" i="8"/>
  <c r="BQ133" i="8"/>
  <c r="AR134" i="8"/>
  <c r="BQ134" i="8"/>
  <c r="K135" i="8"/>
  <c r="L135" i="8"/>
  <c r="AR135" i="8"/>
  <c r="BQ135" i="8"/>
  <c r="BQ136" i="8"/>
  <c r="AR137" i="8"/>
  <c r="BQ137" i="8"/>
  <c r="AR138" i="8"/>
  <c r="BQ138" i="8"/>
  <c r="K139" i="8"/>
  <c r="L139" i="8"/>
  <c r="AR139" i="8"/>
  <c r="BQ139" i="8"/>
  <c r="BQ140" i="8"/>
  <c r="AR141" i="8"/>
  <c r="BQ141" i="8"/>
  <c r="AR142" i="8"/>
  <c r="BQ142" i="8"/>
  <c r="K143" i="8"/>
  <c r="L143" i="8"/>
  <c r="AR143" i="8"/>
  <c r="BQ143" i="8"/>
  <c r="BQ144" i="8"/>
  <c r="AR145" i="8"/>
  <c r="BQ145" i="8"/>
  <c r="AR146" i="8"/>
  <c r="BQ146" i="8"/>
  <c r="K147" i="8"/>
  <c r="L147" i="8"/>
  <c r="AR147" i="8"/>
  <c r="BQ147" i="8"/>
  <c r="BQ148" i="8"/>
  <c r="AR149" i="8"/>
  <c r="BQ149" i="8"/>
  <c r="AR150" i="8"/>
  <c r="BQ150" i="8"/>
  <c r="K151" i="8"/>
  <c r="L151" i="8"/>
  <c r="AR151" i="8"/>
  <c r="BQ151" i="8"/>
  <c r="BQ152" i="8"/>
  <c r="AR153" i="8"/>
  <c r="BQ153" i="8"/>
  <c r="AR154" i="8"/>
  <c r="BQ154" i="8"/>
  <c r="K155" i="8"/>
  <c r="L155" i="8"/>
  <c r="AR155" i="8"/>
  <c r="BQ155" i="8"/>
  <c r="BQ156" i="8"/>
  <c r="AR157" i="8"/>
  <c r="BQ157" i="8"/>
  <c r="AR158" i="8"/>
  <c r="BQ158" i="8"/>
  <c r="K159" i="8"/>
  <c r="L159" i="8"/>
  <c r="AR159" i="8"/>
  <c r="BQ159" i="8"/>
  <c r="BQ160" i="8"/>
  <c r="AR161" i="8"/>
  <c r="BQ161" i="8"/>
  <c r="AR162" i="8"/>
  <c r="BQ162" i="8"/>
  <c r="K163" i="8"/>
  <c r="L163" i="8"/>
  <c r="AR163" i="8"/>
  <c r="BQ163" i="8"/>
  <c r="BQ164" i="8"/>
  <c r="AR165" i="8"/>
  <c r="BQ165" i="8"/>
  <c r="AR166" i="8"/>
  <c r="BQ166" i="8"/>
  <c r="K167" i="8"/>
  <c r="L167" i="8"/>
  <c r="AR167" i="8"/>
  <c r="BQ167" i="8"/>
  <c r="BQ168" i="8"/>
  <c r="AR169" i="8"/>
  <c r="BQ169" i="8"/>
  <c r="AR170" i="8"/>
  <c r="BQ170" i="8"/>
  <c r="K171" i="8"/>
  <c r="L171" i="8"/>
  <c r="AR171" i="8"/>
  <c r="BQ171" i="8"/>
  <c r="BQ172" i="8"/>
  <c r="AR173" i="8"/>
  <c r="BQ173" i="8"/>
  <c r="AR174" i="8"/>
  <c r="BQ174" i="8"/>
  <c r="K175" i="8"/>
  <c r="L175" i="8"/>
  <c r="AR175" i="8"/>
  <c r="BQ175" i="8"/>
  <c r="BQ176" i="8"/>
  <c r="AR177" i="8"/>
  <c r="BQ177" i="8"/>
  <c r="AR178" i="8"/>
  <c r="BQ178" i="8"/>
  <c r="K179" i="8"/>
  <c r="L179" i="8"/>
  <c r="AR179" i="8"/>
  <c r="BQ179" i="8"/>
  <c r="BQ180" i="8"/>
  <c r="AR181" i="8"/>
  <c r="BQ181" i="8"/>
  <c r="AR182" i="8"/>
  <c r="BQ182" i="8"/>
  <c r="K183" i="8"/>
  <c r="L183" i="8"/>
  <c r="AR183" i="8"/>
  <c r="BQ183" i="8"/>
  <c r="BQ184" i="8"/>
  <c r="AR185" i="8"/>
  <c r="BQ185" i="8"/>
  <c r="AR186" i="8"/>
  <c r="BQ186" i="8"/>
  <c r="K187" i="8"/>
  <c r="L187" i="8"/>
  <c r="AR187" i="8"/>
  <c r="BQ187" i="8"/>
  <c r="BQ188" i="8"/>
  <c r="AR189" i="8"/>
  <c r="BQ189" i="8"/>
  <c r="AR190" i="8"/>
  <c r="BQ190" i="8"/>
  <c r="K191" i="8"/>
  <c r="L191" i="8"/>
  <c r="AR191" i="8"/>
  <c r="BQ191" i="8"/>
  <c r="BQ192" i="8"/>
  <c r="AR193" i="8"/>
  <c r="BQ193" i="8"/>
  <c r="AR194" i="8"/>
  <c r="BQ194" i="8"/>
  <c r="K195" i="8"/>
  <c r="L195" i="8"/>
  <c r="AR195" i="8"/>
  <c r="BQ195" i="8"/>
  <c r="BQ196" i="8"/>
  <c r="AR197" i="8"/>
  <c r="BQ197" i="8"/>
  <c r="AR198" i="8"/>
  <c r="BQ198" i="8"/>
  <c r="K199" i="8"/>
  <c r="L199" i="8"/>
  <c r="AR199" i="8"/>
  <c r="BQ199" i="8"/>
  <c r="BQ200" i="8"/>
  <c r="AR201" i="8"/>
  <c r="BQ201" i="8"/>
  <c r="AR202" i="8"/>
  <c r="BQ202" i="8"/>
  <c r="K203" i="8"/>
  <c r="L203" i="8"/>
  <c r="AR203" i="8"/>
  <c r="BQ203" i="8"/>
  <c r="BQ204" i="8"/>
  <c r="AR205" i="8"/>
  <c r="BQ205" i="8"/>
  <c r="AR206" i="8"/>
  <c r="BQ206" i="8"/>
  <c r="K207" i="8"/>
  <c r="L207" i="8"/>
  <c r="AR207" i="8"/>
  <c r="BQ207" i="8"/>
  <c r="BQ208" i="8"/>
  <c r="AR209" i="8"/>
  <c r="BQ209" i="8"/>
  <c r="AR210" i="8"/>
  <c r="BQ210" i="8"/>
  <c r="K211" i="8"/>
  <c r="L211" i="8"/>
  <c r="AR211" i="8"/>
  <c r="BQ211" i="8"/>
  <c r="BQ212" i="8"/>
  <c r="AR213" i="8"/>
  <c r="BQ213" i="8"/>
  <c r="AR214" i="8"/>
  <c r="BQ214" i="8"/>
  <c r="K215" i="8"/>
  <c r="L215" i="8"/>
  <c r="AR215" i="8"/>
  <c r="BQ215" i="8"/>
  <c r="BQ216" i="8"/>
  <c r="AR217" i="8"/>
  <c r="BQ217" i="8"/>
  <c r="AR218" i="8"/>
  <c r="BQ218" i="8"/>
  <c r="K219" i="8"/>
  <c r="L219" i="8"/>
  <c r="AR219" i="8"/>
  <c r="BQ219" i="8"/>
  <c r="BQ220" i="8"/>
  <c r="AR221" i="8"/>
  <c r="BQ221" i="8"/>
  <c r="AR222" i="8"/>
  <c r="BQ222" i="8"/>
  <c r="K223" i="8"/>
  <c r="L223" i="8"/>
  <c r="AR223" i="8"/>
  <c r="BQ223" i="8"/>
  <c r="BQ224" i="8"/>
  <c r="AR225" i="8"/>
  <c r="BQ225" i="8"/>
  <c r="AR226" i="8"/>
  <c r="BQ226" i="8"/>
  <c r="K227" i="8"/>
  <c r="L227" i="8"/>
  <c r="AR227" i="8"/>
  <c r="BQ227" i="8"/>
  <c r="BQ228" i="8"/>
  <c r="AR229" i="8"/>
  <c r="BQ229" i="8"/>
  <c r="AR230" i="8"/>
  <c r="BQ230" i="8"/>
  <c r="K231" i="8"/>
  <c r="L231" i="8"/>
  <c r="AR231" i="8"/>
  <c r="BQ231" i="8"/>
  <c r="BQ232" i="8"/>
  <c r="AR233" i="8"/>
  <c r="BQ233" i="8"/>
  <c r="AR234" i="8"/>
  <c r="BQ234" i="8"/>
  <c r="K235" i="8"/>
  <c r="L235" i="8"/>
  <c r="AR235" i="8"/>
  <c r="BQ235" i="8"/>
  <c r="BQ236" i="8"/>
  <c r="AR237" i="8"/>
  <c r="BQ237" i="8"/>
  <c r="AR238" i="8"/>
  <c r="BQ238" i="8"/>
  <c r="K239" i="8"/>
  <c r="L239" i="8"/>
  <c r="AR239" i="8"/>
  <c r="BQ239" i="8"/>
  <c r="BQ240" i="8"/>
  <c r="AR241" i="8"/>
  <c r="BQ241" i="8"/>
  <c r="AR242" i="8"/>
  <c r="BQ242" i="8"/>
  <c r="K243" i="8"/>
  <c r="L243" i="8"/>
  <c r="AR243" i="8"/>
  <c r="BQ243" i="8"/>
  <c r="BQ244" i="8"/>
  <c r="AR245" i="8"/>
  <c r="BQ245" i="8"/>
  <c r="AR246" i="8"/>
  <c r="BQ246" i="8"/>
  <c r="K247" i="8"/>
  <c r="L247" i="8"/>
  <c r="AR247" i="8"/>
  <c r="BQ247" i="8"/>
  <c r="BQ248" i="8"/>
  <c r="AR249" i="8"/>
  <c r="BQ249" i="8"/>
  <c r="AR250" i="8"/>
  <c r="BQ250" i="8"/>
  <c r="K251" i="8"/>
  <c r="L251" i="8"/>
  <c r="AR251" i="8"/>
  <c r="BQ251" i="8"/>
  <c r="BQ252" i="8"/>
  <c r="AR253" i="8"/>
  <c r="BQ253" i="8"/>
  <c r="AR254" i="8"/>
  <c r="BQ254" i="8"/>
  <c r="K255" i="8"/>
  <c r="L255" i="8"/>
  <c r="AR255" i="8"/>
  <c r="BQ255" i="8"/>
  <c r="BQ256" i="8"/>
  <c r="AR257" i="8"/>
  <c r="BQ257" i="8"/>
  <c r="AR258" i="8"/>
  <c r="BQ258" i="8"/>
  <c r="K259" i="8"/>
  <c r="L259" i="8"/>
  <c r="AR259" i="8"/>
  <c r="BQ259" i="8"/>
  <c r="BQ260" i="8"/>
  <c r="AR261" i="8"/>
  <c r="BQ261" i="8"/>
  <c r="AR262" i="8"/>
  <c r="BQ262" i="8"/>
  <c r="K263" i="8"/>
  <c r="L263" i="8"/>
  <c r="AR263" i="8"/>
  <c r="BQ263" i="8"/>
  <c r="BQ264" i="8"/>
  <c r="AR265" i="8"/>
  <c r="BQ265" i="8"/>
  <c r="AR266" i="8"/>
  <c r="BQ266" i="8"/>
  <c r="K267" i="8"/>
  <c r="L267" i="8"/>
  <c r="AR267" i="8"/>
  <c r="BQ267" i="8"/>
  <c r="BQ268" i="8"/>
  <c r="AR269" i="8"/>
  <c r="BQ269" i="8"/>
  <c r="AR270" i="8"/>
  <c r="BQ270" i="8"/>
  <c r="K271" i="8"/>
  <c r="L271" i="8"/>
  <c r="AR271" i="8"/>
  <c r="BQ271" i="8"/>
  <c r="BQ272" i="8"/>
  <c r="AR273" i="8"/>
  <c r="BQ273" i="8"/>
  <c r="AR274" i="8"/>
  <c r="BQ274" i="8"/>
  <c r="AR275" i="8"/>
  <c r="BQ275" i="8"/>
  <c r="BQ276" i="8"/>
  <c r="AR277" i="8"/>
  <c r="BQ277" i="8"/>
  <c r="AR278" i="8"/>
  <c r="BQ278" i="8"/>
  <c r="AR279" i="8"/>
  <c r="BQ279" i="8"/>
  <c r="BQ280" i="8"/>
  <c r="AR281" i="8"/>
  <c r="BQ281" i="8"/>
  <c r="AR282" i="8"/>
  <c r="BQ282" i="8"/>
  <c r="AR283" i="8"/>
  <c r="BQ283" i="8"/>
  <c r="BQ284" i="8"/>
  <c r="AR285" i="8"/>
  <c r="BQ285" i="8"/>
  <c r="AR286" i="8"/>
  <c r="BQ286" i="8"/>
  <c r="AR287" i="8"/>
  <c r="BQ287" i="8"/>
  <c r="BQ288" i="8"/>
  <c r="AR289" i="8"/>
  <c r="BQ289" i="8"/>
  <c r="AR290" i="8"/>
  <c r="BQ290" i="8"/>
  <c r="AR291" i="8"/>
  <c r="BQ291" i="8"/>
  <c r="BQ292" i="8"/>
  <c r="AR293" i="8"/>
  <c r="BQ293" i="8"/>
  <c r="AR294" i="8"/>
  <c r="BQ294" i="8"/>
  <c r="AR295" i="8"/>
  <c r="BQ295" i="8"/>
  <c r="BQ296" i="8"/>
  <c r="AR297" i="8"/>
  <c r="BQ297" i="8"/>
  <c r="AR298" i="8"/>
  <c r="BQ298" i="8"/>
  <c r="AR299" i="8"/>
  <c r="BQ299" i="8"/>
  <c r="BQ300" i="8"/>
  <c r="AR301" i="8"/>
  <c r="BQ301" i="8"/>
  <c r="AR302" i="8"/>
  <c r="BQ302" i="8"/>
  <c r="AR303" i="8"/>
  <c r="BQ303" i="8"/>
  <c r="BQ304" i="8"/>
  <c r="AR305" i="8"/>
  <c r="BQ305" i="8"/>
  <c r="AR306" i="8"/>
  <c r="BQ306" i="8"/>
  <c r="AR307" i="8"/>
  <c r="BQ307" i="8"/>
  <c r="BQ308" i="8"/>
  <c r="AR309" i="8"/>
  <c r="BQ309" i="8"/>
  <c r="AR310" i="8"/>
  <c r="BQ310" i="8"/>
  <c r="AR311" i="8"/>
  <c r="BQ311" i="8"/>
  <c r="BQ312" i="8"/>
  <c r="AR313" i="8"/>
  <c r="BQ313" i="8"/>
  <c r="AR314" i="8"/>
  <c r="BQ314" i="8"/>
  <c r="AR315" i="8"/>
  <c r="BQ315" i="8"/>
  <c r="BQ316" i="8"/>
  <c r="AR317" i="8"/>
  <c r="BQ317" i="8"/>
  <c r="AR318" i="8"/>
  <c r="BQ318" i="8"/>
  <c r="AR319" i="8"/>
  <c r="BQ319" i="8"/>
  <c r="BQ320" i="8"/>
  <c r="AR321" i="8"/>
  <c r="BQ321" i="8"/>
  <c r="AR322" i="8"/>
  <c r="BQ322" i="8"/>
  <c r="AR323" i="8"/>
  <c r="BQ323" i="8"/>
  <c r="BQ324" i="8"/>
  <c r="AR325" i="8"/>
  <c r="BQ325" i="8"/>
  <c r="AR326" i="8"/>
  <c r="BQ326" i="8"/>
  <c r="AR327" i="8"/>
  <c r="BQ327" i="8"/>
  <c r="BQ328" i="8"/>
  <c r="AR329" i="8"/>
  <c r="BQ329" i="8"/>
  <c r="AR330" i="8"/>
  <c r="BQ330" i="8"/>
  <c r="AR331" i="8"/>
  <c r="BQ331" i="8"/>
  <c r="BQ332" i="8"/>
  <c r="AR333" i="8"/>
  <c r="BQ333" i="8"/>
  <c r="AR334" i="8"/>
  <c r="BQ334" i="8"/>
  <c r="AR335" i="8"/>
  <c r="BQ335" i="8"/>
  <c r="BQ336" i="8"/>
  <c r="AR337" i="8"/>
  <c r="BQ337" i="8"/>
  <c r="AR338" i="8"/>
  <c r="BQ338" i="8"/>
  <c r="AR339" i="8"/>
  <c r="BQ339" i="8"/>
  <c r="BQ340" i="8"/>
  <c r="AR341" i="8"/>
  <c r="BQ341" i="8"/>
  <c r="AR342" i="8"/>
  <c r="BQ342" i="8"/>
  <c r="AR343" i="8"/>
  <c r="BQ343" i="8"/>
  <c r="BQ344" i="8"/>
  <c r="AR345" i="8"/>
  <c r="BQ345" i="8"/>
  <c r="AR346" i="8"/>
  <c r="BQ346" i="8"/>
  <c r="AR347" i="8"/>
  <c r="BQ347" i="8"/>
  <c r="BQ348" i="8"/>
  <c r="AR349" i="8"/>
  <c r="BQ349" i="8"/>
  <c r="AR350" i="8"/>
  <c r="BQ350" i="8"/>
  <c r="AR351" i="8"/>
  <c r="BQ351" i="8"/>
  <c r="BQ352" i="8"/>
  <c r="AR353" i="8"/>
  <c r="BQ353" i="8"/>
  <c r="AR354" i="8"/>
  <c r="BQ354" i="8"/>
  <c r="AR355" i="8"/>
  <c r="BQ355" i="8"/>
  <c r="BQ356" i="8"/>
  <c r="AR357" i="8"/>
  <c r="BQ357" i="8"/>
  <c r="AR358" i="8"/>
  <c r="BQ358" i="8"/>
  <c r="AR359" i="8"/>
  <c r="BQ359" i="8"/>
  <c r="BQ360" i="8"/>
  <c r="AR361" i="8"/>
  <c r="BQ361" i="8"/>
  <c r="AR362" i="8"/>
  <c r="BQ362" i="8"/>
  <c r="AR363" i="8"/>
  <c r="BQ363" i="8"/>
  <c r="BQ364" i="8"/>
  <c r="AR365" i="8"/>
  <c r="BQ365" i="8"/>
  <c r="AR366" i="8"/>
  <c r="BQ366" i="8"/>
  <c r="AR367" i="8"/>
  <c r="BQ367" i="8"/>
  <c r="BQ368" i="8"/>
  <c r="AR369" i="8"/>
  <c r="BQ369" i="8"/>
  <c r="AR370" i="8"/>
  <c r="BQ370" i="8"/>
  <c r="AR371" i="8"/>
  <c r="BQ371" i="8"/>
  <c r="BQ372" i="8"/>
  <c r="AR373" i="8"/>
  <c r="BQ373" i="8"/>
  <c r="AR374" i="8"/>
  <c r="BQ374" i="8"/>
  <c r="AR375" i="8"/>
  <c r="BQ375" i="8"/>
  <c r="BQ376" i="8"/>
  <c r="AR377" i="8"/>
  <c r="BQ377" i="8"/>
  <c r="AR378" i="8"/>
  <c r="BQ378" i="8"/>
  <c r="AR379" i="8"/>
  <c r="BQ379" i="8"/>
  <c r="BQ380" i="8"/>
  <c r="AR381" i="8"/>
  <c r="BQ381" i="8"/>
  <c r="AR382" i="8"/>
  <c r="BQ382" i="8"/>
  <c r="AR383" i="8"/>
  <c r="BQ383" i="8"/>
  <c r="BQ384" i="8"/>
  <c r="AR385" i="8"/>
  <c r="BQ385" i="8"/>
  <c r="AR386" i="8"/>
  <c r="BQ386" i="8"/>
  <c r="AR387" i="8"/>
  <c r="BQ387" i="8"/>
  <c r="BQ388" i="8"/>
  <c r="AR389" i="8"/>
  <c r="BQ389" i="8"/>
  <c r="AR390" i="8"/>
  <c r="BQ390" i="8"/>
  <c r="AR391" i="8"/>
  <c r="BQ391" i="8"/>
  <c r="BQ392" i="8"/>
  <c r="AR393" i="8"/>
  <c r="BQ393" i="8"/>
  <c r="AR394" i="8"/>
  <c r="BQ394" i="8"/>
  <c r="AR395" i="8"/>
  <c r="BQ395" i="8"/>
  <c r="BQ396" i="8"/>
  <c r="AR397" i="8"/>
  <c r="BQ397" i="8"/>
  <c r="AR398" i="8"/>
  <c r="BQ398" i="8"/>
  <c r="AR399" i="8"/>
  <c r="BQ399" i="8"/>
  <c r="BQ400" i="8"/>
  <c r="AR401" i="8"/>
  <c r="BQ401" i="8"/>
  <c r="AR402" i="8"/>
  <c r="BQ402" i="8"/>
  <c r="AR403" i="8"/>
  <c r="BQ403" i="8"/>
  <c r="BQ404" i="8"/>
  <c r="AR405" i="8"/>
  <c r="BQ405" i="8"/>
  <c r="AR406" i="8"/>
  <c r="BQ406" i="8"/>
  <c r="AR407" i="8"/>
  <c r="BQ407" i="8"/>
  <c r="BQ408" i="8"/>
  <c r="AR409" i="8"/>
  <c r="BQ409" i="8"/>
  <c r="AR410" i="8"/>
  <c r="BQ410" i="8"/>
  <c r="AR411" i="8"/>
  <c r="BQ411" i="8"/>
  <c r="BQ412" i="8"/>
  <c r="AR413" i="8"/>
  <c r="BQ413" i="8"/>
  <c r="AR414" i="8"/>
  <c r="BQ414" i="8"/>
  <c r="AR415" i="8"/>
  <c r="BQ415" i="8"/>
  <c r="BQ416" i="8"/>
  <c r="AR417" i="8"/>
  <c r="BQ417" i="8"/>
  <c r="AR418" i="8"/>
  <c r="BQ418" i="8"/>
  <c r="AR419" i="8"/>
  <c r="BQ419" i="8"/>
  <c r="BQ420" i="8"/>
  <c r="AR421" i="8"/>
  <c r="BQ421" i="8"/>
  <c r="AR422" i="8"/>
  <c r="BQ422" i="8"/>
  <c r="AR423" i="8"/>
  <c r="BQ423" i="8"/>
  <c r="BQ424" i="8"/>
  <c r="AR425" i="8"/>
  <c r="BQ425" i="8"/>
  <c r="AR426" i="8"/>
  <c r="BQ426" i="8"/>
  <c r="AN34" i="17" l="1"/>
  <c r="AM19" i="17"/>
  <c r="AN27" i="17"/>
  <c r="AN25" i="17"/>
  <c r="AM26" i="17"/>
  <c r="AN32" i="17"/>
  <c r="AM33" i="17"/>
  <c r="AN31" i="17"/>
  <c r="AL27" i="17"/>
  <c r="AK27" i="17"/>
  <c r="AJ28" i="17"/>
  <c r="AI27" i="17"/>
  <c r="AH27" i="17"/>
  <c r="AG28" i="17"/>
  <c r="AF28" i="17"/>
  <c r="AD28" i="17"/>
  <c r="AC30" i="17"/>
  <c r="AB28" i="17"/>
  <c r="AA28" i="17"/>
  <c r="Z28" i="17"/>
  <c r="Y28" i="17"/>
  <c r="X28" i="17"/>
  <c r="W28" i="17"/>
  <c r="V28" i="17"/>
  <c r="AB27" i="17"/>
  <c r="AA27" i="17"/>
  <c r="Z27" i="17"/>
  <c r="Y27" i="17"/>
  <c r="W27" i="17"/>
  <c r="AL30" i="17"/>
  <c r="AK30" i="17"/>
  <c r="AJ31" i="17"/>
  <c r="AI30" i="17"/>
  <c r="AH30" i="17"/>
  <c r="AG31" i="17"/>
  <c r="AF31" i="17"/>
  <c r="AD31" i="17"/>
  <c r="AC33" i="17"/>
  <c r="Y23" i="17"/>
  <c r="W23" i="17"/>
  <c r="AL33" i="17"/>
  <c r="AK33" i="17"/>
  <c r="AJ34" i="17"/>
  <c r="AI33" i="17"/>
  <c r="AH33" i="17"/>
  <c r="AG34" i="17"/>
  <c r="AF34" i="17"/>
  <c r="AD34" i="17"/>
  <c r="AC21" i="17"/>
  <c r="AB34" i="17"/>
  <c r="AA34" i="17"/>
  <c r="Z34" i="17"/>
  <c r="Y34" i="17"/>
  <c r="X34" i="17"/>
  <c r="W34" i="17"/>
  <c r="V34" i="17"/>
  <c r="AL19" i="17"/>
  <c r="AL20" i="17"/>
  <c r="AK20" i="17"/>
  <c r="AJ21" i="17"/>
  <c r="AI20" i="17"/>
  <c r="AG29" i="17"/>
  <c r="AB29" i="17"/>
  <c r="X29" i="17"/>
  <c r="AC19" i="17"/>
  <c r="AF25" i="17"/>
  <c r="AA25" i="17"/>
  <c r="W25" i="17"/>
  <c r="AN30" i="17"/>
  <c r="AM31" i="17"/>
  <c r="AM32" i="17"/>
  <c r="AN21" i="17"/>
  <c r="AM22" i="17"/>
  <c r="AN28" i="17"/>
  <c r="AM29" i="17"/>
  <c r="AN19" i="17"/>
  <c r="AL23" i="17"/>
  <c r="AK23" i="17"/>
  <c r="AJ24" i="17"/>
  <c r="AI23" i="17"/>
  <c r="Q23" i="17"/>
  <c r="AG24" i="17"/>
  <c r="AF24" i="17"/>
  <c r="AD24" i="17"/>
  <c r="AC26" i="17"/>
  <c r="AB24" i="17"/>
  <c r="AA24" i="17"/>
  <c r="Z24" i="17"/>
  <c r="Y24" i="17"/>
  <c r="X24" i="17"/>
  <c r="W24" i="17"/>
  <c r="V24" i="17"/>
  <c r="AB23" i="17"/>
  <c r="AA23" i="17"/>
  <c r="Z23" i="17"/>
  <c r="V19" i="17"/>
  <c r="W19" i="17"/>
  <c r="AL26" i="17"/>
  <c r="AK26" i="17"/>
  <c r="AJ27" i="17"/>
  <c r="AI26" i="17"/>
  <c r="AH26" i="17"/>
  <c r="AG27" i="17"/>
  <c r="AF27" i="17"/>
  <c r="AD27" i="17"/>
  <c r="AC29" i="17"/>
  <c r="X31" i="17"/>
  <c r="V31" i="17"/>
  <c r="AL29" i="17"/>
  <c r="AK29" i="17"/>
  <c r="AJ30" i="17"/>
  <c r="AI29" i="17"/>
  <c r="AH29" i="17"/>
  <c r="AG30" i="17"/>
  <c r="AF30" i="17"/>
  <c r="AD30" i="17"/>
  <c r="AC32" i="17"/>
  <c r="AB30" i="17"/>
  <c r="AA30" i="17"/>
  <c r="Z30" i="17"/>
  <c r="Y30" i="17"/>
  <c r="X30" i="17"/>
  <c r="W30" i="17"/>
  <c r="V30" i="17"/>
  <c r="AL32" i="17"/>
  <c r="AK32" i="17"/>
  <c r="AJ33" i="17"/>
  <c r="AI32" i="17"/>
  <c r="AH32" i="17"/>
  <c r="AF29" i="17"/>
  <c r="AA29" i="17"/>
  <c r="W29" i="17"/>
  <c r="Z33" i="17"/>
  <c r="AD25" i="17"/>
  <c r="Z25" i="17"/>
  <c r="V25" i="17"/>
  <c r="V33" i="17"/>
  <c r="AD21" i="17"/>
  <c r="Z22" i="17"/>
  <c r="V21" i="17"/>
  <c r="S19" i="17"/>
  <c r="U19" i="17"/>
  <c r="T20" i="17"/>
  <c r="S25" i="17"/>
  <c r="S24" i="17"/>
  <c r="U22" i="17"/>
  <c r="T23" i="17"/>
  <c r="S22" i="17"/>
  <c r="S28" i="17"/>
  <c r="U21" i="17"/>
  <c r="T22" i="17"/>
  <c r="U24" i="17"/>
  <c r="J20" i="17"/>
  <c r="AN26" i="17"/>
  <c r="AM27" i="17"/>
  <c r="AN33" i="17"/>
  <c r="AM34" i="17"/>
  <c r="AN23" i="17"/>
  <c r="AN24" i="17"/>
  <c r="AM25" i="17"/>
  <c r="AM24" i="17"/>
  <c r="AI19" i="17"/>
  <c r="AK19" i="17"/>
  <c r="AJ20" i="17"/>
  <c r="AF19" i="17"/>
  <c r="AH20" i="17"/>
  <c r="AG20" i="17"/>
  <c r="AF20" i="17"/>
  <c r="AD20" i="17"/>
  <c r="AC22" i="17"/>
  <c r="AB20" i="17"/>
  <c r="AA20" i="17"/>
  <c r="Z21" i="17"/>
  <c r="Y20" i="17"/>
  <c r="X20" i="17"/>
  <c r="W20" i="17"/>
  <c r="V20" i="17"/>
  <c r="Y19" i="17"/>
  <c r="AA19" i="17"/>
  <c r="Z20" i="17"/>
  <c r="X27" i="17"/>
  <c r="V27" i="17"/>
  <c r="AL22" i="17"/>
  <c r="AK22" i="17"/>
  <c r="AJ23" i="17"/>
  <c r="AI22" i="17"/>
  <c r="AH23" i="17"/>
  <c r="AG23" i="17"/>
  <c r="AF23" i="17"/>
  <c r="AD23" i="17"/>
  <c r="AC25" i="17"/>
  <c r="X23" i="17"/>
  <c r="V23" i="17"/>
  <c r="AL25" i="17"/>
  <c r="AK25" i="17"/>
  <c r="AJ26" i="17"/>
  <c r="AI25" i="17"/>
  <c r="AN22" i="17"/>
  <c r="AM23" i="17"/>
  <c r="AN29" i="17"/>
  <c r="AM30" i="17"/>
  <c r="AM28" i="17"/>
  <c r="AN20" i="17"/>
  <c r="AM21" i="17"/>
  <c r="AL31" i="17"/>
  <c r="AK31" i="17"/>
  <c r="AJ32" i="17"/>
  <c r="AI31" i="17"/>
  <c r="AH31" i="17"/>
  <c r="AG32" i="17"/>
  <c r="AF32" i="17"/>
  <c r="AD32" i="17"/>
  <c r="AC34" i="17"/>
  <c r="AB32" i="17"/>
  <c r="AA32" i="17"/>
  <c r="Z32" i="17"/>
  <c r="Y32" i="17"/>
  <c r="X32" i="17"/>
  <c r="W32" i="17"/>
  <c r="V32" i="17"/>
  <c r="AB31" i="17"/>
  <c r="AA31" i="17"/>
  <c r="Z31" i="17"/>
  <c r="Y31" i="17"/>
  <c r="X19" i="17"/>
  <c r="AL34" i="17"/>
  <c r="AK34" i="17"/>
  <c r="AJ19" i="17"/>
  <c r="AI34" i="17"/>
  <c r="AH34" i="17"/>
  <c r="AH19" i="17"/>
  <c r="AG19" i="17"/>
  <c r="AB19" i="17"/>
  <c r="AD19" i="17"/>
  <c r="AC20" i="17"/>
  <c r="W31" i="17"/>
  <c r="AM20" i="17"/>
  <c r="AL21" i="17"/>
  <c r="AK21" i="17"/>
  <c r="AJ22" i="17"/>
  <c r="AI21" i="17"/>
  <c r="AH22" i="17"/>
  <c r="AG22" i="17"/>
  <c r="AF22" i="17"/>
  <c r="AD22" i="17"/>
  <c r="AC24" i="17"/>
  <c r="AB22" i="17"/>
  <c r="AA22" i="17"/>
  <c r="Z19" i="17"/>
  <c r="Y22" i="17"/>
  <c r="X22" i="17"/>
  <c r="W22" i="17"/>
  <c r="V22" i="17"/>
  <c r="AL24" i="17"/>
  <c r="AK24" i="17"/>
  <c r="AJ25" i="17"/>
  <c r="AI24" i="17"/>
  <c r="AH24" i="17"/>
  <c r="AC31" i="17"/>
  <c r="Y29" i="17"/>
  <c r="AG33" i="17"/>
  <c r="AG25" i="17"/>
  <c r="AB25" i="17"/>
  <c r="X25" i="17"/>
  <c r="AB33" i="17"/>
  <c r="AG21" i="17"/>
  <c r="AB21" i="17"/>
  <c r="X21" i="17"/>
  <c r="AA33" i="17"/>
  <c r="U27" i="17"/>
  <c r="T28" i="17"/>
  <c r="S27" i="17"/>
  <c r="T33" i="17"/>
  <c r="U30" i="17"/>
  <c r="T31" i="17"/>
  <c r="S30" i="17"/>
  <c r="U20" i="17"/>
  <c r="U29" i="17"/>
  <c r="T30" i="17"/>
  <c r="S29" i="17"/>
  <c r="S32" i="17"/>
  <c r="R28" i="17"/>
  <c r="AH25" i="17"/>
  <c r="AC28" i="17"/>
  <c r="Y26" i="17"/>
  <c r="AL28" i="17"/>
  <c r="AH28" i="17"/>
  <c r="W33" i="17"/>
  <c r="Y33" i="17"/>
  <c r="AA21" i="17"/>
  <c r="X33" i="17"/>
  <c r="T24" i="17"/>
  <c r="T21" i="17"/>
  <c r="T27" i="17"/>
  <c r="T26" i="17"/>
  <c r="Q32" i="17"/>
  <c r="R31" i="17"/>
  <c r="P27" i="17"/>
  <c r="Q29" i="17"/>
  <c r="Q30" i="17"/>
  <c r="Q24" i="17"/>
  <c r="Q19" i="17"/>
  <c r="Q22" i="17"/>
  <c r="AG26" i="17"/>
  <c r="AB26" i="17"/>
  <c r="X26" i="17"/>
  <c r="AK28" i="17"/>
  <c r="AD29" i="17"/>
  <c r="AC27" i="17"/>
  <c r="AH21" i="17"/>
  <c r="Y21" i="17"/>
  <c r="U31" i="17"/>
  <c r="S31" i="17"/>
  <c r="U34" i="17"/>
  <c r="S34" i="17"/>
  <c r="U33" i="17"/>
  <c r="S33" i="17"/>
  <c r="R32" i="17"/>
  <c r="Q28" i="17"/>
  <c r="P28" i="17"/>
  <c r="Q25" i="17"/>
  <c r="R27" i="17"/>
  <c r="Q27" i="17"/>
  <c r="P23" i="17"/>
  <c r="P33" i="17"/>
  <c r="R26" i="17"/>
  <c r="Q26" i="17"/>
  <c r="P26" i="17"/>
  <c r="Q21" i="17"/>
  <c r="AF21" i="17"/>
  <c r="W21" i="17"/>
  <c r="U23" i="17"/>
  <c r="S23" i="17"/>
  <c r="U26" i="17"/>
  <c r="S26" i="17"/>
  <c r="U25" i="17"/>
  <c r="S21" i="17"/>
  <c r="R24" i="17"/>
  <c r="P24" i="17"/>
  <c r="R23" i="17"/>
  <c r="P21" i="17"/>
  <c r="P22" i="17"/>
  <c r="AF26" i="17"/>
  <c r="AA26" i="17"/>
  <c r="W26" i="17"/>
  <c r="AJ29" i="17"/>
  <c r="Z29" i="17"/>
  <c r="Y25" i="17"/>
  <c r="AD26" i="17"/>
  <c r="Z26" i="17"/>
  <c r="V26" i="17"/>
  <c r="AI28" i="17"/>
  <c r="V29" i="17"/>
  <c r="AF33" i="17"/>
  <c r="AC23" i="17"/>
  <c r="AD33" i="17"/>
  <c r="T32" i="17"/>
  <c r="U28" i="17"/>
  <c r="T19" i="17"/>
  <c r="U32" i="17"/>
  <c r="T34" i="17"/>
  <c r="T29" i="17"/>
  <c r="R20" i="17"/>
  <c r="Q20" i="17"/>
  <c r="P20" i="17"/>
  <c r="P19" i="17"/>
  <c r="R19" i="17"/>
  <c r="P31" i="17"/>
  <c r="R21" i="17"/>
  <c r="R34" i="17"/>
  <c r="Q34" i="17"/>
  <c r="P34" i="17"/>
  <c r="R29" i="17"/>
  <c r="O19" i="17"/>
  <c r="T25" i="17"/>
  <c r="S20" i="17"/>
  <c r="P32" i="17"/>
  <c r="R25" i="17"/>
  <c r="Q31" i="17"/>
  <c r="R30" i="17"/>
  <c r="P30" i="17"/>
  <c r="Q33" i="17"/>
  <c r="P29" i="17"/>
  <c r="R33" i="17"/>
  <c r="R22" i="17"/>
  <c r="P25" i="17"/>
  <c r="M19" i="17"/>
  <c r="M30" i="17"/>
  <c r="M24" i="17"/>
  <c r="M20" i="17"/>
  <c r="L30" i="17"/>
  <c r="O27" i="17"/>
  <c r="N19" i="17"/>
  <c r="O29" i="17"/>
  <c r="N24" i="17"/>
  <c r="K30" i="17"/>
  <c r="O26" i="17"/>
  <c r="O34" i="17"/>
  <c r="N29" i="17"/>
  <c r="O24" i="17"/>
  <c r="J30" i="17"/>
  <c r="M29" i="17"/>
  <c r="J31" i="17"/>
  <c r="M34" i="17"/>
  <c r="O28" i="17"/>
  <c r="N23" i="17"/>
  <c r="L34" i="17"/>
  <c r="K29" i="17"/>
  <c r="O23" i="17"/>
  <c r="O33" i="17"/>
  <c r="N28" i="17"/>
  <c r="M23" i="17"/>
  <c r="K34" i="17"/>
  <c r="J29" i="17"/>
  <c r="N22" i="17"/>
  <c r="N33" i="17"/>
  <c r="M28" i="17"/>
  <c r="O22" i="17"/>
  <c r="J34" i="17"/>
  <c r="L28" i="17"/>
  <c r="M25" i="17"/>
  <c r="K28" i="17"/>
  <c r="O32" i="17"/>
  <c r="N27" i="17"/>
  <c r="M22" i="17"/>
  <c r="K33" i="17"/>
  <c r="J28" i="17"/>
  <c r="N20" i="17"/>
  <c r="N32" i="17"/>
  <c r="M27" i="17"/>
  <c r="J22" i="17"/>
  <c r="J33" i="17"/>
  <c r="L27" i="17"/>
  <c r="J19" i="17"/>
  <c r="M32" i="17"/>
  <c r="M26" i="17"/>
  <c r="O21" i="17"/>
  <c r="L32" i="17"/>
  <c r="N34" i="17"/>
  <c r="N21" i="17"/>
  <c r="L33" i="17"/>
  <c r="N31" i="17"/>
  <c r="N26" i="17"/>
  <c r="M21" i="17"/>
  <c r="J32" i="17"/>
  <c r="O31" i="17"/>
  <c r="K32" i="17"/>
  <c r="M31" i="17"/>
  <c r="O25" i="17"/>
  <c r="J21" i="17"/>
  <c r="L31" i="17"/>
  <c r="N30" i="17"/>
  <c r="L29" i="17"/>
  <c r="O30" i="17"/>
  <c r="N25" i="17"/>
  <c r="O20" i="17"/>
  <c r="K31" i="17"/>
  <c r="M33" i="17"/>
  <c r="K22" i="17"/>
  <c r="K27" i="17"/>
  <c r="L24" i="17"/>
  <c r="K25" i="17"/>
  <c r="J23" i="17"/>
  <c r="K23" i="17"/>
  <c r="K24" i="17"/>
  <c r="K26" i="17"/>
  <c r="J26" i="17"/>
  <c r="J27" i="17"/>
  <c r="K21" i="17"/>
  <c r="L23" i="17"/>
  <c r="L21" i="17"/>
  <c r="J25" i="17"/>
  <c r="J24" i="17"/>
  <c r="L25" i="17"/>
  <c r="L26" i="17"/>
  <c r="L22" i="17"/>
  <c r="L20" i="17"/>
  <c r="K20" i="17"/>
  <c r="K19" i="17"/>
  <c r="L19" i="17"/>
  <c r="L11" i="8"/>
  <c r="AO22" i="17" l="1"/>
  <c r="AO33" i="17"/>
  <c r="AO21" i="17"/>
  <c r="AO24" i="17"/>
  <c r="AO20" i="17"/>
  <c r="AO27" i="17"/>
  <c r="AG36" i="17"/>
  <c r="AJ36" i="17"/>
  <c r="V36" i="17"/>
  <c r="AN36" i="17"/>
  <c r="AO31" i="17"/>
  <c r="R36" i="17"/>
  <c r="T36" i="17"/>
  <c r="AO26" i="17"/>
  <c r="AO28" i="17"/>
  <c r="AH36" i="17"/>
  <c r="AA36" i="17"/>
  <c r="AK36" i="17"/>
  <c r="AO30" i="17"/>
  <c r="AO34" i="17"/>
  <c r="P36" i="17"/>
  <c r="Q36" i="17"/>
  <c r="AD36" i="17"/>
  <c r="Y36" i="17"/>
  <c r="AI36" i="17"/>
  <c r="U36" i="17"/>
  <c r="AO29" i="17"/>
  <c r="AO25" i="17"/>
  <c r="AM36" i="17"/>
  <c r="Z36" i="17"/>
  <c r="AB36" i="17"/>
  <c r="X36" i="17"/>
  <c r="AO23" i="17"/>
  <c r="AO19" i="17"/>
  <c r="AF36" i="17"/>
  <c r="S36" i="17"/>
  <c r="AO32" i="17"/>
  <c r="W36" i="17"/>
  <c r="AC36" i="17"/>
  <c r="AL36" i="17"/>
  <c r="O36" i="17"/>
  <c r="L36" i="17"/>
  <c r="AE27" i="17"/>
  <c r="AE32" i="17"/>
  <c r="AE28" i="17"/>
  <c r="AE33" i="17"/>
  <c r="AE34" i="17"/>
  <c r="AE31" i="17"/>
  <c r="N36" i="17"/>
  <c r="AE29" i="17"/>
  <c r="AE30" i="17"/>
  <c r="M36" i="17"/>
  <c r="AE25" i="17"/>
  <c r="AE22" i="17"/>
  <c r="AE26" i="17"/>
  <c r="AE23" i="17"/>
  <c r="AE24" i="17"/>
  <c r="AE21" i="17"/>
  <c r="AE20" i="17"/>
  <c r="J36" i="17"/>
  <c r="AE19" i="17"/>
  <c r="K36" i="17"/>
  <c r="Z486" i="4"/>
  <c r="J116" i="21"/>
  <c r="J117" i="21"/>
  <c r="J118" i="21"/>
  <c r="J119" i="21"/>
  <c r="J120" i="21"/>
  <c r="J121" i="21"/>
  <c r="J122" i="21"/>
  <c r="J123" i="21"/>
  <c r="J124" i="21"/>
  <c r="J125" i="21"/>
  <c r="J126" i="21"/>
  <c r="J127" i="21"/>
  <c r="J128" i="21"/>
  <c r="J129" i="21"/>
  <c r="J130" i="21"/>
  <c r="J131" i="21"/>
  <c r="J132" i="21"/>
  <c r="J133" i="21"/>
  <c r="J134" i="21"/>
  <c r="J135" i="21"/>
  <c r="J136" i="21"/>
  <c r="J137" i="21"/>
  <c r="J138" i="21"/>
  <c r="J139" i="21"/>
  <c r="J140" i="21"/>
  <c r="J141" i="21"/>
  <c r="J142" i="21"/>
  <c r="J143" i="21"/>
  <c r="J144" i="21"/>
  <c r="J145" i="21"/>
  <c r="J146" i="21"/>
  <c r="J147" i="21"/>
  <c r="J148" i="21"/>
  <c r="J149" i="21"/>
  <c r="J150" i="21"/>
  <c r="J151" i="21"/>
  <c r="J152" i="21"/>
  <c r="J153" i="21"/>
  <c r="J154" i="21"/>
  <c r="J155" i="21"/>
  <c r="J156" i="21"/>
  <c r="J157" i="21"/>
  <c r="J158" i="21"/>
  <c r="J159" i="21"/>
  <c r="J160" i="21"/>
  <c r="J161" i="21"/>
  <c r="J162" i="21"/>
  <c r="J163" i="21"/>
  <c r="J164" i="21"/>
  <c r="J165" i="21"/>
  <c r="J166" i="21"/>
  <c r="J167" i="21"/>
  <c r="J168" i="21"/>
  <c r="J169" i="21"/>
  <c r="J170" i="21"/>
  <c r="J171" i="21"/>
  <c r="J172" i="21"/>
  <c r="J173" i="21"/>
  <c r="J174" i="21"/>
  <c r="J175" i="21"/>
  <c r="J176" i="21"/>
  <c r="J177" i="21"/>
  <c r="J178" i="21"/>
  <c r="J179" i="21"/>
  <c r="J180" i="21"/>
  <c r="J181" i="21"/>
  <c r="J182" i="21"/>
  <c r="J183" i="21"/>
  <c r="J184" i="21"/>
  <c r="J185" i="21"/>
  <c r="J186" i="21"/>
  <c r="J187" i="21"/>
  <c r="J188" i="21"/>
  <c r="J189" i="21"/>
  <c r="J190" i="21"/>
  <c r="J191" i="21"/>
  <c r="J192" i="21"/>
  <c r="J193" i="21"/>
  <c r="J194" i="21"/>
  <c r="J195" i="21"/>
  <c r="J196" i="21"/>
  <c r="J197" i="21"/>
  <c r="J198" i="21"/>
  <c r="J199" i="21"/>
  <c r="J200" i="21"/>
  <c r="J201" i="21"/>
  <c r="J202" i="21"/>
  <c r="J203" i="21"/>
  <c r="J204" i="21"/>
  <c r="J205" i="21"/>
  <c r="J206" i="21"/>
  <c r="J207" i="21"/>
  <c r="J208" i="21"/>
  <c r="J209" i="21"/>
  <c r="J210" i="21"/>
  <c r="J211" i="21"/>
  <c r="J212" i="21"/>
  <c r="J213" i="21"/>
  <c r="J214" i="21"/>
  <c r="J215" i="21"/>
  <c r="J216" i="21"/>
  <c r="J217" i="21"/>
  <c r="J218" i="21"/>
  <c r="J219" i="21"/>
  <c r="J220" i="21"/>
  <c r="J221" i="21"/>
  <c r="J222" i="21"/>
  <c r="J223" i="21"/>
  <c r="J224" i="21"/>
  <c r="J225" i="21"/>
  <c r="J226" i="21"/>
  <c r="J227" i="21"/>
  <c r="J228" i="21"/>
  <c r="J229" i="21"/>
  <c r="J230" i="21"/>
  <c r="J231" i="21"/>
  <c r="J232" i="21"/>
  <c r="J233" i="21"/>
  <c r="J234" i="21"/>
  <c r="J235" i="21"/>
  <c r="J236" i="21"/>
  <c r="J237" i="21"/>
  <c r="J238" i="21"/>
  <c r="J239" i="21"/>
  <c r="J240" i="21"/>
  <c r="J241" i="21"/>
  <c r="J242" i="21"/>
  <c r="J243" i="21"/>
  <c r="J244" i="21"/>
  <c r="J245" i="21"/>
  <c r="J246" i="21"/>
  <c r="J247" i="21"/>
  <c r="J248" i="21"/>
  <c r="J249" i="21"/>
  <c r="J250" i="21"/>
  <c r="J251" i="21"/>
  <c r="J252" i="21"/>
  <c r="J253" i="21"/>
  <c r="J254" i="21"/>
  <c r="J255" i="21"/>
  <c r="J256" i="21"/>
  <c r="J257" i="21"/>
  <c r="J258" i="21"/>
  <c r="J259" i="21"/>
  <c r="J260" i="21"/>
  <c r="J261" i="21"/>
  <c r="J262" i="21"/>
  <c r="J263" i="21"/>
  <c r="J264" i="21"/>
  <c r="J265" i="21"/>
  <c r="J266" i="21"/>
  <c r="J267" i="21"/>
  <c r="J268" i="21"/>
  <c r="J269" i="21"/>
  <c r="J270" i="21"/>
  <c r="J271" i="21"/>
  <c r="J272" i="21"/>
  <c r="J273" i="21"/>
  <c r="J274" i="21"/>
  <c r="J275" i="21"/>
  <c r="J276" i="21"/>
  <c r="J277" i="21"/>
  <c r="J278" i="21"/>
  <c r="J14" i="21"/>
  <c r="J15" i="21"/>
  <c r="J16" i="21"/>
  <c r="J17" i="21"/>
  <c r="J18" i="21"/>
  <c r="J19" i="21"/>
  <c r="J21"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89" i="21"/>
  <c r="J90" i="21"/>
  <c r="J91" i="21"/>
  <c r="J92" i="21"/>
  <c r="J93" i="21"/>
  <c r="J94" i="21"/>
  <c r="J95" i="21"/>
  <c r="J96" i="21"/>
  <c r="J97" i="21"/>
  <c r="J98" i="21"/>
  <c r="J99" i="21"/>
  <c r="J100" i="21"/>
  <c r="J101" i="21"/>
  <c r="J102" i="21"/>
  <c r="J103" i="21"/>
  <c r="J104" i="21"/>
  <c r="J105" i="21"/>
  <c r="J106" i="21"/>
  <c r="J107" i="21"/>
  <c r="J108" i="21"/>
  <c r="J109" i="21"/>
  <c r="J110" i="21"/>
  <c r="J111" i="21"/>
  <c r="J112" i="21"/>
  <c r="J113" i="21"/>
  <c r="J114" i="21"/>
  <c r="J115" i="21"/>
  <c r="AO36" i="17" l="1"/>
  <c r="AE36" i="17"/>
  <c r="BQ14" i="8"/>
  <c r="BQ13" i="8"/>
  <c r="BQ12" i="8"/>
  <c r="BQ11" i="8"/>
  <c r="AR14" i="8"/>
  <c r="AR13" i="8"/>
  <c r="AR11" i="8"/>
  <c r="AC37" i="3"/>
  <c r="AC38" i="3"/>
  <c r="AC39" i="3"/>
  <c r="AC40" i="3"/>
  <c r="AC41" i="3"/>
  <c r="AC42" i="3"/>
  <c r="AC43" i="3"/>
  <c r="AC44" i="3"/>
  <c r="AC45" i="3"/>
  <c r="AC46" i="3"/>
  <c r="AC36" i="3"/>
  <c r="N37" i="3"/>
  <c r="N38" i="3"/>
  <c r="N39" i="3"/>
  <c r="N40" i="3"/>
  <c r="N41" i="3"/>
  <c r="N42" i="3"/>
  <c r="N43" i="3"/>
  <c r="N44" i="3"/>
  <c r="N45" i="3"/>
  <c r="N46" i="3"/>
  <c r="N36" i="3"/>
  <c r="Q33" i="3"/>
  <c r="R32" i="3" s="1"/>
  <c r="R33" i="3" s="1"/>
  <c r="AC31" i="3"/>
  <c r="N30" i="3"/>
  <c r="N31" i="3"/>
  <c r="N29" i="3"/>
  <c r="AC30" i="3"/>
  <c r="AC29" i="3"/>
  <c r="B33" i="3"/>
  <c r="S32" i="3" l="1"/>
  <c r="S33" i="3" s="1"/>
  <c r="C32" i="3"/>
  <c r="C33" i="3" s="1"/>
  <c r="D32" i="3" s="1"/>
  <c r="J11" i="21"/>
  <c r="J12" i="21"/>
  <c r="J13" i="21"/>
  <c r="H10" i="21"/>
  <c r="J10" i="21" s="1"/>
  <c r="T32" i="3" l="1"/>
  <c r="W11" i="20"/>
  <c r="W12" i="20"/>
  <c r="W13" i="20"/>
  <c r="W14" i="20"/>
  <c r="W16" i="20"/>
  <c r="W17" i="20"/>
  <c r="W18" i="20"/>
  <c r="W19" i="20"/>
  <c r="W20" i="20"/>
  <c r="W21" i="20"/>
  <c r="W10" i="20"/>
  <c r="T33" i="3" l="1"/>
  <c r="D33" i="3"/>
  <c r="E32" i="3" s="1"/>
  <c r="U5" i="21"/>
  <c r="L5" i="21"/>
  <c r="G5" i="21"/>
  <c r="U4" i="21"/>
  <c r="G4" i="21"/>
  <c r="U3" i="21"/>
  <c r="G3" i="21"/>
  <c r="U5" i="20"/>
  <c r="L5" i="20"/>
  <c r="G5" i="20"/>
  <c r="U4" i="20"/>
  <c r="G4" i="20"/>
  <c r="U3" i="20"/>
  <c r="G3" i="20"/>
  <c r="U32" i="3" l="1"/>
  <c r="Z5" i="17"/>
  <c r="U5" i="15"/>
  <c r="U5" i="18"/>
  <c r="U5" i="13"/>
  <c r="AA5" i="8"/>
  <c r="U5" i="7"/>
  <c r="U5" i="4"/>
  <c r="U5" i="6"/>
  <c r="Z4" i="17"/>
  <c r="U4" i="15"/>
  <c r="U4" i="18"/>
  <c r="U4" i="13"/>
  <c r="AA4" i="8"/>
  <c r="U4" i="7"/>
  <c r="U4" i="4"/>
  <c r="U4" i="6"/>
  <c r="Z3" i="17"/>
  <c r="U3" i="15"/>
  <c r="U3" i="18"/>
  <c r="U3" i="13"/>
  <c r="AA3" i="8"/>
  <c r="U3" i="7"/>
  <c r="U3" i="4"/>
  <c r="U3" i="6"/>
  <c r="M5" i="17"/>
  <c r="L5" i="15"/>
  <c r="L5" i="18"/>
  <c r="L5" i="13"/>
  <c r="N5" i="8"/>
  <c r="L5" i="7"/>
  <c r="L5" i="4"/>
  <c r="L5" i="6"/>
  <c r="G5" i="17"/>
  <c r="G5" i="15"/>
  <c r="G5" i="18"/>
  <c r="G5" i="13"/>
  <c r="H5" i="8"/>
  <c r="G5" i="7"/>
  <c r="G5" i="4"/>
  <c r="G5" i="6"/>
  <c r="G4" i="17"/>
  <c r="G4" i="15"/>
  <c r="G4" i="18"/>
  <c r="G4" i="13"/>
  <c r="H4" i="8"/>
  <c r="G4" i="7"/>
  <c r="G4" i="4"/>
  <c r="G4" i="6"/>
  <c r="G3" i="17"/>
  <c r="G3" i="15"/>
  <c r="G3" i="18"/>
  <c r="G3" i="13"/>
  <c r="H3" i="8"/>
  <c r="G3" i="7"/>
  <c r="G3" i="4"/>
  <c r="Y502" i="7"/>
  <c r="X502" i="7"/>
  <c r="W502" i="7"/>
  <c r="V502" i="7"/>
  <c r="U502" i="7"/>
  <c r="T502" i="7"/>
  <c r="S502" i="7"/>
  <c r="R502" i="7"/>
  <c r="Q502" i="7"/>
  <c r="P502" i="7"/>
  <c r="O502" i="7"/>
  <c r="N502" i="7"/>
  <c r="M502" i="7"/>
  <c r="L502" i="7"/>
  <c r="Z501" i="7"/>
  <c r="Z500" i="7"/>
  <c r="Z499" i="7"/>
  <c r="Z498" i="7"/>
  <c r="Z497" i="7"/>
  <c r="Z496" i="7"/>
  <c r="Z495" i="7"/>
  <c r="Z494" i="7"/>
  <c r="Z493" i="7"/>
  <c r="Z492" i="7"/>
  <c r="Z491" i="7"/>
  <c r="Z490" i="7"/>
  <c r="Z489" i="7"/>
  <c r="Z488" i="7"/>
  <c r="Z487" i="7"/>
  <c r="Z486" i="7"/>
  <c r="Z485" i="7"/>
  <c r="Z484" i="7"/>
  <c r="Z483" i="7"/>
  <c r="Z482" i="7"/>
  <c r="Z481" i="7"/>
  <c r="Z480" i="7"/>
  <c r="Z479" i="7"/>
  <c r="Z478" i="7"/>
  <c r="Z477" i="7"/>
  <c r="Z476" i="7"/>
  <c r="Z475" i="7"/>
  <c r="Z474" i="7"/>
  <c r="Z473" i="7"/>
  <c r="Z472" i="7"/>
  <c r="Z471" i="7"/>
  <c r="Z470" i="7"/>
  <c r="Z469" i="7"/>
  <c r="Z468" i="7"/>
  <c r="Z467" i="7"/>
  <c r="Z466" i="7"/>
  <c r="Z465" i="7"/>
  <c r="Z464" i="7"/>
  <c r="Z463" i="7"/>
  <c r="Z462" i="7"/>
  <c r="Z461" i="7"/>
  <c r="Z460" i="7"/>
  <c r="Z459" i="7"/>
  <c r="Z458" i="7"/>
  <c r="Z457" i="7"/>
  <c r="Z456" i="7"/>
  <c r="Z455" i="7"/>
  <c r="Z454" i="7"/>
  <c r="Z453" i="7"/>
  <c r="Z452" i="7"/>
  <c r="Z451" i="7"/>
  <c r="Z450" i="7"/>
  <c r="Z449" i="7"/>
  <c r="Z448" i="7"/>
  <c r="Z447" i="7"/>
  <c r="Z446" i="7"/>
  <c r="Z445" i="7"/>
  <c r="Z444" i="7"/>
  <c r="Z443" i="7"/>
  <c r="Z442" i="7"/>
  <c r="Z441" i="7"/>
  <c r="Z440" i="7"/>
  <c r="Z439" i="7"/>
  <c r="Z438" i="7"/>
  <c r="Z437" i="7"/>
  <c r="Z436" i="7"/>
  <c r="Z435" i="7"/>
  <c r="Z434" i="7"/>
  <c r="Z433" i="7"/>
  <c r="Z432" i="7"/>
  <c r="Z431" i="7"/>
  <c r="Z430" i="7"/>
  <c r="Z429" i="7"/>
  <c r="Z428" i="7"/>
  <c r="Z427" i="7"/>
  <c r="Z426" i="7"/>
  <c r="Z425" i="7"/>
  <c r="Z424" i="7"/>
  <c r="Z423" i="7"/>
  <c r="Z422" i="7"/>
  <c r="Z421" i="7"/>
  <c r="Z420" i="7"/>
  <c r="Z419" i="7"/>
  <c r="Z418" i="7"/>
  <c r="Z417" i="7"/>
  <c r="Z416" i="7"/>
  <c r="Z415" i="7"/>
  <c r="Z414" i="7"/>
  <c r="Z413" i="7"/>
  <c r="Z412" i="7"/>
  <c r="Z411" i="7"/>
  <c r="Z410" i="7"/>
  <c r="Z409" i="7"/>
  <c r="Z408" i="7"/>
  <c r="Z407" i="7"/>
  <c r="Z406" i="7"/>
  <c r="Z405" i="7"/>
  <c r="Z404" i="7"/>
  <c r="Z403" i="7"/>
  <c r="Z402" i="7"/>
  <c r="Z401" i="7"/>
  <c r="Z400" i="7"/>
  <c r="Z399" i="7"/>
  <c r="Z398" i="7"/>
  <c r="Z397" i="7"/>
  <c r="Z396" i="7"/>
  <c r="Z395" i="7"/>
  <c r="Z394" i="7"/>
  <c r="Z393" i="7"/>
  <c r="Z392" i="7"/>
  <c r="Z391" i="7"/>
  <c r="Z390" i="7"/>
  <c r="Z389" i="7"/>
  <c r="Z388" i="7"/>
  <c r="Z387" i="7"/>
  <c r="Z386" i="7"/>
  <c r="Z385" i="7"/>
  <c r="Z384" i="7"/>
  <c r="Z383" i="7"/>
  <c r="Z382" i="7"/>
  <c r="Z381" i="7"/>
  <c r="Z380" i="7"/>
  <c r="Z379" i="7"/>
  <c r="Z378" i="7"/>
  <c r="Z377" i="7"/>
  <c r="Z376" i="7"/>
  <c r="Z375" i="7"/>
  <c r="Z374" i="7"/>
  <c r="Z373" i="7"/>
  <c r="Z372" i="7"/>
  <c r="Z371" i="7"/>
  <c r="Z370" i="7"/>
  <c r="Z369" i="7"/>
  <c r="Z368" i="7"/>
  <c r="Z367" i="7"/>
  <c r="Z366" i="7"/>
  <c r="Z365" i="7"/>
  <c r="Z364" i="7"/>
  <c r="Z363" i="7"/>
  <c r="Z362" i="7"/>
  <c r="Z361" i="7"/>
  <c r="Z360" i="7"/>
  <c r="Z359" i="7"/>
  <c r="Z358" i="7"/>
  <c r="Z357" i="7"/>
  <c r="Z356" i="7"/>
  <c r="Z355" i="7"/>
  <c r="Z354" i="7"/>
  <c r="Z353" i="7"/>
  <c r="Z352" i="7"/>
  <c r="Z351" i="7"/>
  <c r="Z350" i="7"/>
  <c r="Z349" i="7"/>
  <c r="Z348" i="7"/>
  <c r="Z347" i="7"/>
  <c r="Z346" i="7"/>
  <c r="Z345" i="7"/>
  <c r="Z344" i="7"/>
  <c r="Z343" i="7"/>
  <c r="Z342" i="7"/>
  <c r="Z341" i="7"/>
  <c r="Z340" i="7"/>
  <c r="Z339" i="7"/>
  <c r="Z338" i="7"/>
  <c r="Z337" i="7"/>
  <c r="Z336" i="7"/>
  <c r="Z335" i="7"/>
  <c r="Z334" i="7"/>
  <c r="Z333" i="7"/>
  <c r="Z332" i="7"/>
  <c r="Z331" i="7"/>
  <c r="Z330" i="7"/>
  <c r="Z329" i="7"/>
  <c r="Z328" i="7"/>
  <c r="Z327" i="7"/>
  <c r="Z326" i="7"/>
  <c r="Z325" i="7"/>
  <c r="Z324" i="7"/>
  <c r="Z323" i="7"/>
  <c r="Z322" i="7"/>
  <c r="Z321" i="7"/>
  <c r="Z320" i="7"/>
  <c r="Z319" i="7"/>
  <c r="Z318" i="7"/>
  <c r="Z317" i="7"/>
  <c r="Z316" i="7"/>
  <c r="Z315" i="7"/>
  <c r="Z314" i="7"/>
  <c r="Z313" i="7"/>
  <c r="Z312" i="7"/>
  <c r="Z311" i="7"/>
  <c r="Z310" i="7"/>
  <c r="Z309" i="7"/>
  <c r="Z308" i="7"/>
  <c r="Z307" i="7"/>
  <c r="Z306" i="7"/>
  <c r="Z305" i="7"/>
  <c r="Z304" i="7"/>
  <c r="Z303" i="7"/>
  <c r="Z302" i="7"/>
  <c r="Z301" i="7"/>
  <c r="Z300" i="7"/>
  <c r="Z299" i="7"/>
  <c r="Z298" i="7"/>
  <c r="Z297" i="7"/>
  <c r="Z296" i="7"/>
  <c r="Z295" i="7"/>
  <c r="Z294" i="7"/>
  <c r="Z293" i="7"/>
  <c r="Z292" i="7"/>
  <c r="Z291" i="7"/>
  <c r="Z290" i="7"/>
  <c r="Z289" i="7"/>
  <c r="Z288" i="7"/>
  <c r="Z287" i="7"/>
  <c r="Z286" i="7"/>
  <c r="Z285" i="7"/>
  <c r="Z284" i="7"/>
  <c r="Z283" i="7"/>
  <c r="Z282" i="7"/>
  <c r="Z281" i="7"/>
  <c r="Z280" i="7"/>
  <c r="Z279" i="7"/>
  <c r="Z278" i="7"/>
  <c r="Z277" i="7"/>
  <c r="Z276" i="7"/>
  <c r="Z275" i="7"/>
  <c r="Z274" i="7"/>
  <c r="Z273" i="7"/>
  <c r="Z272" i="7"/>
  <c r="Z271" i="7"/>
  <c r="Z270" i="7"/>
  <c r="Z269" i="7"/>
  <c r="Z268" i="7"/>
  <c r="Z267" i="7"/>
  <c r="Z266" i="7"/>
  <c r="Z265" i="7"/>
  <c r="Z264" i="7"/>
  <c r="Z263" i="7"/>
  <c r="Z262" i="7"/>
  <c r="Z261" i="7"/>
  <c r="Z260" i="7"/>
  <c r="Z259" i="7"/>
  <c r="Z258" i="7"/>
  <c r="Z257" i="7"/>
  <c r="Z256" i="7"/>
  <c r="Z255" i="7"/>
  <c r="Z254" i="7"/>
  <c r="Z253" i="7"/>
  <c r="Z252" i="7"/>
  <c r="Z251" i="7"/>
  <c r="Z250" i="7"/>
  <c r="Z249" i="7"/>
  <c r="Z248" i="7"/>
  <c r="Z247" i="7"/>
  <c r="Z246" i="7"/>
  <c r="Z245" i="7"/>
  <c r="Z244" i="7"/>
  <c r="Z243" i="7"/>
  <c r="Z242" i="7"/>
  <c r="Z241" i="7"/>
  <c r="Z240" i="7"/>
  <c r="Z239" i="7"/>
  <c r="Z238" i="7"/>
  <c r="Z237" i="7"/>
  <c r="Z236" i="7"/>
  <c r="Z235" i="7"/>
  <c r="Z234" i="7"/>
  <c r="Z233" i="7"/>
  <c r="Z232" i="7"/>
  <c r="Z231" i="7"/>
  <c r="Z230" i="7"/>
  <c r="Z229" i="7"/>
  <c r="Z228" i="7"/>
  <c r="Z227" i="7"/>
  <c r="Z226" i="7"/>
  <c r="Z225" i="7"/>
  <c r="Z224" i="7"/>
  <c r="Z223" i="7"/>
  <c r="Z222" i="7"/>
  <c r="Z221" i="7"/>
  <c r="Z220" i="7"/>
  <c r="Z219" i="7"/>
  <c r="Z218" i="7"/>
  <c r="Z217" i="7"/>
  <c r="Z216" i="7"/>
  <c r="Z215" i="7"/>
  <c r="Z214" i="7"/>
  <c r="Z213" i="7"/>
  <c r="Z212" i="7"/>
  <c r="Z211" i="7"/>
  <c r="Z210" i="7"/>
  <c r="Z209" i="7"/>
  <c r="Z208" i="7"/>
  <c r="Z207" i="7"/>
  <c r="Z206" i="7"/>
  <c r="Z205" i="7"/>
  <c r="Z204" i="7"/>
  <c r="Z203" i="7"/>
  <c r="Z202" i="7"/>
  <c r="Z201" i="7"/>
  <c r="Z200" i="7"/>
  <c r="Z199" i="7"/>
  <c r="Z198" i="7"/>
  <c r="Z197" i="7"/>
  <c r="Z196" i="7"/>
  <c r="Z195" i="7"/>
  <c r="Z194" i="7"/>
  <c r="Z193" i="7"/>
  <c r="Z192" i="7"/>
  <c r="Z191" i="7"/>
  <c r="Z190" i="7"/>
  <c r="Z189" i="7"/>
  <c r="Z188" i="7"/>
  <c r="Z187" i="7"/>
  <c r="Z186" i="7"/>
  <c r="Z185" i="7"/>
  <c r="Z184" i="7"/>
  <c r="Z183" i="7"/>
  <c r="Z182" i="7"/>
  <c r="Z181" i="7"/>
  <c r="Z180" i="7"/>
  <c r="Z179" i="7"/>
  <c r="Z178" i="7"/>
  <c r="Z177" i="7"/>
  <c r="Z176" i="7"/>
  <c r="Z175" i="7"/>
  <c r="Z174" i="7"/>
  <c r="Z173" i="7"/>
  <c r="Z172" i="7"/>
  <c r="Z171" i="7"/>
  <c r="Z170" i="7"/>
  <c r="Z169" i="7"/>
  <c r="Z168" i="7"/>
  <c r="Z167" i="7"/>
  <c r="Z166" i="7"/>
  <c r="Z165" i="7"/>
  <c r="Z164" i="7"/>
  <c r="Z163" i="7"/>
  <c r="Z162" i="7"/>
  <c r="Z161" i="7"/>
  <c r="Z160" i="7"/>
  <c r="Z159" i="7"/>
  <c r="Z158" i="7"/>
  <c r="Z157" i="7"/>
  <c r="Z156" i="7"/>
  <c r="Z155" i="7"/>
  <c r="Z154" i="7"/>
  <c r="Z153" i="7"/>
  <c r="Z152" i="7"/>
  <c r="Z151" i="7"/>
  <c r="Z150" i="7"/>
  <c r="Z149" i="7"/>
  <c r="Z148" i="7"/>
  <c r="Z147" i="7"/>
  <c r="Z146" i="7"/>
  <c r="Z145" i="7"/>
  <c r="Z144" i="7"/>
  <c r="Z143" i="7"/>
  <c r="Z142" i="7"/>
  <c r="Z141" i="7"/>
  <c r="Z140" i="7"/>
  <c r="Z139" i="7"/>
  <c r="Z138" i="7"/>
  <c r="Z137" i="7"/>
  <c r="Z136" i="7"/>
  <c r="Z135" i="7"/>
  <c r="Z134" i="7"/>
  <c r="Z133" i="7"/>
  <c r="Z132" i="7"/>
  <c r="Z131" i="7"/>
  <c r="Z130" i="7"/>
  <c r="Z129" i="7"/>
  <c r="Z128" i="7"/>
  <c r="Z127" i="7"/>
  <c r="Z126" i="7"/>
  <c r="Z125" i="7"/>
  <c r="Z124" i="7"/>
  <c r="Z123" i="7"/>
  <c r="Z122" i="7"/>
  <c r="Z121" i="7"/>
  <c r="Z120" i="7"/>
  <c r="Z119" i="7"/>
  <c r="Z118" i="7"/>
  <c r="Z117" i="7"/>
  <c r="Z116" i="7"/>
  <c r="Z115" i="7"/>
  <c r="Z114" i="7"/>
  <c r="Z113" i="7"/>
  <c r="Z112" i="7"/>
  <c r="Z111" i="7"/>
  <c r="Z110" i="7"/>
  <c r="Z109" i="7"/>
  <c r="Z108" i="7"/>
  <c r="Z107" i="7"/>
  <c r="Z106" i="7"/>
  <c r="Z105" i="7"/>
  <c r="Z104" i="7"/>
  <c r="Z103" i="7"/>
  <c r="Z102" i="7"/>
  <c r="Z101" i="7"/>
  <c r="Z100" i="7"/>
  <c r="Z99" i="7"/>
  <c r="Z98" i="7"/>
  <c r="Z97" i="7"/>
  <c r="Z96" i="7"/>
  <c r="Z95" i="7"/>
  <c r="Z94" i="7"/>
  <c r="Z93" i="7"/>
  <c r="Z92" i="7"/>
  <c r="Z91" i="7"/>
  <c r="Z90" i="7"/>
  <c r="Z89" i="7"/>
  <c r="Z88" i="7"/>
  <c r="Z87" i="7"/>
  <c r="Z86" i="7"/>
  <c r="Z85" i="7"/>
  <c r="Z84" i="7"/>
  <c r="Z83" i="7"/>
  <c r="Z82" i="7"/>
  <c r="Z81" i="7"/>
  <c r="Z80" i="7"/>
  <c r="Z79" i="7"/>
  <c r="Z78" i="7"/>
  <c r="Z77" i="7"/>
  <c r="Z76" i="7"/>
  <c r="Z75" i="7"/>
  <c r="Z74" i="7"/>
  <c r="Z73" i="7"/>
  <c r="Z72" i="7"/>
  <c r="Z71" i="7"/>
  <c r="Z70" i="7"/>
  <c r="Z69" i="7"/>
  <c r="Z68" i="7"/>
  <c r="Z67" i="7"/>
  <c r="Z66" i="7"/>
  <c r="Z65" i="7"/>
  <c r="Z64" i="7"/>
  <c r="Z63" i="7"/>
  <c r="Z62" i="7"/>
  <c r="Z61" i="7"/>
  <c r="Z60" i="7"/>
  <c r="Z59" i="7"/>
  <c r="Z58" i="7"/>
  <c r="Z57" i="7"/>
  <c r="Z56" i="7"/>
  <c r="Z55" i="7"/>
  <c r="Z54" i="7"/>
  <c r="Z53" i="7"/>
  <c r="Z52" i="7"/>
  <c r="Z51" i="7"/>
  <c r="Z50" i="7"/>
  <c r="Z49" i="7"/>
  <c r="Z48" i="7"/>
  <c r="Z47" i="7"/>
  <c r="Z46" i="7"/>
  <c r="Z45" i="7"/>
  <c r="Z44" i="7"/>
  <c r="Z43" i="7"/>
  <c r="Z42" i="7"/>
  <c r="Z41" i="7"/>
  <c r="Z40" i="7"/>
  <c r="Z39" i="7"/>
  <c r="Z38" i="7"/>
  <c r="Z37" i="7"/>
  <c r="Z36" i="7"/>
  <c r="Z35" i="7"/>
  <c r="Z34" i="7"/>
  <c r="Z33" i="7"/>
  <c r="Z32" i="7"/>
  <c r="Z31" i="7"/>
  <c r="Z30" i="7"/>
  <c r="Z29" i="7"/>
  <c r="Z28" i="7"/>
  <c r="Z27" i="7"/>
  <c r="Z26" i="7"/>
  <c r="Z25" i="7"/>
  <c r="Z24" i="7"/>
  <c r="Z23" i="7"/>
  <c r="Z22" i="7"/>
  <c r="Z21" i="7"/>
  <c r="Z20" i="7"/>
  <c r="Z19" i="7"/>
  <c r="Z18" i="7"/>
  <c r="Z17" i="7"/>
  <c r="Z16" i="7"/>
  <c r="Z15" i="7"/>
  <c r="Z14" i="7"/>
  <c r="Z13" i="7"/>
  <c r="Z12" i="7"/>
  <c r="Z11" i="7"/>
  <c r="Z10" i="7"/>
  <c r="M501" i="4"/>
  <c r="N501" i="4"/>
  <c r="O501" i="4"/>
  <c r="P501" i="4"/>
  <c r="Q501" i="4"/>
  <c r="R501" i="4"/>
  <c r="S501" i="4"/>
  <c r="T501" i="4"/>
  <c r="U501" i="4"/>
  <c r="V501" i="4"/>
  <c r="W501" i="4"/>
  <c r="X501" i="4"/>
  <c r="Y501" i="4"/>
  <c r="L501" i="4"/>
  <c r="Z10" i="4"/>
  <c r="Z11" i="4"/>
  <c r="Z12" i="4"/>
  <c r="Z13" i="4"/>
  <c r="Z14" i="4"/>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Z257" i="4"/>
  <c r="Z258" i="4"/>
  <c r="Z259" i="4"/>
  <c r="Z260" i="4"/>
  <c r="Z261" i="4"/>
  <c r="Z262" i="4"/>
  <c r="Z263" i="4"/>
  <c r="Z264" i="4"/>
  <c r="Z265" i="4"/>
  <c r="Z266" i="4"/>
  <c r="Z267" i="4"/>
  <c r="Z268" i="4"/>
  <c r="Z269" i="4"/>
  <c r="Z270" i="4"/>
  <c r="Z271" i="4"/>
  <c r="Z272" i="4"/>
  <c r="Z273" i="4"/>
  <c r="Z274" i="4"/>
  <c r="Z275" i="4"/>
  <c r="Z276" i="4"/>
  <c r="Z277" i="4"/>
  <c r="Z278" i="4"/>
  <c r="Z279" i="4"/>
  <c r="Z280" i="4"/>
  <c r="Z281" i="4"/>
  <c r="Z282" i="4"/>
  <c r="Z283" i="4"/>
  <c r="Z284" i="4"/>
  <c r="Z285" i="4"/>
  <c r="Z286" i="4"/>
  <c r="Z287" i="4"/>
  <c r="Z288" i="4"/>
  <c r="Z289" i="4"/>
  <c r="Z290" i="4"/>
  <c r="Z291" i="4"/>
  <c r="Z292" i="4"/>
  <c r="Z293" i="4"/>
  <c r="Z294" i="4"/>
  <c r="Z295" i="4"/>
  <c r="Z296" i="4"/>
  <c r="Z297" i="4"/>
  <c r="Z298" i="4"/>
  <c r="Z299" i="4"/>
  <c r="Z300" i="4"/>
  <c r="Z301" i="4"/>
  <c r="Z302" i="4"/>
  <c r="Z303" i="4"/>
  <c r="Z304" i="4"/>
  <c r="Z305" i="4"/>
  <c r="Z306" i="4"/>
  <c r="Z307" i="4"/>
  <c r="Z308" i="4"/>
  <c r="Z309" i="4"/>
  <c r="Z310" i="4"/>
  <c r="Z311" i="4"/>
  <c r="Z312" i="4"/>
  <c r="Z313" i="4"/>
  <c r="Z314" i="4"/>
  <c r="Z315" i="4"/>
  <c r="Z316" i="4"/>
  <c r="Z317" i="4"/>
  <c r="Z318" i="4"/>
  <c r="Z319" i="4"/>
  <c r="Z320" i="4"/>
  <c r="Z321" i="4"/>
  <c r="Z322" i="4"/>
  <c r="Z323" i="4"/>
  <c r="Z324" i="4"/>
  <c r="Z325" i="4"/>
  <c r="Z326" i="4"/>
  <c r="Z327" i="4"/>
  <c r="Z328" i="4"/>
  <c r="Z329" i="4"/>
  <c r="Z330" i="4"/>
  <c r="Z331" i="4"/>
  <c r="Z332" i="4"/>
  <c r="Z333" i="4"/>
  <c r="Z334" i="4"/>
  <c r="Z335" i="4"/>
  <c r="Z336" i="4"/>
  <c r="Z337" i="4"/>
  <c r="Z338" i="4"/>
  <c r="Z339" i="4"/>
  <c r="Z340" i="4"/>
  <c r="Z341" i="4"/>
  <c r="Z342" i="4"/>
  <c r="Z343" i="4"/>
  <c r="Z344" i="4"/>
  <c r="Z345" i="4"/>
  <c r="Z346" i="4"/>
  <c r="Z347" i="4"/>
  <c r="Z348" i="4"/>
  <c r="Z349" i="4"/>
  <c r="Z350" i="4"/>
  <c r="Z351" i="4"/>
  <c r="Z352" i="4"/>
  <c r="Z353" i="4"/>
  <c r="Z354" i="4"/>
  <c r="Z355" i="4"/>
  <c r="Z356" i="4"/>
  <c r="Z357" i="4"/>
  <c r="Z358" i="4"/>
  <c r="Z359" i="4"/>
  <c r="Z360" i="4"/>
  <c r="Z361" i="4"/>
  <c r="Z362" i="4"/>
  <c r="Z363" i="4"/>
  <c r="Z364" i="4"/>
  <c r="Z365" i="4"/>
  <c r="Z366" i="4"/>
  <c r="Z367" i="4"/>
  <c r="Z368" i="4"/>
  <c r="Z369" i="4"/>
  <c r="Z370" i="4"/>
  <c r="Z371" i="4"/>
  <c r="Z372" i="4"/>
  <c r="Z373" i="4"/>
  <c r="Z374" i="4"/>
  <c r="Z375" i="4"/>
  <c r="Z376" i="4"/>
  <c r="Z377" i="4"/>
  <c r="Z378" i="4"/>
  <c r="Z379" i="4"/>
  <c r="Z380" i="4"/>
  <c r="Z381" i="4"/>
  <c r="Z382" i="4"/>
  <c r="Z383" i="4"/>
  <c r="Z384" i="4"/>
  <c r="Z385" i="4"/>
  <c r="Z386" i="4"/>
  <c r="Z387" i="4"/>
  <c r="Z388" i="4"/>
  <c r="Z389" i="4"/>
  <c r="Z390" i="4"/>
  <c r="Z391" i="4"/>
  <c r="Z392" i="4"/>
  <c r="Z393" i="4"/>
  <c r="Z394" i="4"/>
  <c r="Z395" i="4"/>
  <c r="Z396" i="4"/>
  <c r="Z397" i="4"/>
  <c r="Z398" i="4"/>
  <c r="Z399" i="4"/>
  <c r="Z400" i="4"/>
  <c r="Z401" i="4"/>
  <c r="Z402" i="4"/>
  <c r="Z403" i="4"/>
  <c r="Z404" i="4"/>
  <c r="Z405" i="4"/>
  <c r="Z406" i="4"/>
  <c r="Z407" i="4"/>
  <c r="Z408" i="4"/>
  <c r="Z409" i="4"/>
  <c r="Z410" i="4"/>
  <c r="Z411" i="4"/>
  <c r="Z412" i="4"/>
  <c r="Z413" i="4"/>
  <c r="Z414" i="4"/>
  <c r="Z415" i="4"/>
  <c r="Z416" i="4"/>
  <c r="Z417" i="4"/>
  <c r="Z418" i="4"/>
  <c r="Z419" i="4"/>
  <c r="Z420" i="4"/>
  <c r="Z421" i="4"/>
  <c r="Z422" i="4"/>
  <c r="Z423" i="4"/>
  <c r="Z424" i="4"/>
  <c r="Z425" i="4"/>
  <c r="Z426" i="4"/>
  <c r="Z427" i="4"/>
  <c r="Z428" i="4"/>
  <c r="Z429" i="4"/>
  <c r="Z430" i="4"/>
  <c r="Z431" i="4"/>
  <c r="Z432" i="4"/>
  <c r="Z433" i="4"/>
  <c r="Z434" i="4"/>
  <c r="Z435" i="4"/>
  <c r="Z436" i="4"/>
  <c r="Z437" i="4"/>
  <c r="Z438" i="4"/>
  <c r="Z439" i="4"/>
  <c r="Z440" i="4"/>
  <c r="Z441" i="4"/>
  <c r="Z442" i="4"/>
  <c r="Z443" i="4"/>
  <c r="Z444" i="4"/>
  <c r="Z445" i="4"/>
  <c r="Z446" i="4"/>
  <c r="Z447" i="4"/>
  <c r="Z448" i="4"/>
  <c r="Z449" i="4"/>
  <c r="Z450" i="4"/>
  <c r="Z451" i="4"/>
  <c r="Z452" i="4"/>
  <c r="Z453" i="4"/>
  <c r="Z454" i="4"/>
  <c r="Z455" i="4"/>
  <c r="Z456" i="4"/>
  <c r="Z457" i="4"/>
  <c r="Z458" i="4"/>
  <c r="Z459" i="4"/>
  <c r="Z460" i="4"/>
  <c r="Z461" i="4"/>
  <c r="Z462" i="4"/>
  <c r="Z463" i="4"/>
  <c r="Z464" i="4"/>
  <c r="Z465" i="4"/>
  <c r="Z466" i="4"/>
  <c r="Z467" i="4"/>
  <c r="Z468" i="4"/>
  <c r="Z469" i="4"/>
  <c r="Z470" i="4"/>
  <c r="Z471" i="4"/>
  <c r="Z472" i="4"/>
  <c r="Z473" i="4"/>
  <c r="Z474" i="4"/>
  <c r="Z475" i="4"/>
  <c r="Z476" i="4"/>
  <c r="Z477" i="4"/>
  <c r="Z478" i="4"/>
  <c r="Z479" i="4"/>
  <c r="Z480" i="4"/>
  <c r="Z481" i="4"/>
  <c r="Z482" i="4"/>
  <c r="Z483" i="4"/>
  <c r="Z484" i="4"/>
  <c r="Z485" i="4"/>
  <c r="Z487" i="4"/>
  <c r="Z488" i="4"/>
  <c r="Z489" i="4"/>
  <c r="Z490" i="4"/>
  <c r="Z491" i="4"/>
  <c r="Z492" i="4"/>
  <c r="Z493" i="4"/>
  <c r="Z494" i="4"/>
  <c r="Z495" i="4"/>
  <c r="Z496" i="4"/>
  <c r="Z497" i="4"/>
  <c r="Z498" i="4"/>
  <c r="Z499" i="4"/>
  <c r="Z500" i="4"/>
  <c r="Z9" i="4"/>
  <c r="Z501" i="4" l="1"/>
  <c r="A10" i="17" s="1"/>
  <c r="Z502" i="7"/>
  <c r="A14" i="17" s="1"/>
  <c r="U33" i="3"/>
  <c r="E33" i="3"/>
  <c r="F32" i="3" s="1"/>
  <c r="V32" i="3" l="1"/>
  <c r="F33" i="3"/>
  <c r="V33" i="3" l="1"/>
  <c r="G32" i="3"/>
  <c r="G33" i="3" s="1"/>
  <c r="W32" i="3" l="1"/>
  <c r="H32" i="3"/>
  <c r="H33" i="3" s="1"/>
  <c r="W33" i="3" l="1"/>
  <c r="I32" i="3"/>
  <c r="X32" i="3" l="1"/>
  <c r="I33" i="3"/>
  <c r="X33" i="3" l="1"/>
  <c r="Y32" i="3" s="1"/>
  <c r="Y33" i="3" s="1"/>
  <c r="Z32" i="3" s="1"/>
  <c r="Z33" i="3" s="1"/>
  <c r="AA32" i="3" s="1"/>
  <c r="AA33" i="3" s="1"/>
  <c r="AB32" i="3" s="1"/>
  <c r="AB33" i="3" s="1"/>
  <c r="AC33" i="3" s="1"/>
  <c r="J32" i="3"/>
  <c r="AC32" i="3" l="1"/>
  <c r="J33" i="3"/>
  <c r="K32" i="3" l="1"/>
  <c r="K33" i="3" l="1"/>
  <c r="L32" i="3" l="1"/>
  <c r="L33" i="3" s="1"/>
  <c r="M32" i="3" s="1"/>
  <c r="M33" i="3" l="1"/>
  <c r="N33" i="3" s="1"/>
  <c r="N32" i="3"/>
</calcChain>
</file>

<file path=xl/sharedStrings.xml><?xml version="1.0" encoding="utf-8"?>
<sst xmlns="http://schemas.openxmlformats.org/spreadsheetml/2006/main" count="5827" uniqueCount="1174">
  <si>
    <t xml:space="preserve">DIRECTIONS:     This form is designed to be used for the entire fiscal year.                                                                                                                                                                                                                                                                                                                                                                                                                                                                                                                                                                                                                                                           TAB:  On SET UP TAB , Please complete the information at the top of the page . This only has to be completed once unless information changes.  (This information will populate headers on all other tabs) Please select the month you are reporting on from the drop down box. This drop down box needs to be changed each month.  The date will  populate other tabs in this document. </t>
  </si>
  <si>
    <t>Please note: "Month Being Reported" is from 1st-30th (or 31st) of each month.  The report is due by the 25th of the following month. Examples:</t>
  </si>
  <si>
    <t>July 1-31</t>
  </si>
  <si>
    <t>due August 25</t>
  </si>
  <si>
    <t>October 1-31</t>
  </si>
  <si>
    <t>due November 25</t>
  </si>
  <si>
    <t>January 1-31</t>
  </si>
  <si>
    <t>due February 25</t>
  </si>
  <si>
    <t>April 1-30</t>
  </si>
  <si>
    <t>due May 25</t>
  </si>
  <si>
    <t>August 1-31</t>
  </si>
  <si>
    <t>due September 25</t>
  </si>
  <si>
    <t>November 1-30</t>
  </si>
  <si>
    <t>due December 25</t>
  </si>
  <si>
    <t>February 1-28</t>
  </si>
  <si>
    <t>due March 25</t>
  </si>
  <si>
    <t>May 1-31</t>
  </si>
  <si>
    <t>due June 25</t>
  </si>
  <si>
    <t>September 1-30</t>
  </si>
  <si>
    <t>due October 25</t>
  </si>
  <si>
    <t>December 1-31</t>
  </si>
  <si>
    <t>due January 25</t>
  </si>
  <si>
    <t>March 1-31</t>
  </si>
  <si>
    <t>due April 25</t>
  </si>
  <si>
    <t>June 1-30</t>
  </si>
  <si>
    <t>due July 25</t>
  </si>
  <si>
    <t>ALL FORMS MUST BE E-MAILED TO DHHRBBHReporting@wv.gov</t>
  </si>
  <si>
    <t>DEFINITIONS: Serious Emotional Disturbance (SED) is used to refer to children and youth who have had a diagnosis of either mental, behavioral, or emotional disorder in the past year, which resulted in functional impairment that substantially interferes with or limits the child's role or functioning in the family, school, or community activities.</t>
  </si>
  <si>
    <t>Set Up Tab</t>
  </si>
  <si>
    <t>BLUE BOXES AT TOP OF PAGE: Complete information in Blue at top of page. (This only needs done at the beginning of the year of if a change occurs.)</t>
  </si>
  <si>
    <r>
      <rPr>
        <b/>
        <sz val="11"/>
        <color theme="1"/>
        <rFont val="Calibri"/>
        <family val="2"/>
        <scheme val="minor"/>
      </rPr>
      <t>Program</t>
    </r>
    <r>
      <rPr>
        <sz val="11"/>
        <color theme="1"/>
        <rFont val="Calibri"/>
        <family val="2"/>
        <scheme val="minor"/>
      </rPr>
      <t>: Use the name in Exhibit A (Statement of Work) of the Grant Agreement</t>
    </r>
  </si>
  <si>
    <r>
      <rPr>
        <b/>
        <sz val="11"/>
        <color theme="1"/>
        <rFont val="Calibri"/>
        <family val="2"/>
        <scheme val="minor"/>
      </rPr>
      <t>Name of School</t>
    </r>
    <r>
      <rPr>
        <sz val="11"/>
        <color theme="1"/>
        <rFont val="Calibri"/>
        <family val="2"/>
        <scheme val="minor"/>
      </rPr>
      <t>: Provide the name of the school the report reflects</t>
    </r>
  </si>
  <si>
    <r>
      <rPr>
        <b/>
        <sz val="11"/>
        <color theme="1"/>
        <rFont val="Calibri"/>
        <family val="2"/>
        <scheme val="minor"/>
      </rPr>
      <t>Physical Address of School</t>
    </r>
    <r>
      <rPr>
        <sz val="11"/>
        <color theme="1"/>
        <rFont val="Calibri"/>
        <family val="2"/>
        <scheme val="minor"/>
      </rPr>
      <t>: Provide mailing address and street address for the school</t>
    </r>
  </si>
  <si>
    <r>
      <rPr>
        <b/>
        <sz val="11"/>
        <color theme="1"/>
        <rFont val="Calibri"/>
        <family val="2"/>
        <scheme val="minor"/>
      </rPr>
      <t>Month/Year Being Reported:</t>
    </r>
    <r>
      <rPr>
        <sz val="11"/>
        <color theme="1"/>
        <rFont val="Calibri"/>
        <family val="2"/>
        <scheme val="minor"/>
      </rPr>
      <t xml:space="preserve"> Choose from the drop down box</t>
    </r>
  </si>
  <si>
    <r>
      <rPr>
        <b/>
        <sz val="11"/>
        <color theme="1"/>
        <rFont val="Calibri"/>
        <family val="2"/>
        <scheme val="minor"/>
      </rPr>
      <t>Grantee Name:</t>
    </r>
    <r>
      <rPr>
        <sz val="11"/>
        <color theme="1"/>
        <rFont val="Calibri"/>
        <family val="2"/>
        <scheme val="minor"/>
      </rPr>
      <t xml:space="preserve"> name of agency who is providing services to the school per the grant agreement</t>
    </r>
  </si>
  <si>
    <r>
      <rPr>
        <b/>
        <sz val="11"/>
        <color theme="1"/>
        <rFont val="Calibri"/>
        <family val="2"/>
        <scheme val="minor"/>
      </rPr>
      <t>Contact number for Grantee:</t>
    </r>
    <r>
      <rPr>
        <sz val="11"/>
        <color theme="1"/>
        <rFont val="Calibri"/>
        <family val="2"/>
        <scheme val="minor"/>
      </rPr>
      <t xml:space="preserve"> provide a telephone number where the grantee may be reached</t>
    </r>
  </si>
  <si>
    <r>
      <rPr>
        <b/>
        <sz val="11"/>
        <color theme="1"/>
        <rFont val="Calibri"/>
        <family val="2"/>
        <scheme val="minor"/>
      </rPr>
      <t>Grant Number</t>
    </r>
    <r>
      <rPr>
        <sz val="11"/>
        <color theme="1"/>
        <rFont val="Calibri"/>
        <family val="2"/>
        <scheme val="minor"/>
      </rPr>
      <t>: Provide the current fiscal year grant code, usually starting with the letter "G".  This can be found on the Agreement</t>
    </r>
  </si>
  <si>
    <r>
      <rPr>
        <b/>
        <sz val="11"/>
        <color theme="1"/>
        <rFont val="Calibri"/>
        <family val="2"/>
        <scheme val="minor"/>
      </rPr>
      <t>Program Code:</t>
    </r>
    <r>
      <rPr>
        <sz val="11"/>
        <color theme="1"/>
        <rFont val="Calibri"/>
        <family val="2"/>
        <scheme val="minor"/>
      </rPr>
      <t xml:space="preserve"> Provide the current fiscal year program code, usually starting with a row of "00".  This can be found on the Agreement.</t>
    </r>
  </si>
  <si>
    <r>
      <rPr>
        <b/>
        <sz val="11"/>
        <color theme="1"/>
        <rFont val="Calibri"/>
        <family val="2"/>
        <scheme val="minor"/>
      </rPr>
      <t>County the School Resides in:</t>
    </r>
    <r>
      <rPr>
        <sz val="11"/>
        <color theme="1"/>
        <rFont val="Calibri"/>
        <family val="2"/>
        <scheme val="minor"/>
      </rPr>
      <t xml:space="preserve"> provide the county in which the school is located.</t>
    </r>
  </si>
  <si>
    <r>
      <rPr>
        <b/>
        <sz val="11"/>
        <color theme="1"/>
        <rFont val="Calibri"/>
        <family val="2"/>
        <scheme val="minor"/>
      </rPr>
      <t>Grades Served</t>
    </r>
    <r>
      <rPr>
        <sz val="11"/>
        <color theme="1"/>
        <rFont val="Calibri"/>
        <family val="2"/>
        <scheme val="minor"/>
      </rPr>
      <t>: provide the grades the school serves. (i.e. grades PreK through 5th)</t>
    </r>
  </si>
  <si>
    <r>
      <rPr>
        <b/>
        <sz val="11"/>
        <color theme="1"/>
        <rFont val="Calibri"/>
        <family val="2"/>
        <scheme val="minor"/>
      </rPr>
      <t>School wide Out of School Suspension</t>
    </r>
    <r>
      <rPr>
        <sz val="11"/>
        <color theme="1"/>
        <rFont val="Calibri"/>
        <family val="2"/>
        <scheme val="minor"/>
      </rPr>
      <t>: provide total number of Out Of School Suspensions.  Check WVEIS system twice yearly for accuracy.</t>
    </r>
  </si>
  <si>
    <r>
      <rPr>
        <b/>
        <sz val="11"/>
        <color theme="1"/>
        <rFont val="Calibri"/>
        <family val="2"/>
        <scheme val="minor"/>
      </rPr>
      <t>Previous Year/Current Year</t>
    </r>
    <r>
      <rPr>
        <sz val="11"/>
        <color theme="1"/>
        <rFont val="Calibri"/>
        <family val="2"/>
        <scheme val="minor"/>
      </rPr>
      <t>; provide WVEIS accurate data for number of students effected.</t>
    </r>
  </si>
  <si>
    <r>
      <rPr>
        <b/>
        <sz val="11"/>
        <color theme="1"/>
        <rFont val="Calibri"/>
        <family val="2"/>
        <scheme val="minor"/>
      </rPr>
      <t>School wide Unexcused Absense</t>
    </r>
    <r>
      <rPr>
        <sz val="11"/>
        <color theme="1"/>
        <rFont val="Calibri"/>
        <family val="2"/>
        <scheme val="minor"/>
      </rPr>
      <t>s: provide accurate data per the WVEIS input, twice a year (mid year (Jan)  and end year (June)).</t>
    </r>
  </si>
  <si>
    <r>
      <rPr>
        <b/>
        <sz val="11"/>
        <color theme="1"/>
        <rFont val="Calibri"/>
        <family val="2"/>
        <scheme val="minor"/>
      </rPr>
      <t>Previous Year/Current Year:</t>
    </r>
    <r>
      <rPr>
        <sz val="11"/>
        <color theme="1"/>
        <rFont val="Calibri"/>
        <family val="2"/>
        <scheme val="minor"/>
      </rPr>
      <t xml:space="preserve"> provide WVEIS accurate data for number of students effected.</t>
    </r>
  </si>
  <si>
    <r>
      <rPr>
        <b/>
        <sz val="11"/>
        <color theme="1"/>
        <rFont val="Calibri"/>
        <family val="2"/>
        <scheme val="minor"/>
      </rPr>
      <t>School wide Expulsion:</t>
    </r>
    <r>
      <rPr>
        <sz val="11"/>
        <color theme="1"/>
        <rFont val="Calibri"/>
        <family val="2"/>
        <scheme val="minor"/>
      </rPr>
      <t xml:space="preserve"> provide WVEIS accurate data of number of students effected.</t>
    </r>
  </si>
  <si>
    <r>
      <rPr>
        <b/>
        <sz val="11"/>
        <color theme="1"/>
        <rFont val="Calibri"/>
        <family val="2"/>
        <scheme val="minor"/>
      </rPr>
      <t xml:space="preserve">Previous Year/Current Year: </t>
    </r>
    <r>
      <rPr>
        <sz val="11"/>
        <color theme="1"/>
        <rFont val="Calibri"/>
        <family val="2"/>
        <scheme val="minor"/>
      </rPr>
      <t>provide WVEIS accurate data for number of students effected.</t>
    </r>
  </si>
  <si>
    <r>
      <rPr>
        <b/>
        <sz val="11"/>
        <color theme="1"/>
        <rFont val="Calibri"/>
        <family val="2"/>
        <scheme val="minor"/>
      </rPr>
      <t xml:space="preserve">Tiered Fidelity Inventory (TFI) </t>
    </r>
    <r>
      <rPr>
        <sz val="11"/>
        <color theme="1"/>
        <rFont val="Calibri"/>
        <family val="2"/>
        <scheme val="minor"/>
      </rPr>
      <t>: choose yes or no for whether the school team worked from a TFI (at end of schoolyear)</t>
    </r>
  </si>
  <si>
    <r>
      <rPr>
        <b/>
        <sz val="11"/>
        <color theme="1"/>
        <rFont val="Calibri"/>
        <family val="2"/>
        <scheme val="minor"/>
      </rPr>
      <t>Strategic Plan</t>
    </r>
    <r>
      <rPr>
        <sz val="11"/>
        <color theme="1"/>
        <rFont val="Calibri"/>
        <family val="2"/>
        <scheme val="minor"/>
      </rPr>
      <t>: choose yes or no for whether the school team worked from a Strategic Plan (at end of school year)</t>
    </r>
  </si>
  <si>
    <r>
      <rPr>
        <b/>
        <sz val="11"/>
        <color theme="1"/>
        <rFont val="Calibri"/>
        <family val="2"/>
        <scheme val="minor"/>
      </rPr>
      <t>Student Transition between Prevention Tiers:</t>
    </r>
    <r>
      <rPr>
        <sz val="11"/>
        <color theme="1"/>
        <rFont val="Calibri"/>
        <family val="2"/>
        <scheme val="minor"/>
      </rPr>
      <t xml:space="preserve"> provide end of month totals for number of students in each category listed.</t>
    </r>
  </si>
  <si>
    <r>
      <rPr>
        <b/>
        <sz val="11"/>
        <color theme="1"/>
        <rFont val="Calibri"/>
        <family val="2"/>
        <scheme val="minor"/>
      </rPr>
      <t>Screenings:</t>
    </r>
    <r>
      <rPr>
        <sz val="11"/>
        <color theme="1"/>
        <rFont val="Calibri"/>
        <family val="2"/>
        <scheme val="minor"/>
      </rPr>
      <t xml:space="preserve"> provide the total number of screenings performed each month.  Provide total numbers for Suicide and Substance Use domains.  </t>
    </r>
  </si>
  <si>
    <t>Write in name of assessment when using "other" space to denote what was utilized.</t>
  </si>
  <si>
    <t>Leadership Team Tab</t>
  </si>
  <si>
    <r>
      <rPr>
        <b/>
        <sz val="11"/>
        <color theme="1"/>
        <rFont val="Calibri"/>
        <family val="2"/>
        <scheme val="minor"/>
      </rPr>
      <t>Team Member</t>
    </r>
    <r>
      <rPr>
        <sz val="11"/>
        <color theme="1"/>
        <rFont val="Calibri"/>
        <family val="2"/>
        <scheme val="minor"/>
      </rPr>
      <t>: name of each team member participating in ESMH.  Make changes as team changes.</t>
    </r>
  </si>
  <si>
    <r>
      <rPr>
        <b/>
        <sz val="11"/>
        <color theme="1"/>
        <rFont val="Calibri"/>
        <family val="2"/>
        <scheme val="minor"/>
      </rPr>
      <t>Role/Title:</t>
    </r>
    <r>
      <rPr>
        <sz val="11"/>
        <color theme="1"/>
        <rFont val="Calibri"/>
        <family val="2"/>
        <scheme val="minor"/>
      </rPr>
      <t xml:space="preserve"> provide the role the person plays on the team and working title given. (i.e. Facilitator/ABC Caseworker)</t>
    </r>
  </si>
  <si>
    <r>
      <rPr>
        <b/>
        <sz val="11"/>
        <color theme="1"/>
        <rFont val="Calibri"/>
        <family val="2"/>
        <scheme val="minor"/>
      </rPr>
      <t>Employer/Agency</t>
    </r>
    <r>
      <rPr>
        <sz val="11"/>
        <color theme="1"/>
        <rFont val="Calibri"/>
        <family val="2"/>
        <scheme val="minor"/>
      </rPr>
      <t>; Provide the name of the Agency or Employer of Team Member</t>
    </r>
  </si>
  <si>
    <r>
      <rPr>
        <b/>
        <sz val="11"/>
        <color theme="1"/>
        <rFont val="Calibri"/>
        <family val="2"/>
        <scheme val="minor"/>
      </rPr>
      <t>Contact Information:</t>
    </r>
    <r>
      <rPr>
        <sz val="11"/>
        <color theme="1"/>
        <rFont val="Calibri"/>
        <family val="2"/>
        <scheme val="minor"/>
      </rPr>
      <t xml:space="preserve"> provide a working contact to include email AND telephone.</t>
    </r>
  </si>
  <si>
    <t>Teir 1 Prevention</t>
  </si>
  <si>
    <r>
      <rPr>
        <b/>
        <sz val="11"/>
        <color theme="1"/>
        <rFont val="Calibri"/>
        <family val="2"/>
        <scheme val="minor"/>
      </rPr>
      <t>Date:</t>
    </r>
    <r>
      <rPr>
        <sz val="11"/>
        <color theme="1"/>
        <rFont val="Calibri"/>
        <family val="2"/>
        <scheme val="minor"/>
      </rPr>
      <t xml:space="preserve"> provide the actual date prevention dose occurred</t>
    </r>
  </si>
  <si>
    <r>
      <rPr>
        <b/>
        <sz val="11"/>
        <color theme="1"/>
        <rFont val="Calibri"/>
        <family val="2"/>
        <scheme val="minor"/>
      </rPr>
      <t>Teacher:</t>
    </r>
    <r>
      <rPr>
        <sz val="11"/>
        <color theme="1"/>
        <rFont val="Calibri"/>
        <family val="2"/>
        <scheme val="minor"/>
      </rPr>
      <t xml:space="preserve"> Provide the teacher's name in whose class the prevention dose occurred</t>
    </r>
  </si>
  <si>
    <r>
      <rPr>
        <b/>
        <sz val="11"/>
        <color theme="1"/>
        <rFont val="Calibri"/>
        <family val="2"/>
        <scheme val="minor"/>
      </rPr>
      <t>Program Facilitator</t>
    </r>
    <r>
      <rPr>
        <sz val="11"/>
        <color theme="1"/>
        <rFont val="Calibri"/>
        <family val="2"/>
        <scheme val="minor"/>
      </rPr>
      <t>: provide the name of the person who provided each dose of intervention. (This could be the teacher, PFS Coordinator, Beh. Health Provider, etc.)</t>
    </r>
  </si>
  <si>
    <r>
      <t xml:space="preserve">Provide the </t>
    </r>
    <r>
      <rPr>
        <b/>
        <sz val="11"/>
        <color theme="1"/>
        <rFont val="Calibri"/>
        <family val="2"/>
        <scheme val="minor"/>
      </rPr>
      <t>number of participants</t>
    </r>
    <r>
      <rPr>
        <sz val="11"/>
        <color theme="1"/>
        <rFont val="Calibri"/>
        <family val="2"/>
        <scheme val="minor"/>
      </rPr>
      <t xml:space="preserve"> in relation to the classroom the intervention took place.  (i.e. 35 students participated in Too Good For Drugs in the 5th grade on 02/03/2019)</t>
    </r>
  </si>
  <si>
    <t>Tier 2 Prevention</t>
  </si>
  <si>
    <t>Tier 3 Prevention</t>
  </si>
  <si>
    <r>
      <rPr>
        <b/>
        <sz val="11"/>
        <color theme="1"/>
        <rFont val="Calibri"/>
        <family val="2"/>
        <scheme val="minor"/>
      </rPr>
      <t>Student ID:</t>
    </r>
    <r>
      <rPr>
        <sz val="11"/>
        <color theme="1"/>
        <rFont val="Calibri"/>
        <family val="2"/>
        <scheme val="minor"/>
      </rPr>
      <t xml:space="preserve"> Provide the WVEIS Student ID</t>
    </r>
  </si>
  <si>
    <r>
      <rPr>
        <b/>
        <sz val="11"/>
        <color theme="1"/>
        <rFont val="Calibri"/>
        <family val="2"/>
        <scheme val="minor"/>
      </rPr>
      <t>Internal Student ID:</t>
    </r>
    <r>
      <rPr>
        <sz val="11"/>
        <color theme="1"/>
        <rFont val="Calibri"/>
        <family val="2"/>
        <scheme val="minor"/>
      </rPr>
      <t xml:space="preserve"> (OPTIONAL) student identification number used internally by the agency</t>
    </r>
  </si>
  <si>
    <r>
      <rPr>
        <b/>
        <sz val="11"/>
        <color theme="1"/>
        <rFont val="Calibri"/>
        <family val="2"/>
        <scheme val="minor"/>
      </rPr>
      <t>Race</t>
    </r>
    <r>
      <rPr>
        <sz val="11"/>
        <color theme="1"/>
        <rFont val="Calibri"/>
        <family val="2"/>
        <scheme val="minor"/>
      </rPr>
      <t>: Drop down box</t>
    </r>
  </si>
  <si>
    <r>
      <rPr>
        <b/>
        <sz val="11"/>
        <color theme="1"/>
        <rFont val="Calibri"/>
        <family val="2"/>
        <scheme val="minor"/>
      </rPr>
      <t>Ethnicity</t>
    </r>
    <r>
      <rPr>
        <sz val="11"/>
        <color theme="1"/>
        <rFont val="Calibri"/>
        <family val="2"/>
        <scheme val="minor"/>
      </rPr>
      <t>: Drop down box</t>
    </r>
  </si>
  <si>
    <t>Date of Birth</t>
  </si>
  <si>
    <r>
      <rPr>
        <b/>
        <sz val="11"/>
        <color theme="1"/>
        <rFont val="Calibri"/>
        <family val="2"/>
        <scheme val="minor"/>
      </rPr>
      <t>Age at Case Ope</t>
    </r>
    <r>
      <rPr>
        <sz val="11"/>
        <color theme="1"/>
        <rFont val="Calibri"/>
        <family val="2"/>
        <scheme val="minor"/>
      </rPr>
      <t>n:  may be different than "current age"</t>
    </r>
  </si>
  <si>
    <r>
      <rPr>
        <b/>
        <sz val="11"/>
        <color theme="1"/>
        <rFont val="Calibri"/>
        <family val="2"/>
        <scheme val="minor"/>
      </rPr>
      <t>Current Age:</t>
    </r>
    <r>
      <rPr>
        <sz val="11"/>
        <color theme="1"/>
        <rFont val="Calibri"/>
        <family val="2"/>
        <scheme val="minor"/>
      </rPr>
      <t xml:space="preserve"> to date</t>
    </r>
  </si>
  <si>
    <r>
      <rPr>
        <b/>
        <sz val="11"/>
        <color theme="1"/>
        <rFont val="Calibri"/>
        <family val="2"/>
        <scheme val="minor"/>
      </rPr>
      <t>Grade:</t>
    </r>
    <r>
      <rPr>
        <sz val="11"/>
        <color theme="1"/>
        <rFont val="Calibri"/>
        <family val="2"/>
        <scheme val="minor"/>
      </rPr>
      <t xml:space="preserve"> provide grade student is currently in</t>
    </r>
  </si>
  <si>
    <r>
      <rPr>
        <b/>
        <sz val="11"/>
        <color theme="1"/>
        <rFont val="Calibri"/>
        <family val="2"/>
        <scheme val="minor"/>
      </rPr>
      <t>Gender</t>
    </r>
    <r>
      <rPr>
        <sz val="11"/>
        <color theme="1"/>
        <rFont val="Calibri"/>
        <family val="2"/>
        <scheme val="minor"/>
      </rPr>
      <t>: Drop down box</t>
    </r>
  </si>
  <si>
    <r>
      <rPr>
        <b/>
        <sz val="11"/>
        <color theme="1"/>
        <rFont val="Calibri"/>
        <family val="2"/>
        <scheme val="minor"/>
      </rPr>
      <t>Pregnancy</t>
    </r>
    <r>
      <rPr>
        <sz val="11"/>
        <color theme="1"/>
        <rFont val="Calibri"/>
        <family val="2"/>
        <scheme val="minor"/>
      </rPr>
      <t>: Drop down box</t>
    </r>
  </si>
  <si>
    <r>
      <rPr>
        <b/>
        <sz val="11"/>
        <color theme="1"/>
        <rFont val="Calibri"/>
        <family val="2"/>
        <scheme val="minor"/>
      </rPr>
      <t>Indentifies as LGBTQ+:</t>
    </r>
    <r>
      <rPr>
        <sz val="11"/>
        <color theme="1"/>
        <rFont val="Calibri"/>
        <family val="2"/>
        <scheme val="minor"/>
      </rPr>
      <t xml:space="preserve"> Drop down box- must be completed for each student</t>
    </r>
  </si>
  <si>
    <r>
      <rPr>
        <b/>
        <sz val="11"/>
        <color theme="1"/>
        <rFont val="Calibri"/>
        <family val="2"/>
        <scheme val="minor"/>
      </rPr>
      <t>Insurance</t>
    </r>
    <r>
      <rPr>
        <sz val="11"/>
        <color theme="1"/>
        <rFont val="Calibri"/>
        <family val="2"/>
        <scheme val="minor"/>
      </rPr>
      <t>: provide name of insurance used in billing</t>
    </r>
  </si>
  <si>
    <r>
      <rPr>
        <b/>
        <sz val="11"/>
        <color theme="1"/>
        <rFont val="Calibri"/>
        <family val="2"/>
        <scheme val="minor"/>
      </rPr>
      <t>Meets SED Criteria:</t>
    </r>
    <r>
      <rPr>
        <sz val="11"/>
        <color theme="1"/>
        <rFont val="Calibri"/>
        <family val="2"/>
        <scheme val="minor"/>
      </rPr>
      <t xml:space="preserve"> see definition at top of this page. Drop down box</t>
    </r>
  </si>
  <si>
    <r>
      <rPr>
        <b/>
        <sz val="11"/>
        <color theme="1"/>
        <rFont val="Calibri"/>
        <family val="2"/>
        <scheme val="minor"/>
      </rPr>
      <t>Student Living Arrangement at time of Referra</t>
    </r>
    <r>
      <rPr>
        <sz val="11"/>
        <color theme="1"/>
        <rFont val="Calibri"/>
        <family val="2"/>
        <scheme val="minor"/>
      </rPr>
      <t>l: Dop down box</t>
    </r>
  </si>
  <si>
    <r>
      <rPr>
        <b/>
        <sz val="11"/>
        <color theme="1"/>
        <rFont val="Calibri"/>
        <family val="2"/>
        <scheme val="minor"/>
      </rPr>
      <t>Involved in Juvenile Justice at time of Referral:</t>
    </r>
    <r>
      <rPr>
        <sz val="11"/>
        <color theme="1"/>
        <rFont val="Calibri"/>
        <family val="2"/>
        <scheme val="minor"/>
      </rPr>
      <t xml:space="preserve"> Drop down box</t>
    </r>
  </si>
  <si>
    <r>
      <rPr>
        <b/>
        <sz val="11"/>
        <color theme="1"/>
        <rFont val="Calibri"/>
        <family val="2"/>
        <scheme val="minor"/>
      </rPr>
      <t>Date Case Open:</t>
    </r>
    <r>
      <rPr>
        <sz val="11"/>
        <color theme="1"/>
        <rFont val="Calibri"/>
        <family val="2"/>
        <scheme val="minor"/>
      </rPr>
      <t xml:space="preserve"> date that services and/or assessments began. Whichever comes first.</t>
    </r>
  </si>
  <si>
    <r>
      <rPr>
        <b/>
        <sz val="11"/>
        <color theme="1"/>
        <rFont val="Calibri"/>
        <family val="2"/>
        <scheme val="minor"/>
      </rPr>
      <t>Type of Therapy:</t>
    </r>
    <r>
      <rPr>
        <sz val="11"/>
        <color theme="1"/>
        <rFont val="Calibri"/>
        <family val="2"/>
        <scheme val="minor"/>
      </rPr>
      <t xml:space="preserve"> record total number of sessions (individual, group, family) occuring each month per student</t>
    </r>
  </si>
  <si>
    <r>
      <rPr>
        <b/>
        <sz val="11"/>
        <color theme="1"/>
        <rFont val="Calibri"/>
        <family val="2"/>
        <scheme val="minor"/>
      </rPr>
      <t>Type of Behavioral Episode:</t>
    </r>
    <r>
      <rPr>
        <sz val="11"/>
        <color theme="1"/>
        <rFont val="Calibri"/>
        <family val="2"/>
        <scheme val="minor"/>
      </rPr>
      <t xml:space="preserve"> total per month, per student.  Check with WVEIS at mid year (Jan) and end of year (June) for accuracy</t>
    </r>
  </si>
  <si>
    <r>
      <rPr>
        <b/>
        <sz val="11"/>
        <color theme="1"/>
        <rFont val="Calibri"/>
        <family val="2"/>
        <scheme val="minor"/>
      </rPr>
      <t>Course Completion Status:</t>
    </r>
    <r>
      <rPr>
        <sz val="11"/>
        <color theme="1"/>
        <rFont val="Calibri"/>
        <family val="2"/>
        <scheme val="minor"/>
      </rPr>
      <t xml:space="preserve"> Drop down box</t>
    </r>
  </si>
  <si>
    <r>
      <rPr>
        <b/>
        <sz val="11"/>
        <color theme="1"/>
        <rFont val="Calibri"/>
        <family val="2"/>
        <scheme val="minor"/>
      </rPr>
      <t>Date Case Closed</t>
    </r>
    <r>
      <rPr>
        <sz val="11"/>
        <color theme="1"/>
        <rFont val="Calibri"/>
        <family val="2"/>
        <scheme val="minor"/>
      </rPr>
      <t>: indicate date student left Tier 3, which includes transition to another Tier</t>
    </r>
  </si>
  <si>
    <r>
      <rPr>
        <b/>
        <sz val="11"/>
        <color theme="1"/>
        <rFont val="Calibri"/>
        <family val="2"/>
        <scheme val="minor"/>
      </rPr>
      <t>Reason for Case Closure:</t>
    </r>
    <r>
      <rPr>
        <sz val="11"/>
        <color theme="1"/>
        <rFont val="Calibri"/>
        <family val="2"/>
        <scheme val="minor"/>
      </rPr>
      <t xml:space="preserve"> Drop down box</t>
    </r>
  </si>
  <si>
    <r>
      <rPr>
        <b/>
        <sz val="11"/>
        <color theme="1"/>
        <rFont val="Calibri"/>
        <family val="2"/>
        <scheme val="minor"/>
      </rPr>
      <t>Living Arrangement at Case Closure</t>
    </r>
    <r>
      <rPr>
        <sz val="11"/>
        <color theme="1"/>
        <rFont val="Calibri"/>
        <family val="2"/>
        <scheme val="minor"/>
      </rPr>
      <t>: Drop down box</t>
    </r>
  </si>
  <si>
    <r>
      <rPr>
        <b/>
        <sz val="11"/>
        <color theme="1"/>
        <rFont val="Calibri"/>
        <family val="2"/>
        <scheme val="minor"/>
      </rPr>
      <t>Involved with Juvenile Justice System at time of Closure:</t>
    </r>
    <r>
      <rPr>
        <sz val="11"/>
        <color theme="1"/>
        <rFont val="Calibri"/>
        <family val="2"/>
        <scheme val="minor"/>
      </rPr>
      <t xml:space="preserve"> Drop down box</t>
    </r>
  </si>
  <si>
    <r>
      <rPr>
        <b/>
        <sz val="11"/>
        <color theme="1"/>
        <rFont val="Calibri"/>
        <family val="2"/>
        <scheme val="minor"/>
      </rPr>
      <t>Notes:</t>
    </r>
    <r>
      <rPr>
        <sz val="11"/>
        <color theme="1"/>
        <rFont val="Calibri"/>
        <family val="2"/>
        <scheme val="minor"/>
      </rPr>
      <t xml:space="preserve"> space to document other pertinent information</t>
    </r>
  </si>
  <si>
    <t>Staff Interactions Tab: This tab records time in interactions, type of interactions (training received by staff, consultations with school personnel, quarterly meetings with ESMH).  Drop down box.  These are times when ESMH Team staff provide something for others.</t>
  </si>
  <si>
    <r>
      <rPr>
        <b/>
        <sz val="11"/>
        <color theme="1"/>
        <rFont val="Calibri"/>
        <family val="2"/>
        <scheme val="minor"/>
      </rPr>
      <t>Topic</t>
    </r>
    <r>
      <rPr>
        <sz val="11"/>
        <color theme="1"/>
        <rFont val="Calibri"/>
        <family val="2"/>
        <scheme val="minor"/>
      </rPr>
      <t>: Provide the topic of the interaction. (i.e. Quarterly ESMH Team Meeting, Teacher Consultation, etc.)</t>
    </r>
  </si>
  <si>
    <r>
      <rPr>
        <b/>
        <sz val="11"/>
        <color theme="1"/>
        <rFont val="Calibri"/>
        <family val="2"/>
        <scheme val="minor"/>
      </rPr>
      <t>Number of School Team Participants:</t>
    </r>
    <r>
      <rPr>
        <sz val="11"/>
        <color theme="1"/>
        <rFont val="Calibri"/>
        <family val="2"/>
        <scheme val="minor"/>
      </rPr>
      <t xml:space="preserve"> list number of all school personnel involved with interaction.</t>
    </r>
  </si>
  <si>
    <r>
      <rPr>
        <b/>
        <sz val="11"/>
        <color theme="1"/>
        <rFont val="Calibri"/>
        <family val="2"/>
        <scheme val="minor"/>
      </rPr>
      <t>Minutes in 15min incr</t>
    </r>
    <r>
      <rPr>
        <sz val="11"/>
        <color theme="1"/>
        <rFont val="Calibri"/>
        <family val="2"/>
        <scheme val="minor"/>
      </rPr>
      <t xml:space="preserve">.: provide the total number in 15 minute intervals in corresponding rows of staff interaction type.  (for example, "15", "30", "45", "60"..) </t>
    </r>
  </si>
  <si>
    <r>
      <rPr>
        <b/>
        <sz val="11"/>
        <color theme="1"/>
        <rFont val="Calibri"/>
        <family val="2"/>
        <scheme val="minor"/>
      </rPr>
      <t>Notes</t>
    </r>
    <r>
      <rPr>
        <sz val="11"/>
        <color theme="1"/>
        <rFont val="Calibri"/>
        <family val="2"/>
        <scheme val="minor"/>
      </rPr>
      <t>: Provide any additional information needed for clarification.</t>
    </r>
  </si>
  <si>
    <t>Events: This tab records events facilitated by ESMH staff.  Drop Down box.  Provide "other" information in Notes section for clarification</t>
  </si>
  <si>
    <r>
      <rPr>
        <b/>
        <sz val="11"/>
        <color theme="1"/>
        <rFont val="Calibri"/>
        <family val="2"/>
        <scheme val="minor"/>
      </rPr>
      <t>Date:</t>
    </r>
    <r>
      <rPr>
        <sz val="11"/>
        <color theme="1"/>
        <rFont val="Calibri"/>
        <family val="2"/>
        <scheme val="minor"/>
      </rPr>
      <t xml:space="preserve"> provide date event occurred</t>
    </r>
  </si>
  <si>
    <r>
      <rPr>
        <b/>
        <sz val="11"/>
        <color theme="1"/>
        <rFont val="Calibri"/>
        <family val="2"/>
        <scheme val="minor"/>
      </rPr>
      <t>Interaction Type:</t>
    </r>
    <r>
      <rPr>
        <sz val="11"/>
        <color theme="1"/>
        <rFont val="Calibri"/>
        <family val="2"/>
        <scheme val="minor"/>
      </rPr>
      <t xml:space="preserve"> Drop Down Box. Provide additional information for "other" in Notes box.</t>
    </r>
  </si>
  <si>
    <r>
      <rPr>
        <b/>
        <sz val="11"/>
        <color theme="1"/>
        <rFont val="Calibri"/>
        <family val="2"/>
        <scheme val="minor"/>
      </rPr>
      <t>Topic:</t>
    </r>
    <r>
      <rPr>
        <sz val="11"/>
        <color theme="1"/>
        <rFont val="Calibri"/>
        <family val="2"/>
        <scheme val="minor"/>
      </rPr>
      <t xml:space="preserve"> Provide the name or topic of the event completed.</t>
    </r>
  </si>
  <si>
    <r>
      <rPr>
        <b/>
        <sz val="11"/>
        <color theme="1"/>
        <rFont val="Calibri"/>
        <family val="2"/>
        <scheme val="minor"/>
      </rPr>
      <t>Number of School Team Participant</t>
    </r>
    <r>
      <rPr>
        <sz val="11"/>
        <color theme="1"/>
        <rFont val="Calibri"/>
        <family val="2"/>
        <scheme val="minor"/>
      </rPr>
      <t>s: list number of all school personnel involved with event.</t>
    </r>
  </si>
  <si>
    <r>
      <rPr>
        <b/>
        <sz val="11"/>
        <color theme="1"/>
        <rFont val="Calibri"/>
        <family val="2"/>
        <scheme val="minor"/>
      </rPr>
      <t>Minutes in 15min inc</t>
    </r>
    <r>
      <rPr>
        <sz val="11"/>
        <color theme="1"/>
        <rFont val="Calibri"/>
        <family val="2"/>
        <scheme val="minor"/>
      </rPr>
      <t xml:space="preserve">r.:  provide the total number in 15 minute intercals in corresponding ros to event. (for example, "15", "30", "45", "60"..) </t>
    </r>
  </si>
  <si>
    <t xml:space="preserve">MHPET Tab: Provide team average scores for beginning, middle, and end of school year screening. </t>
  </si>
  <si>
    <t>Place an "X" in the box corresponding to less than 3 for targeted action planning.</t>
  </si>
  <si>
    <t>CANS Tab: For each student in Tier 3, a CANS is required to be completed, beginning, middle, and end of year.</t>
  </si>
  <si>
    <r>
      <rPr>
        <b/>
        <sz val="11"/>
        <color theme="1"/>
        <rFont val="Calibri"/>
        <family val="2"/>
        <scheme val="minor"/>
      </rPr>
      <t>Student ID:</t>
    </r>
    <r>
      <rPr>
        <sz val="11"/>
        <color theme="1"/>
        <rFont val="Calibri"/>
        <family val="2"/>
        <scheme val="minor"/>
      </rPr>
      <t xml:space="preserve"> WVEIS number.  Must correspond to student data in Tier 3 tab.</t>
    </r>
  </si>
  <si>
    <r>
      <rPr>
        <b/>
        <sz val="11"/>
        <color theme="1"/>
        <rFont val="Calibri"/>
        <family val="2"/>
        <scheme val="minor"/>
      </rPr>
      <t>Date Initial is Due</t>
    </r>
    <r>
      <rPr>
        <sz val="11"/>
        <color theme="1"/>
        <rFont val="Calibri"/>
        <family val="2"/>
        <scheme val="minor"/>
      </rPr>
      <t>: provide the date the initial CANS was administered</t>
    </r>
  </si>
  <si>
    <t>Provide CANS score corresponding with each assessment. (i.e. Initial Score for "Adjustment to Trauma" is a 3.  etc.)  Be sure CANS score corresponds with correct date completed.</t>
  </si>
  <si>
    <r>
      <rPr>
        <b/>
        <sz val="14"/>
        <color theme="0"/>
        <rFont val="Calibri"/>
        <family val="2"/>
        <scheme val="minor"/>
      </rPr>
      <t>YSS Survey:</t>
    </r>
    <r>
      <rPr>
        <sz val="14"/>
        <color theme="0"/>
        <rFont val="Calibri"/>
        <family val="2"/>
        <scheme val="minor"/>
      </rPr>
      <t xml:space="preserve"> complete Survey for each student in Tier 3 each month.  Record total numbers by outcome grouping. (i.e. "4 students Strongly Agree in June.")</t>
    </r>
  </si>
  <si>
    <r>
      <rPr>
        <b/>
        <sz val="14"/>
        <color theme="1"/>
        <rFont val="Calibri"/>
        <family val="2"/>
        <scheme val="minor"/>
      </rPr>
      <t>Summary Tab:</t>
    </r>
    <r>
      <rPr>
        <sz val="14"/>
        <color theme="1"/>
        <rFont val="Calibri"/>
        <family val="2"/>
        <scheme val="minor"/>
      </rPr>
      <t xml:space="preserve"> Self-Populating Tab from whole document.  ESMH Team is to utilize this as a tool for team decisions.</t>
    </r>
  </si>
  <si>
    <t>WV Bureau for Behavioral Health - State Fiscal Year</t>
  </si>
  <si>
    <r>
      <t xml:space="preserve">Program: </t>
    </r>
    <r>
      <rPr>
        <sz val="8"/>
        <color theme="1"/>
        <rFont val="Calibri"/>
        <family val="2"/>
        <scheme val="minor"/>
      </rPr>
      <t xml:space="preserve">(same as on Statement of Work) </t>
    </r>
  </si>
  <si>
    <t>Expanded School Mental Health</t>
  </si>
  <si>
    <t>Grantee Name:</t>
  </si>
  <si>
    <t>Name of School:</t>
  </si>
  <si>
    <t>Contact Name(s):</t>
  </si>
  <si>
    <t xml:space="preserve">Physical Address of School: </t>
  </si>
  <si>
    <t xml:space="preserve">Contact Phone: </t>
  </si>
  <si>
    <t>Grant Number:</t>
  </si>
  <si>
    <t>Month/Year Being Reported:</t>
  </si>
  <si>
    <t>March</t>
  </si>
  <si>
    <t>August</t>
  </si>
  <si>
    <t>Program Code(s):</t>
  </si>
  <si>
    <t>The form is designed to be used for the entire fiscal year.  Please note that all the above information must be changed on the setup tab.</t>
  </si>
  <si>
    <t>School Information</t>
  </si>
  <si>
    <t>County Location of the School</t>
  </si>
  <si>
    <t>Ohio</t>
  </si>
  <si>
    <t>Grades served</t>
  </si>
  <si>
    <t>PK, TK, K, 1, 2, 3, 4, 5</t>
  </si>
  <si>
    <t>Total # of school student population</t>
  </si>
  <si>
    <t>Tiered Fidelity Inventory (TFI)</t>
  </si>
  <si>
    <t xml:space="preserve">Strategic Plan </t>
  </si>
  <si>
    <t>School wide detentions</t>
  </si>
  <si>
    <t>Current School Year Comparison to other schools Average # of detentions</t>
  </si>
  <si>
    <t>Previous Year</t>
  </si>
  <si>
    <t>Current Year</t>
  </si>
  <si>
    <t>County Average # of detentions</t>
  </si>
  <si>
    <t>Statewide Average # of detentions</t>
  </si>
  <si>
    <t>n/a</t>
  </si>
  <si>
    <t>School wide out of school suspensions</t>
  </si>
  <si>
    <t>Current School Year Comparison to other schools Average # of suspensions</t>
  </si>
  <si>
    <t>County Average # of suspensions</t>
  </si>
  <si>
    <t>Statewide Average # of supsensions</t>
  </si>
  <si>
    <t>School wide unexcused absences</t>
  </si>
  <si>
    <t>Current School Year Comparison to other schools Average # of unexcused absences</t>
  </si>
  <si>
    <t>County Average # of unexcused absences</t>
  </si>
  <si>
    <t>Statewide Average # of unexcused absences</t>
  </si>
  <si>
    <t>School wide expulsions</t>
  </si>
  <si>
    <t>Current School Year Comparison to other schools Average # of expulsions</t>
  </si>
  <si>
    <t>County Average # of expulsions</t>
  </si>
  <si>
    <t>Statewide Average # of expulsions</t>
  </si>
  <si>
    <t>Student transitions between prevention tiers</t>
  </si>
  <si>
    <t>Tier 2</t>
  </si>
  <si>
    <t>July</t>
  </si>
  <si>
    <t>Aug</t>
  </si>
  <si>
    <t>Sept</t>
  </si>
  <si>
    <t>Oct</t>
  </si>
  <si>
    <t>Nov</t>
  </si>
  <si>
    <t>Dec</t>
  </si>
  <si>
    <t>Jan</t>
  </si>
  <si>
    <t>Feb</t>
  </si>
  <si>
    <t>Mar</t>
  </si>
  <si>
    <t>April</t>
  </si>
  <si>
    <t>May</t>
  </si>
  <si>
    <t>June</t>
  </si>
  <si>
    <t>Total</t>
  </si>
  <si>
    <t>Tier 3</t>
  </si>
  <si>
    <t>New to Tier 2</t>
  </si>
  <si>
    <t>New to Tier 3</t>
  </si>
  <si>
    <t>Out to t1</t>
  </si>
  <si>
    <t>Out to t3</t>
  </si>
  <si>
    <t>Out to t2</t>
  </si>
  <si>
    <t>Current</t>
  </si>
  <si>
    <t>Tier 2 and Tier 3 Students screened or assessed</t>
  </si>
  <si>
    <t>Screener or Assessments completed for T2 students</t>
  </si>
  <si>
    <t>Screener or Assessments completed for T3 students</t>
  </si>
  <si>
    <t>Leadership Team Members</t>
  </si>
  <si>
    <t>Team Member</t>
  </si>
  <si>
    <t>Role/Title</t>
  </si>
  <si>
    <t>Employer/Agency</t>
  </si>
  <si>
    <t>Contact Information</t>
  </si>
  <si>
    <t>Tier 1 Prevention</t>
  </si>
  <si>
    <t>Date</t>
  </si>
  <si>
    <t>Program Name</t>
  </si>
  <si>
    <t>Pre-K</t>
  </si>
  <si>
    <t>K</t>
  </si>
  <si>
    <t>Total Students</t>
  </si>
  <si>
    <t>Teacher</t>
  </si>
  <si>
    <t>Program Facilitator</t>
  </si>
  <si>
    <t>NONE TO REPORT FOR JULY 2020</t>
  </si>
  <si>
    <t>NONE TO REPORT FOR AUGUST 2020</t>
  </si>
  <si>
    <t>Prevention Programming</t>
  </si>
  <si>
    <t>NONE TO REPORT FOR SEPTEMBER 2020</t>
  </si>
  <si>
    <t>NONE TO REPORT FOR OCTOBER 2020</t>
  </si>
  <si>
    <t>Tier 3 Intervention</t>
  </si>
  <si>
    <t>Student Information</t>
  </si>
  <si>
    <t>INTERVENTION (Number of Therapy events by type)</t>
  </si>
  <si>
    <t>Location of Therapy Sessions</t>
  </si>
  <si>
    <t>Scheduled Appointments</t>
  </si>
  <si>
    <t>OUTCOMES</t>
  </si>
  <si>
    <t>CASE CLOSURE (CLOSED FROM ESMH SERVICES)</t>
  </si>
  <si>
    <t>Other Pertinent Information</t>
  </si>
  <si>
    <t>Note: Each student  will be designated a "row" for the entire year…..</t>
  </si>
  <si>
    <t>#</t>
  </si>
  <si>
    <r>
      <rPr>
        <b/>
        <sz val="10"/>
        <color theme="0"/>
        <rFont val="Calibri"/>
        <family val="2"/>
        <scheme val="minor"/>
      </rPr>
      <t xml:space="preserve">Student ID  </t>
    </r>
    <r>
      <rPr>
        <b/>
        <sz val="11"/>
        <color theme="0"/>
        <rFont val="Calibri"/>
        <family val="2"/>
        <scheme val="minor"/>
      </rPr>
      <t xml:space="preserve">   </t>
    </r>
    <r>
      <rPr>
        <b/>
        <sz val="7.5"/>
        <color theme="0"/>
        <rFont val="Calibri"/>
        <family val="2"/>
        <scheme val="minor"/>
      </rPr>
      <t xml:space="preserve"> </t>
    </r>
    <r>
      <rPr>
        <sz val="7.5"/>
        <color theme="0"/>
        <rFont val="Calibri"/>
        <family val="2"/>
        <scheme val="minor"/>
      </rPr>
      <t>(Entire WVEIS#)</t>
    </r>
  </si>
  <si>
    <t>(OPTIONAL) Internal Student ID</t>
  </si>
  <si>
    <t>Race</t>
  </si>
  <si>
    <t>Ethnicity</t>
  </si>
  <si>
    <t>Age at case open</t>
  </si>
  <si>
    <t xml:space="preserve">Current Age </t>
  </si>
  <si>
    <t>GRADE</t>
  </si>
  <si>
    <t>Gender</t>
  </si>
  <si>
    <t>Pregnant</t>
  </si>
  <si>
    <t>Identifies LGBTQ+</t>
  </si>
  <si>
    <t>Insurance</t>
  </si>
  <si>
    <t>Meets SED Criteria</t>
  </si>
  <si>
    <t xml:space="preserve">Student's Living Arrangement at time of referral </t>
  </si>
  <si>
    <t xml:space="preserve"> Involved with Juvenile Justice System at referral</t>
  </si>
  <si>
    <t>Date Case Opened</t>
  </si>
  <si>
    <t>Type of Therapy</t>
  </si>
  <si>
    <t># Sessions        July</t>
  </si>
  <si>
    <t># Sessions        August</t>
  </si>
  <si>
    <t># Sessions        September</t>
  </si>
  <si>
    <t># Sessions     October</t>
  </si>
  <si>
    <t># Sessions        November</t>
  </si>
  <si>
    <t># Sessions        December</t>
  </si>
  <si>
    <t># Sessions        January</t>
  </si>
  <si>
    <t># Sessions        February</t>
  </si>
  <si>
    <t># Sessions        March</t>
  </si>
  <si>
    <t># Sessions        April</t>
  </si>
  <si>
    <t># Sessions        May</t>
  </si>
  <si>
    <t># Sessions        June</t>
  </si>
  <si>
    <t>TOTAL</t>
  </si>
  <si>
    <t># sessions at school</t>
  </si>
  <si>
    <t># sessions in the home</t>
  </si>
  <si>
    <t># sessions at agency office</t>
  </si>
  <si>
    <t># sessions at a community location</t>
  </si>
  <si>
    <t>total</t>
  </si>
  <si>
    <t># of scheduled therapy sessions</t>
  </si>
  <si>
    <t># of missed therapy appointments</t>
  </si>
  <si>
    <t># of therapy sessions provided</t>
  </si>
  <si>
    <t>Type of Behavioral Episode Reported</t>
  </si>
  <si>
    <t>#                       July</t>
  </si>
  <si>
    <t>#                     August</t>
  </si>
  <si>
    <t>#                September</t>
  </si>
  <si>
    <t>#                      October</t>
  </si>
  <si>
    <t>#                    November</t>
  </si>
  <si>
    <t>#                     December</t>
  </si>
  <si>
    <t>#                           January</t>
  </si>
  <si>
    <t>#                                February</t>
  </si>
  <si>
    <t>#                               March</t>
  </si>
  <si>
    <t>#                                  April</t>
  </si>
  <si>
    <t>#                            May</t>
  </si>
  <si>
    <t>#                       June</t>
  </si>
  <si>
    <t xml:space="preserve">Course Completion / Status </t>
  </si>
  <si>
    <t>Date Case closed</t>
  </si>
  <si>
    <t>Reason for Case Closure</t>
  </si>
  <si>
    <t>Living Arrangement at time of Case Closure</t>
  </si>
  <si>
    <t>Involved with Juvenile Justice System at closure</t>
  </si>
  <si>
    <t>Notes</t>
  </si>
  <si>
    <t>0/00/0000</t>
  </si>
  <si>
    <t>Individual Therapy</t>
  </si>
  <si>
    <t>Detentions</t>
  </si>
  <si>
    <t>Group Therapy</t>
  </si>
  <si>
    <t>Suspensions</t>
  </si>
  <si>
    <t>Family Therapy</t>
  </si>
  <si>
    <t>Unexcused Absences</t>
  </si>
  <si>
    <t>Expulsions</t>
  </si>
  <si>
    <t>White - Caucasian</t>
  </si>
  <si>
    <t>Not Hispanic - Latino</t>
  </si>
  <si>
    <t>Male</t>
  </si>
  <si>
    <t>N/A</t>
  </si>
  <si>
    <t>Medicaid Only</t>
  </si>
  <si>
    <t>Home w/parent or guardian</t>
  </si>
  <si>
    <t>No</t>
  </si>
  <si>
    <t>Female</t>
  </si>
  <si>
    <t>More than one Race</t>
  </si>
  <si>
    <t>Homeless Shelter</t>
  </si>
  <si>
    <t>Transferred to another school</t>
  </si>
  <si>
    <t>Left this school</t>
  </si>
  <si>
    <t>Foster Home</t>
  </si>
  <si>
    <t xml:space="preserve">removed from mother's custody by DHHR. Went to foster home but then eventually placed with father in another state. </t>
  </si>
  <si>
    <t>Black or African American</t>
  </si>
  <si>
    <t>Yes</t>
  </si>
  <si>
    <t>0/00/0038</t>
  </si>
  <si>
    <t>0/00/0039</t>
  </si>
  <si>
    <t>0/00/0040</t>
  </si>
  <si>
    <t>0/00/0041</t>
  </si>
  <si>
    <t>0/00/0042</t>
  </si>
  <si>
    <t>0/00/0043</t>
  </si>
  <si>
    <t>0/00/0044</t>
  </si>
  <si>
    <t>0/00/0045</t>
  </si>
  <si>
    <t>0/00/0046</t>
  </si>
  <si>
    <t>0/00/0047</t>
  </si>
  <si>
    <t>0/00/0048</t>
  </si>
  <si>
    <t>0/00/0049</t>
  </si>
  <si>
    <t>0/00/0050</t>
  </si>
  <si>
    <t>0/00/0051</t>
  </si>
  <si>
    <t>0/00/0052</t>
  </si>
  <si>
    <t>0/00/0053</t>
  </si>
  <si>
    <t>0/00/0054</t>
  </si>
  <si>
    <t>0/00/0055</t>
  </si>
  <si>
    <t>0/00/0056</t>
  </si>
  <si>
    <t>0/00/0057</t>
  </si>
  <si>
    <t>0/00/0058</t>
  </si>
  <si>
    <t>0/00/0059</t>
  </si>
  <si>
    <t>0/00/0060</t>
  </si>
  <si>
    <t>0/00/0061</t>
  </si>
  <si>
    <t>0/00/0062</t>
  </si>
  <si>
    <t>0/00/0063</t>
  </si>
  <si>
    <t>0/00/0064</t>
  </si>
  <si>
    <t>0/00/0065</t>
  </si>
  <si>
    <t>0/00/0066</t>
  </si>
  <si>
    <t>0/00/0067</t>
  </si>
  <si>
    <t>0/00/0068</t>
  </si>
  <si>
    <t>0/00/0069</t>
  </si>
  <si>
    <t>0/00/0070</t>
  </si>
  <si>
    <t>0/00/0071</t>
  </si>
  <si>
    <t>0/00/0072</t>
  </si>
  <si>
    <t>0/00/0073</t>
  </si>
  <si>
    <t>0/00/0074</t>
  </si>
  <si>
    <t>0/00/0075</t>
  </si>
  <si>
    <t>0/00/0076</t>
  </si>
  <si>
    <t>0/00/0077</t>
  </si>
  <si>
    <t>0/00/0078</t>
  </si>
  <si>
    <t>0/00/0079</t>
  </si>
  <si>
    <t>0/00/0080</t>
  </si>
  <si>
    <t>0/00/0081</t>
  </si>
  <si>
    <t>0/00/0082</t>
  </si>
  <si>
    <t>0/00/0083</t>
  </si>
  <si>
    <t>0/00/0084</t>
  </si>
  <si>
    <t>0/00/0085</t>
  </si>
  <si>
    <t>0/00/0086</t>
  </si>
  <si>
    <t>0/00/0087</t>
  </si>
  <si>
    <t>0/00/0088</t>
  </si>
  <si>
    <t>0/00/0089</t>
  </si>
  <si>
    <t>0/00/0090</t>
  </si>
  <si>
    <t>0/00/0091</t>
  </si>
  <si>
    <t>0/00/0092</t>
  </si>
  <si>
    <t>0/00/0093</t>
  </si>
  <si>
    <t>0/00/0094</t>
  </si>
  <si>
    <t>0/00/0095</t>
  </si>
  <si>
    <t>0/00/0096</t>
  </si>
  <si>
    <t>0/00/0097</t>
  </si>
  <si>
    <t>0/00/0098</t>
  </si>
  <si>
    <t>0/00/0099</t>
  </si>
  <si>
    <t>0/00/0100</t>
  </si>
  <si>
    <t>0/00/0101</t>
  </si>
  <si>
    <t>0/00/0102</t>
  </si>
  <si>
    <t>0/00/0103</t>
  </si>
  <si>
    <t>0/00/0104</t>
  </si>
  <si>
    <t>0/00/0105</t>
  </si>
  <si>
    <t>0/00/0106</t>
  </si>
  <si>
    <t>0/00/0107</t>
  </si>
  <si>
    <t>0/00/0108</t>
  </si>
  <si>
    <t>0/00/0109</t>
  </si>
  <si>
    <t>0/00/0110</t>
  </si>
  <si>
    <t>0/00/0111</t>
  </si>
  <si>
    <t>0/00/0112</t>
  </si>
  <si>
    <t>0/00/0113</t>
  </si>
  <si>
    <t>0/00/0114</t>
  </si>
  <si>
    <t>0/00/0115</t>
  </si>
  <si>
    <t>0/00/0116</t>
  </si>
  <si>
    <t>0/00/0117</t>
  </si>
  <si>
    <t>0/00/0118</t>
  </si>
  <si>
    <t>0/00/0119</t>
  </si>
  <si>
    <t>0/00/0120</t>
  </si>
  <si>
    <t>0/00/0121</t>
  </si>
  <si>
    <t>0/00/0122</t>
  </si>
  <si>
    <t>0/00/0123</t>
  </si>
  <si>
    <t>0/00/0124</t>
  </si>
  <si>
    <t>0/00/0125</t>
  </si>
  <si>
    <t>0/00/0126</t>
  </si>
  <si>
    <t>0/00/0127</t>
  </si>
  <si>
    <t>0/00/0128</t>
  </si>
  <si>
    <t>0/00/0129</t>
  </si>
  <si>
    <t>0/00/0130</t>
  </si>
  <si>
    <t>0/00/0131</t>
  </si>
  <si>
    <t>0/00/0132</t>
  </si>
  <si>
    <t>0/00/0133</t>
  </si>
  <si>
    <t>0/00/0134</t>
  </si>
  <si>
    <t>0/00/0135</t>
  </si>
  <si>
    <t>0/00/0136</t>
  </si>
  <si>
    <t>0/00/0137</t>
  </si>
  <si>
    <t>0/00/0138</t>
  </si>
  <si>
    <t>0/00/0139</t>
  </si>
  <si>
    <t>0/00/0140</t>
  </si>
  <si>
    <t>0/00/0141</t>
  </si>
  <si>
    <t>0/00/0142</t>
  </si>
  <si>
    <t>0/00/0143</t>
  </si>
  <si>
    <t>0/00/0144</t>
  </si>
  <si>
    <t>0/00/0145</t>
  </si>
  <si>
    <t>0/00/0146</t>
  </si>
  <si>
    <t>0/00/0147</t>
  </si>
  <si>
    <t>0/00/0148</t>
  </si>
  <si>
    <t>0/00/0149</t>
  </si>
  <si>
    <t>0/00/0150</t>
  </si>
  <si>
    <t>0/00/0151</t>
  </si>
  <si>
    <t>0/00/0152</t>
  </si>
  <si>
    <t>0/00/0153</t>
  </si>
  <si>
    <t>0/00/0154</t>
  </si>
  <si>
    <t>0/00/0155</t>
  </si>
  <si>
    <t>0/00/0156</t>
  </si>
  <si>
    <t>0/00/0157</t>
  </si>
  <si>
    <t>0/00/0158</t>
  </si>
  <si>
    <t>0/00/0159</t>
  </si>
  <si>
    <t>0/00/0160</t>
  </si>
  <si>
    <t>0/00/0161</t>
  </si>
  <si>
    <t>0/00/0162</t>
  </si>
  <si>
    <t>0/00/0163</t>
  </si>
  <si>
    <t>0/00/0164</t>
  </si>
  <si>
    <t>0/00/0165</t>
  </si>
  <si>
    <t>0/00/0166</t>
  </si>
  <si>
    <t>0/00/0167</t>
  </si>
  <si>
    <t>0/00/0168</t>
  </si>
  <si>
    <t>0/00/0169</t>
  </si>
  <si>
    <t>0/00/0170</t>
  </si>
  <si>
    <t>0/00/0171</t>
  </si>
  <si>
    <t>0/00/0172</t>
  </si>
  <si>
    <t>0/00/0173</t>
  </si>
  <si>
    <t>0/00/0174</t>
  </si>
  <si>
    <t>0/00/0175</t>
  </si>
  <si>
    <t>0/00/0176</t>
  </si>
  <si>
    <t>0/00/0177</t>
  </si>
  <si>
    <t>0/00/0178</t>
  </si>
  <si>
    <t>0/00/0179</t>
  </si>
  <si>
    <t>0/00/0180</t>
  </si>
  <si>
    <t>0/00/0181</t>
  </si>
  <si>
    <t>0/00/0182</t>
  </si>
  <si>
    <t>0/00/0183</t>
  </si>
  <si>
    <t>0/00/0184</t>
  </si>
  <si>
    <t>0/00/0185</t>
  </si>
  <si>
    <t>0/00/0186</t>
  </si>
  <si>
    <t>0/00/0187</t>
  </si>
  <si>
    <t>0/00/0188</t>
  </si>
  <si>
    <t>0/00/0189</t>
  </si>
  <si>
    <t>0/00/0190</t>
  </si>
  <si>
    <t>0/00/0191</t>
  </si>
  <si>
    <t>0/00/0192</t>
  </si>
  <si>
    <t>0/00/0193</t>
  </si>
  <si>
    <t>0/00/0194</t>
  </si>
  <si>
    <t>0/00/0195</t>
  </si>
  <si>
    <t>0/00/0196</t>
  </si>
  <si>
    <t>0/00/0197</t>
  </si>
  <si>
    <t>0/00/0198</t>
  </si>
  <si>
    <t>0/00/0199</t>
  </si>
  <si>
    <t>0/00/0200</t>
  </si>
  <si>
    <t>0/00/0201</t>
  </si>
  <si>
    <t>0/00/0202</t>
  </si>
  <si>
    <t>0/00/0203</t>
  </si>
  <si>
    <t>0/00/0204</t>
  </si>
  <si>
    <t>0/00/0205</t>
  </si>
  <si>
    <t>0/00/0206</t>
  </si>
  <si>
    <t>0/00/0207</t>
  </si>
  <si>
    <t>0/00/0208</t>
  </si>
  <si>
    <t>0/00/0209</t>
  </si>
  <si>
    <t>0/00/0210</t>
  </si>
  <si>
    <t>0/00/0211</t>
  </si>
  <si>
    <t>0/00/0212</t>
  </si>
  <si>
    <t>0/00/0213</t>
  </si>
  <si>
    <t>0/00/0214</t>
  </si>
  <si>
    <t>0/00/0215</t>
  </si>
  <si>
    <t>0/00/0216</t>
  </si>
  <si>
    <t>0/00/0217</t>
  </si>
  <si>
    <t>0/00/0218</t>
  </si>
  <si>
    <t>0/00/0219</t>
  </si>
  <si>
    <t>0/00/0220</t>
  </si>
  <si>
    <t>0/00/0221</t>
  </si>
  <si>
    <t>0/00/0222</t>
  </si>
  <si>
    <t>0/00/0223</t>
  </si>
  <si>
    <t>0/00/0224</t>
  </si>
  <si>
    <t>0/00/0225</t>
  </si>
  <si>
    <t>0/00/0226</t>
  </si>
  <si>
    <t>0/00/0227</t>
  </si>
  <si>
    <t>0/00/0228</t>
  </si>
  <si>
    <t>0/00/0229</t>
  </si>
  <si>
    <t>0/00/0230</t>
  </si>
  <si>
    <t>0/00/0231</t>
  </si>
  <si>
    <t>0/00/0232</t>
  </si>
  <si>
    <t>0/00/0233</t>
  </si>
  <si>
    <t>0/00/0234</t>
  </si>
  <si>
    <t>0/00/0235</t>
  </si>
  <si>
    <t>0/00/0236</t>
  </si>
  <si>
    <t>0/00/0237</t>
  </si>
  <si>
    <t>0/00/0238</t>
  </si>
  <si>
    <t>0/00/0239</t>
  </si>
  <si>
    <t>0/00/0240</t>
  </si>
  <si>
    <t>0/00/0241</t>
  </si>
  <si>
    <t>0/00/0242</t>
  </si>
  <si>
    <t>0/00/0243</t>
  </si>
  <si>
    <t>0/00/0244</t>
  </si>
  <si>
    <t>0/00/0245</t>
  </si>
  <si>
    <t>0/00/0246</t>
  </si>
  <si>
    <t>0/00/0247</t>
  </si>
  <si>
    <t>0/00/0248</t>
  </si>
  <si>
    <t>0/00/0249</t>
  </si>
  <si>
    <t>0/00/0250</t>
  </si>
  <si>
    <t>0/00/0251</t>
  </si>
  <si>
    <t>0/00/0252</t>
  </si>
  <si>
    <t>0/00/0253</t>
  </si>
  <si>
    <t>0/00/0254</t>
  </si>
  <si>
    <t>0/00/0255</t>
  </si>
  <si>
    <t>0/00/0256</t>
  </si>
  <si>
    <t>0/00/0257</t>
  </si>
  <si>
    <t>0/00/0258</t>
  </si>
  <si>
    <t>0/00/0259</t>
  </si>
  <si>
    <t>0/00/0260</t>
  </si>
  <si>
    <t>0/00/0261</t>
  </si>
  <si>
    <t>0/00/0262</t>
  </si>
  <si>
    <t>0/00/0263</t>
  </si>
  <si>
    <t>0/00/0264</t>
  </si>
  <si>
    <t>0/00/0265</t>
  </si>
  <si>
    <t>0/00/0266</t>
  </si>
  <si>
    <t>0/00/0267</t>
  </si>
  <si>
    <t>0/00/0268</t>
  </si>
  <si>
    <t>Interaction Type</t>
  </si>
  <si>
    <t>Topic</t>
  </si>
  <si>
    <t># of School Team Participants</t>
  </si>
  <si>
    <t>minutes in 15min. Incr.</t>
  </si>
  <si>
    <t>Consultation with school personnel</t>
  </si>
  <si>
    <t>Training Received</t>
  </si>
  <si>
    <t>Other (specific in notes)</t>
  </si>
  <si>
    <t>Public Events</t>
  </si>
  <si>
    <t>Food Distribution</t>
  </si>
  <si>
    <t>Training Provided</t>
  </si>
  <si>
    <t>Trauma Informed Presentation</t>
  </si>
  <si>
    <t>training provided to OCS special education bus aides</t>
  </si>
  <si>
    <t>Providing Support for students during COVID</t>
  </si>
  <si>
    <t>training provided for participants of Sheddling Light on Mental Health Conference (approx 70) through FRN and NAMI</t>
  </si>
  <si>
    <t>Mentoring Program</t>
  </si>
  <si>
    <t>Owl Pals with Madison Gals Mentoring Program in Coordination with West Liberty University Google Meet</t>
  </si>
  <si>
    <t>food Distribution</t>
  </si>
  <si>
    <t>MENTAL HEALTH PLANNING AND EVALUATION TEMPLATE (MHPET)                                                                                                                                                                                                                                                                                                                                       Planning Activities (i.e. progress on formation of Steering Team, meetings of Steering Team, family members on Steering Team, formation of Vision and Mission statement for ESMH, completion of MHPET, Assessment(s) completed, Needs/Priorities Identified from assessments, Measurable Goals for the target school, Universal Prevention Program(s) Identified, MOU(s) between school, Mental Health agency, etc.)</t>
  </si>
  <si>
    <t>https://livewell.marshall.edu/mutac/?page_id=684</t>
  </si>
  <si>
    <t xml:space="preserve">DATE: </t>
  </si>
  <si>
    <t xml:space="preserve">Date: </t>
  </si>
  <si>
    <t>Set 1</t>
  </si>
  <si>
    <t>Set 2</t>
  </si>
  <si>
    <t>Set 3</t>
  </si>
  <si>
    <r>
      <rPr>
        <b/>
        <sz val="11"/>
        <color rgb="FF0070C0"/>
        <rFont val="Calibri"/>
        <family val="2"/>
        <scheme val="minor"/>
      </rPr>
      <t xml:space="preserve">Team Average </t>
    </r>
    <r>
      <rPr>
        <sz val="11"/>
        <color rgb="FF0070C0"/>
        <rFont val="Calibri"/>
        <family val="2"/>
        <scheme val="minor"/>
      </rPr>
      <t xml:space="preserve">(Enter score for each dimension) </t>
    </r>
  </si>
  <si>
    <t>Place an "x" next to those less than or equal to 3</t>
  </si>
  <si>
    <t>Dimension 1: Operations</t>
  </si>
  <si>
    <t>Mental health staff works in a confidential space and accesses dedicated phone lines and file cabinets that can be locked to ensure privacy of records.</t>
  </si>
  <si>
    <t xml:space="preserve">A system is in place to perform administrative functions such as: client scheduling, data management, and documentation. </t>
  </si>
  <si>
    <t>Following legal and professional guidelines, appropriate case records are developed and maintained, with methods to ensure privacy and confidentiality.</t>
  </si>
  <si>
    <t xml:space="preserve">There are clear protocols and supervision for handling students' severe problems and crises (e.g. suicidal ideation, psychosis, abuse/neglect). </t>
  </si>
  <si>
    <t xml:space="preserve">Mental health services adhere to clear policies and procedures to share information appropriately within and outside of the school and to protect student and family confidentiality. </t>
  </si>
  <si>
    <t> Dimension 2: Stakeholder Involvement</t>
  </si>
  <si>
    <t>Mental health activities and services have been developed with input from students, school leaders, school staff, families and other community members.</t>
  </si>
  <si>
    <t xml:space="preserve">Families are partners in developing and implementing services. </t>
  </si>
  <si>
    <t>Teachers, administrators, and school staff understand the rationale for mental health services within their school and are educated about which specific barriers to learning these services can address.</t>
  </si>
  <si>
    <t>Dimension 3: Staff and Training</t>
  </si>
  <si>
    <t>Mental health staff has completed accredited graduate training programs.</t>
  </si>
  <si>
    <t>Mental health staff is licensed in a mental health profession or is actively pursuing licensure and receiving required supervision toward licensure.</t>
  </si>
  <si>
    <t>Mental health staff receives training and ongoing support and supervision in implementing evidence-based prevention and intervention in schools.</t>
  </si>
  <si>
    <t>Mental health staff receives training, support and supervision in providing strengths-based and developmentally and culturally competent services.</t>
  </si>
  <si>
    <t xml:space="preserve">Dimension 4: Identification, Referral, and Assessment
</t>
  </si>
  <si>
    <t>Mental health service providers work with the school to effectively identify youth who present or are at risk for presenting emotional and/or behavioral difficulties.</t>
  </si>
  <si>
    <t>Mental health service providers and the school have adopted a shared protocol that clearly defines when and how to refer students.</t>
  </si>
  <si>
    <t>Mental health staff responds rapidly to referrals and informs school staff, health staff and/or family members on the status of referrals</t>
  </si>
  <si>
    <t xml:space="preserve">The mental health intake process is comprehensive while minimizing barriers to service for students and their families. </t>
  </si>
  <si>
    <t>Mental health staff uses brief, validated measures of behavioral and emotional health including risk behaviors (e.g. substance abuse) and strengths, to enhance initial, ongoing, and outcome evaluations.</t>
  </si>
  <si>
    <t xml:space="preserve">Dimension 5: Service Delivery
</t>
  </si>
  <si>
    <t>A range of activities and services, including school-wide mental health promotion, prevention, early intervention and treatment services are provided for youth in general and special education.</t>
  </si>
  <si>
    <t>Mental health prevention and intervention services are empirically supported or based on evidence of positive impact.</t>
  </si>
  <si>
    <t>Mental health activities and services are designed to meet the needs of culturally and linguistically diverse groups.</t>
  </si>
  <si>
    <t>Psychiatric consultation is available to provider staff to assist in the assessment and treatment of youth with serious and/or complex mental health issues.</t>
  </si>
  <si>
    <t xml:space="preserve">Treatment plans are uniformly completed and accurately match program services to the presenting needs of students and their families. </t>
  </si>
  <si>
    <t>Through peer and case consultation and other mechanisms, treatment plans and implemented strategies are frequently reviewed and adjusted to ensure that services are being delivered to address the most important problems/issues.</t>
  </si>
  <si>
    <t>Dimension 6: School Coordination and Collaboration</t>
  </si>
  <si>
    <t>Mental health staff develops and maintains relationships and participates in training and meetings with educators and school-employed mental health staff.</t>
  </si>
  <si>
    <t>Mental health staff provides consultation services to teachers, administrators and other school staff.</t>
  </si>
  <si>
    <t>Mental health staff coordinates efforts with school-employed mental health/health professionals (including school-based health care providers if present) to ensure that youth who need services receive them and to avoid service duplication.</t>
  </si>
  <si>
    <t>Interdisciplinary meetings and training are regularly held with all health (if present) and mental health staff of the program.</t>
  </si>
  <si>
    <t>Mental health and health staff (school or community based) provides mutual support and cross referrals (i.e., health staff assess students for mental health issues and refer them to mental health staff and vice versa).</t>
  </si>
  <si>
    <t>Dimension 7: Community Coordination and Collaboration</t>
  </si>
  <si>
    <t>A regularly updated directory is maintained to assist students and families in connecting to relevant health, mental health, substance abuse, academic and other programs or resources in the school and the community.</t>
  </si>
  <si>
    <t>Services are coordinated with community-based mental health and substance abuse organizations to enhance resources and to serve students whose needs extend beyond scope or capacity.</t>
  </si>
  <si>
    <t>Services are coordinated with community-based social service and advocacy organizations that are familiar with the culture and language needs of diverse student and family groups within the school.</t>
  </si>
  <si>
    <t>Dimension 8: Quality Assessment and Improvement</t>
  </si>
  <si>
    <t xml:space="preserve">Guidance is received on mental health programming from stakeholders including youth, families, school staff, and community leaders who are diverse in terms of race/ethnicity and personal/cultural background. </t>
  </si>
  <si>
    <t xml:space="preserve">A stakeholder-informed mental health quality assessment and improvement (QAI) plan is implemented that includes measures of consumer satisfaction, individual student outcomes (e.g., measures of behavioral or emotional health), and school-related outcomes (e.g., attendance, behavior, academic performance). </t>
  </si>
  <si>
    <t>Findings from the QAI plan are used to improve services continuously.</t>
  </si>
  <si>
    <t>2.0 TRACKING INFORMATION</t>
  </si>
  <si>
    <t>Intial</t>
  </si>
  <si>
    <t>ATI</t>
  </si>
  <si>
    <t>AT3</t>
  </si>
  <si>
    <t>AT6</t>
  </si>
  <si>
    <t>AT9</t>
  </si>
  <si>
    <t>AT1</t>
  </si>
  <si>
    <t>PI</t>
  </si>
  <si>
    <t>P3</t>
  </si>
  <si>
    <t>P6</t>
  </si>
  <si>
    <t>P9</t>
  </si>
  <si>
    <t>P1</t>
  </si>
  <si>
    <t>II</t>
  </si>
  <si>
    <t>I3</t>
  </si>
  <si>
    <t>I6</t>
  </si>
  <si>
    <t>I9</t>
  </si>
  <si>
    <t>I1</t>
  </si>
  <si>
    <t>DI</t>
  </si>
  <si>
    <t>D3</t>
  </si>
  <si>
    <t>D6</t>
  </si>
  <si>
    <t>D9</t>
  </si>
  <si>
    <t>D1</t>
  </si>
  <si>
    <t>AI</t>
  </si>
  <si>
    <t>A3</t>
  </si>
  <si>
    <t>A6</t>
  </si>
  <si>
    <t>A9</t>
  </si>
  <si>
    <t>A1</t>
  </si>
  <si>
    <t>OI</t>
  </si>
  <si>
    <t>O3</t>
  </si>
  <si>
    <t>O6</t>
  </si>
  <si>
    <t>O9</t>
  </si>
  <si>
    <t>O1</t>
  </si>
  <si>
    <t>CI</t>
  </si>
  <si>
    <t>C3</t>
  </si>
  <si>
    <t>C6</t>
  </si>
  <si>
    <t>C9</t>
  </si>
  <si>
    <t>C1</t>
  </si>
  <si>
    <t>SI</t>
  </si>
  <si>
    <t>S3</t>
  </si>
  <si>
    <t>S6</t>
  </si>
  <si>
    <t>S9</t>
  </si>
  <si>
    <t>S1</t>
  </si>
  <si>
    <t>ADI</t>
  </si>
  <si>
    <t>AD3</t>
  </si>
  <si>
    <t>AD6</t>
  </si>
  <si>
    <t>AD9</t>
  </si>
  <si>
    <t>AD1</t>
  </si>
  <si>
    <t>EI</t>
  </si>
  <si>
    <t>E3</t>
  </si>
  <si>
    <t>E6</t>
  </si>
  <si>
    <t>E9</t>
  </si>
  <si>
    <t>E1</t>
  </si>
  <si>
    <t>APDI</t>
  </si>
  <si>
    <t>APD3</t>
  </si>
  <si>
    <t>APD6</t>
  </si>
  <si>
    <t>APD9</t>
  </si>
  <si>
    <t>APD1</t>
  </si>
  <si>
    <t>SOI</t>
  </si>
  <si>
    <t>SO3</t>
  </si>
  <si>
    <t>SO6</t>
  </si>
  <si>
    <t>SO9</t>
  </si>
  <si>
    <t>SO1</t>
  </si>
  <si>
    <t>ACI</t>
  </si>
  <si>
    <t>AC3</t>
  </si>
  <si>
    <t>AC6</t>
  </si>
  <si>
    <t>AC9</t>
  </si>
  <si>
    <t>AC1</t>
  </si>
  <si>
    <t>FI</t>
  </si>
  <si>
    <t>F3</t>
  </si>
  <si>
    <t>F6</t>
  </si>
  <si>
    <t>F9</t>
  </si>
  <si>
    <t>F1</t>
  </si>
  <si>
    <t>LSI</t>
  </si>
  <si>
    <t>LS3</t>
  </si>
  <si>
    <t>LS6</t>
  </si>
  <si>
    <t>LS9</t>
  </si>
  <si>
    <t>LS1</t>
  </si>
  <si>
    <t>SFI</t>
  </si>
  <si>
    <t>SF3</t>
  </si>
  <si>
    <t>SF6</t>
  </si>
  <si>
    <t>SF9</t>
  </si>
  <si>
    <t>SF1</t>
  </si>
  <si>
    <t>LEI</t>
  </si>
  <si>
    <t>LE3</t>
  </si>
  <si>
    <t>LE6</t>
  </si>
  <si>
    <t>LE9</t>
  </si>
  <si>
    <t>LE1</t>
  </si>
  <si>
    <t>SLI</t>
  </si>
  <si>
    <t>SL3</t>
  </si>
  <si>
    <t>SL6</t>
  </si>
  <si>
    <t>SL9</t>
  </si>
  <si>
    <t>SL1</t>
  </si>
  <si>
    <t>SDI</t>
  </si>
  <si>
    <t>SD3</t>
  </si>
  <si>
    <t>SD6</t>
  </si>
  <si>
    <t>SD9</t>
  </si>
  <si>
    <t>SD1</t>
  </si>
  <si>
    <t>DFI</t>
  </si>
  <si>
    <t>DF3</t>
  </si>
  <si>
    <t>DF6</t>
  </si>
  <si>
    <t>DF9</t>
  </si>
  <si>
    <t>DF1</t>
  </si>
  <si>
    <t>SBI</t>
  </si>
  <si>
    <t>SB3</t>
  </si>
  <si>
    <t>SB6</t>
  </si>
  <si>
    <t>SB9</t>
  </si>
  <si>
    <t>SB1</t>
  </si>
  <si>
    <t>SCHI</t>
  </si>
  <si>
    <t>SCH3</t>
  </si>
  <si>
    <t>SCH6</t>
  </si>
  <si>
    <t>SCH9</t>
  </si>
  <si>
    <t>SCH1</t>
  </si>
  <si>
    <t>ATTI</t>
  </si>
  <si>
    <t>ATT3</t>
  </si>
  <si>
    <t>ATT6</t>
  </si>
  <si>
    <t>ATT9</t>
  </si>
  <si>
    <t>ATT1</t>
  </si>
  <si>
    <t>SUI</t>
  </si>
  <si>
    <t>SU3</t>
  </si>
  <si>
    <t>SU6</t>
  </si>
  <si>
    <t>SU9</t>
  </si>
  <si>
    <t>SU1</t>
  </si>
  <si>
    <t>NONI</t>
  </si>
  <si>
    <t>NON3</t>
  </si>
  <si>
    <t>NON6</t>
  </si>
  <si>
    <t>NON9</t>
  </si>
  <si>
    <t>NON1</t>
  </si>
  <si>
    <t>SHI</t>
  </si>
  <si>
    <t>SH3</t>
  </si>
  <si>
    <t>SH6</t>
  </si>
  <si>
    <t>SH9</t>
  </si>
  <si>
    <t>SH1</t>
  </si>
  <si>
    <t>DOI</t>
  </si>
  <si>
    <t>DO3</t>
  </si>
  <si>
    <t>DO6</t>
  </si>
  <si>
    <t>DO9</t>
  </si>
  <si>
    <t>DO1</t>
  </si>
  <si>
    <t>SXAI</t>
  </si>
  <si>
    <t>SXA3</t>
  </si>
  <si>
    <t>SXA6</t>
  </si>
  <si>
    <t>SXA9</t>
  </si>
  <si>
    <t>SXA1</t>
  </si>
  <si>
    <t>SXBI</t>
  </si>
  <si>
    <t>SXB3</t>
  </si>
  <si>
    <t>SXB6</t>
  </si>
  <si>
    <t>SXB9</t>
  </si>
  <si>
    <t>SXB1</t>
  </si>
  <si>
    <t>BI</t>
  </si>
  <si>
    <t>B3</t>
  </si>
  <si>
    <t>B6</t>
  </si>
  <si>
    <t>B9</t>
  </si>
  <si>
    <t>B1</t>
  </si>
  <si>
    <t>DELI</t>
  </si>
  <si>
    <t>DEL3</t>
  </si>
  <si>
    <t>DEL6</t>
  </si>
  <si>
    <t>DEL9</t>
  </si>
  <si>
    <t>DEL1</t>
  </si>
  <si>
    <t>RUNI</t>
  </si>
  <si>
    <t>RUN3</t>
  </si>
  <si>
    <t>RUN6</t>
  </si>
  <si>
    <t>RUN9</t>
  </si>
  <si>
    <t>RUN1</t>
  </si>
  <si>
    <t>IMI</t>
  </si>
  <si>
    <t>IM3</t>
  </si>
  <si>
    <t>IM6</t>
  </si>
  <si>
    <t>IM9</t>
  </si>
  <si>
    <t>IM1</t>
  </si>
  <si>
    <t>Student ID (Entire WVEIS#)</t>
  </si>
  <si>
    <t xml:space="preserve">Date  Initial CANs is due </t>
  </si>
  <si>
    <t>Date  CANs due after the initial assessment                               (1st Quarter)</t>
  </si>
  <si>
    <t>DATE CANs Completed</t>
  </si>
  <si>
    <r>
      <rPr>
        <b/>
        <sz val="16"/>
        <color theme="1"/>
        <rFont val="Calibri"/>
        <family val="2"/>
        <scheme val="minor"/>
      </rPr>
      <t xml:space="preserve">BEHAVIORAL / EMOTIONAL   </t>
    </r>
    <r>
      <rPr>
        <b/>
        <sz val="8"/>
        <color theme="1"/>
        <rFont val="Calibri"/>
        <family val="2"/>
        <scheme val="minor"/>
      </rPr>
      <t xml:space="preserve">                               13. Adustment to trauma</t>
    </r>
  </si>
  <si>
    <r>
      <rPr>
        <b/>
        <sz val="16"/>
        <rFont val="Calibri"/>
        <family val="2"/>
        <scheme val="minor"/>
      </rPr>
      <t xml:space="preserve">BEHAVIORAL / EMOTIONAL   </t>
    </r>
    <r>
      <rPr>
        <b/>
        <sz val="8"/>
        <rFont val="Calibri"/>
        <family val="2"/>
        <scheme val="minor"/>
      </rPr>
      <t xml:space="preserve">                               52. Psychosis</t>
    </r>
  </si>
  <si>
    <r>
      <rPr>
        <b/>
        <sz val="16"/>
        <color theme="1"/>
        <rFont val="Calibri"/>
        <family val="2"/>
        <scheme val="minor"/>
      </rPr>
      <t xml:space="preserve">BEHAVIORAL / EMOTIONAL   </t>
    </r>
    <r>
      <rPr>
        <b/>
        <sz val="8"/>
        <color theme="1"/>
        <rFont val="Calibri"/>
        <family val="2"/>
        <scheme val="minor"/>
      </rPr>
      <t xml:space="preserve">                               54. Impulsivity</t>
    </r>
  </si>
  <si>
    <r>
      <rPr>
        <b/>
        <sz val="16"/>
        <color theme="1"/>
        <rFont val="Calibri"/>
        <family val="2"/>
        <scheme val="minor"/>
      </rPr>
      <t xml:space="preserve">BEHAVIORAL / EMOTIONAL   </t>
    </r>
    <r>
      <rPr>
        <b/>
        <sz val="8"/>
        <color theme="1"/>
        <rFont val="Calibri"/>
        <family val="2"/>
        <scheme val="minor"/>
      </rPr>
      <t xml:space="preserve">                               55. Depression </t>
    </r>
  </si>
  <si>
    <r>
      <rPr>
        <b/>
        <sz val="16"/>
        <color theme="1"/>
        <rFont val="Calibri"/>
        <family val="2"/>
        <scheme val="minor"/>
      </rPr>
      <t xml:space="preserve">BEHAVIORAL / EMOTIONAL   </t>
    </r>
    <r>
      <rPr>
        <b/>
        <sz val="8"/>
        <color theme="1"/>
        <rFont val="Calibri"/>
        <family val="2"/>
        <scheme val="minor"/>
      </rPr>
      <t xml:space="preserve">                               56. Anxiety</t>
    </r>
  </si>
  <si>
    <r>
      <rPr>
        <b/>
        <sz val="16"/>
        <color theme="1"/>
        <rFont val="Calibri"/>
        <family val="2"/>
        <scheme val="minor"/>
      </rPr>
      <t xml:space="preserve">BEHAVIORAL / EMOTIONAL   </t>
    </r>
    <r>
      <rPr>
        <b/>
        <sz val="8"/>
        <color theme="1"/>
        <rFont val="Calibri"/>
        <family val="2"/>
        <scheme val="minor"/>
      </rPr>
      <t xml:space="preserve">                               57. Oppositional</t>
    </r>
  </si>
  <si>
    <r>
      <rPr>
        <b/>
        <sz val="16"/>
        <color theme="1"/>
        <rFont val="Calibri"/>
        <family val="2"/>
        <scheme val="minor"/>
      </rPr>
      <t xml:space="preserve">BEHAVIORAL / EMOTIONAL   </t>
    </r>
    <r>
      <rPr>
        <b/>
        <sz val="8"/>
        <color theme="1"/>
        <rFont val="Calibri"/>
        <family val="2"/>
        <scheme val="minor"/>
      </rPr>
      <t xml:space="preserve">                               58. Conduct</t>
    </r>
  </si>
  <si>
    <r>
      <rPr>
        <b/>
        <sz val="16"/>
        <color theme="1"/>
        <rFont val="Calibri"/>
        <family val="2"/>
        <scheme val="minor"/>
      </rPr>
      <t xml:space="preserve">BEHAVIORAL / EMOTIONAL   </t>
    </r>
    <r>
      <rPr>
        <b/>
        <sz val="8"/>
        <color theme="1"/>
        <rFont val="Calibri"/>
        <family val="2"/>
        <scheme val="minor"/>
      </rPr>
      <t xml:space="preserve">                               59. Substance Use</t>
    </r>
  </si>
  <si>
    <r>
      <rPr>
        <b/>
        <sz val="16"/>
        <color theme="1"/>
        <rFont val="Calibri"/>
        <family val="2"/>
        <scheme val="minor"/>
      </rPr>
      <t xml:space="preserve">BEHAVIORAL / EMOTIONAL   </t>
    </r>
    <r>
      <rPr>
        <b/>
        <sz val="8"/>
        <color theme="1"/>
        <rFont val="Calibri"/>
        <family val="2"/>
        <scheme val="minor"/>
      </rPr>
      <t xml:space="preserve">                               60. Attachment Difficulties</t>
    </r>
  </si>
  <si>
    <r>
      <rPr>
        <b/>
        <sz val="16"/>
        <color theme="1"/>
        <rFont val="Calibri"/>
        <family val="2"/>
        <scheme val="minor"/>
      </rPr>
      <t xml:space="preserve">BEHAVIORAL / EMOTIONAL   </t>
    </r>
    <r>
      <rPr>
        <b/>
        <sz val="8"/>
        <color theme="1"/>
        <rFont val="Calibri"/>
        <family val="2"/>
        <scheme val="minor"/>
      </rPr>
      <t xml:space="preserve">                               61. Eating Disturbance</t>
    </r>
  </si>
  <si>
    <r>
      <rPr>
        <b/>
        <sz val="16"/>
        <color theme="1"/>
        <rFont val="Calibri"/>
        <family val="2"/>
        <scheme val="minor"/>
      </rPr>
      <t xml:space="preserve">BEHAVIORAL / EMOTIONAL   </t>
    </r>
    <r>
      <rPr>
        <b/>
        <sz val="8"/>
        <color theme="1"/>
        <rFont val="Calibri"/>
        <family val="2"/>
        <scheme val="minor"/>
      </rPr>
      <t xml:space="preserve">                              62. Affective and / or Physiological Dysregulation</t>
    </r>
  </si>
  <si>
    <r>
      <rPr>
        <b/>
        <sz val="16"/>
        <color theme="1"/>
        <rFont val="Calibri"/>
        <family val="2"/>
        <scheme val="minor"/>
      </rPr>
      <t xml:space="preserve">BEHAVIORAL / EMOTIONAL   </t>
    </r>
    <r>
      <rPr>
        <b/>
        <sz val="8"/>
        <color theme="1"/>
        <rFont val="Calibri"/>
        <family val="2"/>
        <scheme val="minor"/>
      </rPr>
      <t xml:space="preserve">                              63. Somatization</t>
    </r>
  </si>
  <si>
    <r>
      <rPr>
        <b/>
        <sz val="16"/>
        <color theme="1"/>
        <rFont val="Calibri"/>
        <family val="2"/>
        <scheme val="minor"/>
      </rPr>
      <t xml:space="preserve">BEHAVIORAL / EMOTIONAL   </t>
    </r>
    <r>
      <rPr>
        <b/>
        <sz val="8"/>
        <color theme="1"/>
        <rFont val="Calibri"/>
        <family val="2"/>
        <scheme val="minor"/>
      </rPr>
      <t xml:space="preserve">                              64. Anger Control </t>
    </r>
  </si>
  <si>
    <r>
      <rPr>
        <b/>
        <sz val="16"/>
        <color theme="1"/>
        <rFont val="Calibri"/>
        <family val="2"/>
        <scheme val="minor"/>
      </rPr>
      <t xml:space="preserve">FUNCTIONAL NEEDS </t>
    </r>
    <r>
      <rPr>
        <b/>
        <sz val="8"/>
        <color theme="1"/>
        <rFont val="Calibri"/>
        <family val="2"/>
        <scheme val="minor"/>
      </rPr>
      <t xml:space="preserve">                                              30. Family - Biological or Adoptive</t>
    </r>
  </si>
  <si>
    <r>
      <rPr>
        <b/>
        <sz val="16"/>
        <color theme="1"/>
        <rFont val="Calibri"/>
        <family val="2"/>
        <scheme val="minor"/>
      </rPr>
      <t xml:space="preserve">FUNCTIONAL NEEDS    </t>
    </r>
    <r>
      <rPr>
        <b/>
        <sz val="8"/>
        <color theme="1"/>
        <rFont val="Calibri"/>
        <family val="2"/>
        <scheme val="minor"/>
      </rPr>
      <t xml:space="preserve">                                         31. Living Situation</t>
    </r>
  </si>
  <si>
    <r>
      <rPr>
        <b/>
        <sz val="16"/>
        <color theme="1"/>
        <rFont val="Calibri"/>
        <family val="2"/>
        <scheme val="minor"/>
      </rPr>
      <t xml:space="preserve">FUNCTIONAL NEEDS    </t>
    </r>
    <r>
      <rPr>
        <b/>
        <sz val="8"/>
        <color theme="1"/>
        <rFont val="Calibri"/>
        <family val="2"/>
        <scheme val="minor"/>
      </rPr>
      <t xml:space="preserve">                                        32. Social Functioning</t>
    </r>
  </si>
  <si>
    <r>
      <rPr>
        <b/>
        <sz val="16"/>
        <color theme="1"/>
        <rFont val="Calibri"/>
        <family val="2"/>
        <scheme val="minor"/>
      </rPr>
      <t xml:space="preserve">FUNCTIONAL NEEDS    </t>
    </r>
    <r>
      <rPr>
        <b/>
        <sz val="8"/>
        <color theme="1"/>
        <rFont val="Calibri"/>
        <family val="2"/>
        <scheme val="minor"/>
      </rPr>
      <t xml:space="preserve">                                        37. Legal</t>
    </r>
  </si>
  <si>
    <r>
      <rPr>
        <b/>
        <sz val="16"/>
        <color theme="1"/>
        <rFont val="Calibri"/>
        <family val="2"/>
        <scheme val="minor"/>
      </rPr>
      <t xml:space="preserve">FUNCTIONAL NEEDS    </t>
    </r>
    <r>
      <rPr>
        <b/>
        <sz val="8"/>
        <color theme="1"/>
        <rFont val="Calibri"/>
        <family val="2"/>
        <scheme val="minor"/>
      </rPr>
      <t xml:space="preserve">                                       41. Sleep </t>
    </r>
  </si>
  <si>
    <r>
      <rPr>
        <b/>
        <sz val="16"/>
        <color theme="1"/>
        <rFont val="Calibri"/>
        <family val="2"/>
        <scheme val="minor"/>
      </rPr>
      <t xml:space="preserve">FUNCTIONAL NEEDS     </t>
    </r>
    <r>
      <rPr>
        <b/>
        <sz val="8"/>
        <color theme="1"/>
        <rFont val="Calibri"/>
        <family val="2"/>
        <scheme val="minor"/>
      </rPr>
      <t xml:space="preserve">                               42. Sexual Development</t>
    </r>
  </si>
  <si>
    <r>
      <rPr>
        <b/>
        <sz val="16"/>
        <color theme="1"/>
        <rFont val="Calibri"/>
        <family val="2"/>
        <scheme val="minor"/>
      </rPr>
      <t xml:space="preserve">FUNCTIONAL NEEDS    </t>
    </r>
    <r>
      <rPr>
        <b/>
        <sz val="8"/>
        <color theme="1"/>
        <rFont val="Calibri"/>
        <family val="2"/>
        <scheme val="minor"/>
      </rPr>
      <t xml:space="preserve">                                  44. Daily Functioning</t>
    </r>
  </si>
  <si>
    <r>
      <rPr>
        <b/>
        <sz val="16"/>
        <color theme="1"/>
        <rFont val="Calibri"/>
        <family val="2"/>
        <scheme val="minor"/>
      </rPr>
      <t xml:space="preserve">FUNCTIONAL NEEDS      </t>
    </r>
    <r>
      <rPr>
        <b/>
        <sz val="8"/>
        <color theme="1"/>
        <rFont val="Calibri"/>
        <family val="2"/>
        <scheme val="minor"/>
      </rPr>
      <t xml:space="preserve">                               46. School Behavior</t>
    </r>
  </si>
  <si>
    <r>
      <rPr>
        <b/>
        <sz val="16"/>
        <color theme="1"/>
        <rFont val="Calibri"/>
        <family val="2"/>
        <scheme val="minor"/>
      </rPr>
      <t xml:space="preserve">FUNCTIONAL NEEDS      </t>
    </r>
    <r>
      <rPr>
        <b/>
        <sz val="8"/>
        <color theme="1"/>
        <rFont val="Calibri"/>
        <family val="2"/>
        <scheme val="minor"/>
      </rPr>
      <t xml:space="preserve">                               47. School Achievement</t>
    </r>
  </si>
  <si>
    <r>
      <rPr>
        <b/>
        <sz val="16"/>
        <color theme="1"/>
        <rFont val="Calibri"/>
        <family val="2"/>
        <scheme val="minor"/>
      </rPr>
      <t xml:space="preserve">FUNCTIONAL NEEDS      </t>
    </r>
    <r>
      <rPr>
        <b/>
        <sz val="8"/>
        <color theme="1"/>
        <rFont val="Calibri"/>
        <family val="2"/>
        <scheme val="minor"/>
      </rPr>
      <t xml:space="preserve">                               48. School Attendance</t>
    </r>
  </si>
  <si>
    <r>
      <rPr>
        <b/>
        <sz val="16"/>
        <color theme="1"/>
        <rFont val="Calibri"/>
        <family val="2"/>
        <scheme val="minor"/>
      </rPr>
      <t xml:space="preserve">RISK BEHAVIORS  </t>
    </r>
    <r>
      <rPr>
        <b/>
        <sz val="8"/>
        <color theme="1"/>
        <rFont val="Calibri"/>
        <family val="2"/>
        <scheme val="minor"/>
      </rPr>
      <t xml:space="preserve">                               65. Suicidal Risk</t>
    </r>
  </si>
  <si>
    <r>
      <rPr>
        <b/>
        <sz val="16"/>
        <color theme="1"/>
        <rFont val="Calibri"/>
        <family val="2"/>
        <scheme val="minor"/>
      </rPr>
      <t xml:space="preserve">RISK BEHAVIORS  </t>
    </r>
    <r>
      <rPr>
        <b/>
        <sz val="8"/>
        <color theme="1"/>
        <rFont val="Calibri"/>
        <family val="2"/>
        <scheme val="minor"/>
      </rPr>
      <t xml:space="preserve">                               66. Non-Suicidal Self Injury</t>
    </r>
  </si>
  <si>
    <r>
      <rPr>
        <b/>
        <sz val="16"/>
        <color theme="1"/>
        <rFont val="Calibri"/>
        <family val="2"/>
        <scheme val="minor"/>
      </rPr>
      <t xml:space="preserve">RISK BEHAVIORS  </t>
    </r>
    <r>
      <rPr>
        <b/>
        <sz val="8"/>
        <color theme="1"/>
        <rFont val="Calibri"/>
        <family val="2"/>
        <scheme val="minor"/>
      </rPr>
      <t xml:space="preserve">                               67. Other Self Harm</t>
    </r>
  </si>
  <si>
    <r>
      <rPr>
        <b/>
        <sz val="16"/>
        <color theme="1"/>
        <rFont val="Calibri"/>
        <family val="2"/>
        <scheme val="minor"/>
      </rPr>
      <t xml:space="preserve">RISK BEHAVIORS  </t>
    </r>
    <r>
      <rPr>
        <b/>
        <sz val="8"/>
        <color theme="1"/>
        <rFont val="Calibri"/>
        <family val="2"/>
        <scheme val="minor"/>
      </rPr>
      <t xml:space="preserve">                               69. Danger to Others</t>
    </r>
  </si>
  <si>
    <r>
      <rPr>
        <b/>
        <sz val="16"/>
        <color theme="1"/>
        <rFont val="Calibri"/>
        <family val="2"/>
        <scheme val="minor"/>
      </rPr>
      <t xml:space="preserve">RISK BEHAVIORS  </t>
    </r>
    <r>
      <rPr>
        <b/>
        <sz val="8"/>
        <color theme="1"/>
        <rFont val="Calibri"/>
        <family val="2"/>
        <scheme val="minor"/>
      </rPr>
      <t xml:space="preserve">                               71. Fire Setting</t>
    </r>
  </si>
  <si>
    <r>
      <rPr>
        <b/>
        <sz val="16"/>
        <color theme="1"/>
        <rFont val="Calibri"/>
        <family val="2"/>
        <scheme val="minor"/>
      </rPr>
      <t xml:space="preserve">RISK BEHAVIORS  </t>
    </r>
    <r>
      <rPr>
        <b/>
        <sz val="8"/>
        <color theme="1"/>
        <rFont val="Calibri"/>
        <family val="2"/>
        <scheme val="minor"/>
      </rPr>
      <t xml:space="preserve">                               72. Sexually Abusive</t>
    </r>
  </si>
  <si>
    <r>
      <rPr>
        <b/>
        <sz val="16"/>
        <color theme="1"/>
        <rFont val="Calibri"/>
        <family val="2"/>
        <scheme val="minor"/>
      </rPr>
      <t xml:space="preserve">RISK BEHAVIORS  </t>
    </r>
    <r>
      <rPr>
        <b/>
        <sz val="8"/>
        <color theme="1"/>
        <rFont val="Calibri"/>
        <family val="2"/>
        <scheme val="minor"/>
      </rPr>
      <t xml:space="preserve">                               73. Sexualized Behaviors</t>
    </r>
  </si>
  <si>
    <r>
      <rPr>
        <b/>
        <sz val="16"/>
        <color theme="1"/>
        <rFont val="Calibri"/>
        <family val="2"/>
        <scheme val="minor"/>
      </rPr>
      <t xml:space="preserve">RISK BEHAVIORS  </t>
    </r>
    <r>
      <rPr>
        <b/>
        <sz val="8"/>
        <color theme="1"/>
        <rFont val="Calibri"/>
        <family val="2"/>
        <scheme val="minor"/>
      </rPr>
      <t xml:space="preserve">                               74. Bullying</t>
    </r>
  </si>
  <si>
    <r>
      <rPr>
        <b/>
        <sz val="16"/>
        <color theme="1"/>
        <rFont val="Calibri"/>
        <family val="2"/>
        <scheme val="minor"/>
      </rPr>
      <t xml:space="preserve">RISK BEHAVIORS  </t>
    </r>
    <r>
      <rPr>
        <b/>
        <sz val="8"/>
        <color theme="1"/>
        <rFont val="Calibri"/>
        <family val="2"/>
        <scheme val="minor"/>
      </rPr>
      <t xml:space="preserve">                               75. Delinquency</t>
    </r>
  </si>
  <si>
    <r>
      <rPr>
        <b/>
        <sz val="16"/>
        <color theme="1"/>
        <rFont val="Calibri"/>
        <family val="2"/>
        <scheme val="minor"/>
      </rPr>
      <t xml:space="preserve">RISK BEHAVIORS  </t>
    </r>
    <r>
      <rPr>
        <b/>
        <sz val="8"/>
        <color theme="1"/>
        <rFont val="Calibri"/>
        <family val="2"/>
        <scheme val="minor"/>
      </rPr>
      <t xml:space="preserve">                               76. Runaway</t>
    </r>
  </si>
  <si>
    <r>
      <rPr>
        <b/>
        <sz val="16"/>
        <color theme="1"/>
        <rFont val="Calibri"/>
        <family val="2"/>
        <scheme val="minor"/>
      </rPr>
      <t xml:space="preserve">RISK BEHAVIORS  </t>
    </r>
    <r>
      <rPr>
        <b/>
        <sz val="8"/>
        <color theme="1"/>
        <rFont val="Calibri"/>
        <family val="2"/>
        <scheme val="minor"/>
      </rPr>
      <t xml:space="preserve">                               77. Intentional Misbehavior</t>
    </r>
  </si>
  <si>
    <t>1st Quarter</t>
  </si>
  <si>
    <t>2nd Quarter</t>
  </si>
  <si>
    <t>3rd Quarter</t>
  </si>
  <si>
    <t>Discharge</t>
  </si>
  <si>
    <t>00/00/0000</t>
  </si>
  <si>
    <t>00/00/0001</t>
  </si>
  <si>
    <t>00/00/0002</t>
  </si>
  <si>
    <t>00/00/0003</t>
  </si>
  <si>
    <t>00/00/0004</t>
  </si>
  <si>
    <t>00/00/0005</t>
  </si>
  <si>
    <t>00/00/0006</t>
  </si>
  <si>
    <t>00/00/0007</t>
  </si>
  <si>
    <t>00/00/0009</t>
  </si>
  <si>
    <t>00/00/0010</t>
  </si>
  <si>
    <t>00/00/0011</t>
  </si>
  <si>
    <t>00/00/0012</t>
  </si>
  <si>
    <t>00/00/0013</t>
  </si>
  <si>
    <t>00/00/0014</t>
  </si>
  <si>
    <t>00/00/0015</t>
  </si>
  <si>
    <t>00/00/0016</t>
  </si>
  <si>
    <t>00/00/0017</t>
  </si>
  <si>
    <t>00/00/0018</t>
  </si>
  <si>
    <t>00/00/0019</t>
  </si>
  <si>
    <t>00/00/0020</t>
  </si>
  <si>
    <t>00/00/0021</t>
  </si>
  <si>
    <t>00/00/0022</t>
  </si>
  <si>
    <t>00/00/0023</t>
  </si>
  <si>
    <t>00/00/0024</t>
  </si>
  <si>
    <t>00/00/0025</t>
  </si>
  <si>
    <t>00/00/0026</t>
  </si>
  <si>
    <t>00/00/0027</t>
  </si>
  <si>
    <t>00/00/0028</t>
  </si>
  <si>
    <t>00/00/0029</t>
  </si>
  <si>
    <t>00/00/0030</t>
  </si>
  <si>
    <t>00/00/0031</t>
  </si>
  <si>
    <t>00/00/0032</t>
  </si>
  <si>
    <t>00/00/0033</t>
  </si>
  <si>
    <t>00/00/0034</t>
  </si>
  <si>
    <t>00/00/0035</t>
  </si>
  <si>
    <t>00/00/0036</t>
  </si>
  <si>
    <t>00/00/0037</t>
  </si>
  <si>
    <t>00/00/0038</t>
  </si>
  <si>
    <t>00/00/0039</t>
  </si>
  <si>
    <t>00/00/0040</t>
  </si>
  <si>
    <t>00/00/0041</t>
  </si>
  <si>
    <t>00/00/0042</t>
  </si>
  <si>
    <t>00/00/0043</t>
  </si>
  <si>
    <t>00/00/0044</t>
  </si>
  <si>
    <t>00/00/0045</t>
  </si>
  <si>
    <t>00/00/0046</t>
  </si>
  <si>
    <t>00/00/0047</t>
  </si>
  <si>
    <t>00/00/0048</t>
  </si>
  <si>
    <t>00/00/0049</t>
  </si>
  <si>
    <t>00/00/0050</t>
  </si>
  <si>
    <t>00/00/0051</t>
  </si>
  <si>
    <t>00/00/0052</t>
  </si>
  <si>
    <t>00/00/0053</t>
  </si>
  <si>
    <t>00/00/0054</t>
  </si>
  <si>
    <t>00/00/0055</t>
  </si>
  <si>
    <t>00/00/0056</t>
  </si>
  <si>
    <t>00/00/0057</t>
  </si>
  <si>
    <t>00/00/0058</t>
  </si>
  <si>
    <t>00/00/0059</t>
  </si>
  <si>
    <t>00/00/0060</t>
  </si>
  <si>
    <t>00/00/0061</t>
  </si>
  <si>
    <t>00/00/0062</t>
  </si>
  <si>
    <t>00/00/0063</t>
  </si>
  <si>
    <t>00/00/0064</t>
  </si>
  <si>
    <t>00/00/0065</t>
  </si>
  <si>
    <t>00/00/0066</t>
  </si>
  <si>
    <t>00/00/0067</t>
  </si>
  <si>
    <t>00/00/0068</t>
  </si>
  <si>
    <t>00/00/0069</t>
  </si>
  <si>
    <t>00/00/0070</t>
  </si>
  <si>
    <t>00/00/0071</t>
  </si>
  <si>
    <t>00/00/0072</t>
  </si>
  <si>
    <t>00/00/0073</t>
  </si>
  <si>
    <t>00/00/0074</t>
  </si>
  <si>
    <t>00/00/0075</t>
  </si>
  <si>
    <t>00/00/0076</t>
  </si>
  <si>
    <t>00/00/0077</t>
  </si>
  <si>
    <t>00/00/0078</t>
  </si>
  <si>
    <t>00/00/0079</t>
  </si>
  <si>
    <t>00/00/0080</t>
  </si>
  <si>
    <t>00/00/0081</t>
  </si>
  <si>
    <t>00/00/0082</t>
  </si>
  <si>
    <t>00/00/0083</t>
  </si>
  <si>
    <t>00/00/0084</t>
  </si>
  <si>
    <t>00/00/0085</t>
  </si>
  <si>
    <t>00/00/0086</t>
  </si>
  <si>
    <t>00/00/0087</t>
  </si>
  <si>
    <t>00/00/0088</t>
  </si>
  <si>
    <t>00/00/0089</t>
  </si>
  <si>
    <t>00/00/0090</t>
  </si>
  <si>
    <t>00/00/0091</t>
  </si>
  <si>
    <t>00/00/0092</t>
  </si>
  <si>
    <t>00/00/0093</t>
  </si>
  <si>
    <t>00/00/0094</t>
  </si>
  <si>
    <t>00/00/0095</t>
  </si>
  <si>
    <t>00/00/0096</t>
  </si>
  <si>
    <t>00/00/0097</t>
  </si>
  <si>
    <t>00/00/0098</t>
  </si>
  <si>
    <t>00/00/0099</t>
  </si>
  <si>
    <t>00/00/0100</t>
  </si>
  <si>
    <t>00/00/0101</t>
  </si>
  <si>
    <t>00/00/0102</t>
  </si>
  <si>
    <t>00/00/0103</t>
  </si>
  <si>
    <t>00/00/0104</t>
  </si>
  <si>
    <t>00/00/0105</t>
  </si>
  <si>
    <t>00/00/0106</t>
  </si>
  <si>
    <t>00/00/0107</t>
  </si>
  <si>
    <t>00/00/0108</t>
  </si>
  <si>
    <t>00/00/0109</t>
  </si>
  <si>
    <t>00/00/0110</t>
  </si>
  <si>
    <t>00/00/0111</t>
  </si>
  <si>
    <t>00/00/0112</t>
  </si>
  <si>
    <t>00/00/0113</t>
  </si>
  <si>
    <t>00/00/0114</t>
  </si>
  <si>
    <t>00/00/0115</t>
  </si>
  <si>
    <t>00/00/0116</t>
  </si>
  <si>
    <t>00/00/0117</t>
  </si>
  <si>
    <t>00/00/0118</t>
  </si>
  <si>
    <t>00/00/0119</t>
  </si>
  <si>
    <t>00/00/0120</t>
  </si>
  <si>
    <t>00/00/0121</t>
  </si>
  <si>
    <t>00/00/0122</t>
  </si>
  <si>
    <t>00/00/0123</t>
  </si>
  <si>
    <t>00/00/0124</t>
  </si>
  <si>
    <t>00/00/0125</t>
  </si>
  <si>
    <t>00/00/0126</t>
  </si>
  <si>
    <t>00/00/0127</t>
  </si>
  <si>
    <t>00/00/0128</t>
  </si>
  <si>
    <t>00/00/0129</t>
  </si>
  <si>
    <t>00/00/0130</t>
  </si>
  <si>
    <t>00/00/0131</t>
  </si>
  <si>
    <t>00/00/0132</t>
  </si>
  <si>
    <t>00/00/0133</t>
  </si>
  <si>
    <t>00/00/0134</t>
  </si>
  <si>
    <t>00/00/0135</t>
  </si>
  <si>
    <t>00/00/0136</t>
  </si>
  <si>
    <t>00/00/0137</t>
  </si>
  <si>
    <t>00/00/0138</t>
  </si>
  <si>
    <t>00/00/0139</t>
  </si>
  <si>
    <t>00/00/0140</t>
  </si>
  <si>
    <t>00/00/0141</t>
  </si>
  <si>
    <t>00/00/0142</t>
  </si>
  <si>
    <t>00/00/0143</t>
  </si>
  <si>
    <t>00/00/0144</t>
  </si>
  <si>
    <t>00/00/0145</t>
  </si>
  <si>
    <t>00/00/0146</t>
  </si>
  <si>
    <t>00/00/0147</t>
  </si>
  <si>
    <t>00/00/0148</t>
  </si>
  <si>
    <t>00/00/0149</t>
  </si>
  <si>
    <t>00/00/0150</t>
  </si>
  <si>
    <t>00/00/0151</t>
  </si>
  <si>
    <t>00/00/0152</t>
  </si>
  <si>
    <t>00/00/0153</t>
  </si>
  <si>
    <t>00/00/0154</t>
  </si>
  <si>
    <t>00/00/0155</t>
  </si>
  <si>
    <t>00/00/0156</t>
  </si>
  <si>
    <t>00/00/0157</t>
  </si>
  <si>
    <t>00/00/0158</t>
  </si>
  <si>
    <t>00/00/0159</t>
  </si>
  <si>
    <t>00/00/0160</t>
  </si>
  <si>
    <t>00/00/0161</t>
  </si>
  <si>
    <t>00/00/0162</t>
  </si>
  <si>
    <t>00/00/0163</t>
  </si>
  <si>
    <t>00/00/0164</t>
  </si>
  <si>
    <t>00/00/0165</t>
  </si>
  <si>
    <t>00/00/0166</t>
  </si>
  <si>
    <t>00/00/0167</t>
  </si>
  <si>
    <t>00/00/0168</t>
  </si>
  <si>
    <t>00/00/0169</t>
  </si>
  <si>
    <t>00/00/0170</t>
  </si>
  <si>
    <t>00/00/0171</t>
  </si>
  <si>
    <t>00/00/0172</t>
  </si>
  <si>
    <t>00/00/0173</t>
  </si>
  <si>
    <t>00/00/0174</t>
  </si>
  <si>
    <t>00/00/0175</t>
  </si>
  <si>
    <t>00/00/0176</t>
  </si>
  <si>
    <t>00/00/0177</t>
  </si>
  <si>
    <t>00/00/0178</t>
  </si>
  <si>
    <t>00/00/0179</t>
  </si>
  <si>
    <t>00/00/0180</t>
  </si>
  <si>
    <t>00/00/0181</t>
  </si>
  <si>
    <t>00/00/0182</t>
  </si>
  <si>
    <t>00/00/0183</t>
  </si>
  <si>
    <t>00/00/0184</t>
  </si>
  <si>
    <t>00/00/0185</t>
  </si>
  <si>
    <t>00/00/0186</t>
  </si>
  <si>
    <t>00/00/0187</t>
  </si>
  <si>
    <t>00/00/0188</t>
  </si>
  <si>
    <t>00/00/0189</t>
  </si>
  <si>
    <t>00/00/0190</t>
  </si>
  <si>
    <t>00/00/0191</t>
  </si>
  <si>
    <t>00/00/0192</t>
  </si>
  <si>
    <t>00/00/0193</t>
  </si>
  <si>
    <t>00/00/0194</t>
  </si>
  <si>
    <t>00/00/0195</t>
  </si>
  <si>
    <t>00/00/0196</t>
  </si>
  <si>
    <t>00/00/0197</t>
  </si>
  <si>
    <t>00/00/0198</t>
  </si>
  <si>
    <t>00/00/0199</t>
  </si>
  <si>
    <t>00/00/0200</t>
  </si>
  <si>
    <t>00/00/0201</t>
  </si>
  <si>
    <t>00/00/0202</t>
  </si>
  <si>
    <t>00/00/0203</t>
  </si>
  <si>
    <t>00/00/0204</t>
  </si>
  <si>
    <t>00/00/0205</t>
  </si>
  <si>
    <t>00/00/0206</t>
  </si>
  <si>
    <t>00/00/0207</t>
  </si>
  <si>
    <t>00/00/0208</t>
  </si>
  <si>
    <t>00/00/0209</t>
  </si>
  <si>
    <t>00/00/0210</t>
  </si>
  <si>
    <t>00/00/0211</t>
  </si>
  <si>
    <t>00/00/0212</t>
  </si>
  <si>
    <t>00/00/0213</t>
  </si>
  <si>
    <t>00/00/0214</t>
  </si>
  <si>
    <t>00/00/0215</t>
  </si>
  <si>
    <t>00/00/0216</t>
  </si>
  <si>
    <t>00/00/0217</t>
  </si>
  <si>
    <t>00/00/0218</t>
  </si>
  <si>
    <t>00/00/0219</t>
  </si>
  <si>
    <t>00/00/0220</t>
  </si>
  <si>
    <t>00/00/0221</t>
  </si>
  <si>
    <t>00/00/0222</t>
  </si>
  <si>
    <t>00/00/0223</t>
  </si>
  <si>
    <t>00/00/0224</t>
  </si>
  <si>
    <t>00/00/0225</t>
  </si>
  <si>
    <t>00/00/0226</t>
  </si>
  <si>
    <t>00/00/0227</t>
  </si>
  <si>
    <t>00/00/0228</t>
  </si>
  <si>
    <t>00/00/0229</t>
  </si>
  <si>
    <t>00/00/0230</t>
  </si>
  <si>
    <t>00/00/0231</t>
  </si>
  <si>
    <t>00/00/0232</t>
  </si>
  <si>
    <t>00/00/0233</t>
  </si>
  <si>
    <t>00/00/0234</t>
  </si>
  <si>
    <t>00/00/0235</t>
  </si>
  <si>
    <t>00/00/0236</t>
  </si>
  <si>
    <t>00/00/0237</t>
  </si>
  <si>
    <t>00/00/0238</t>
  </si>
  <si>
    <t>00/00/0239</t>
  </si>
  <si>
    <t>00/00/0240</t>
  </si>
  <si>
    <t>00/00/0241</t>
  </si>
  <si>
    <t>00/00/0242</t>
  </si>
  <si>
    <t>00/00/0243</t>
  </si>
  <si>
    <t>00/00/0244</t>
  </si>
  <si>
    <t>00/00/0245</t>
  </si>
  <si>
    <t>00/00/0246</t>
  </si>
  <si>
    <t>00/00/0247</t>
  </si>
  <si>
    <t>00/00/0248</t>
  </si>
  <si>
    <t>00/00/0249</t>
  </si>
  <si>
    <t>00/00/0250</t>
  </si>
  <si>
    <t>00/00/0251</t>
  </si>
  <si>
    <t>00/00/0252</t>
  </si>
  <si>
    <t>00/00/0253</t>
  </si>
  <si>
    <t>00/00/0254</t>
  </si>
  <si>
    <t>00/00/0255</t>
  </si>
  <si>
    <t>00/00/0256</t>
  </si>
  <si>
    <t>00/00/0257</t>
  </si>
  <si>
    <t>00/00/0258</t>
  </si>
  <si>
    <t>00/00/0259</t>
  </si>
  <si>
    <t>00/00/0260</t>
  </si>
  <si>
    <t>00/00/0261</t>
  </si>
  <si>
    <t>00/00/0262</t>
  </si>
  <si>
    <t>00/00/0263</t>
  </si>
  <si>
    <t>00/00/0264</t>
  </si>
  <si>
    <t>00/00/0265</t>
  </si>
  <si>
    <t>00/00/0266</t>
  </si>
  <si>
    <t>00/00/0267</t>
  </si>
  <si>
    <t>00/00/0268</t>
  </si>
  <si>
    <t>Satisfaction Surveys</t>
  </si>
  <si>
    <t>Apr</t>
  </si>
  <si>
    <t>Total Youth Satisfaction Surveys Administered</t>
  </si>
  <si>
    <t>Youth Satisfaction Survey Administered - Strongly agree</t>
  </si>
  <si>
    <t>Youth Satisfaction Survey Administered - Agree</t>
  </si>
  <si>
    <t xml:space="preserve">Youth Satisfaction Survey Administered - Undecided </t>
  </si>
  <si>
    <t>Youth Satisfaction Survey Administered - Disagree</t>
  </si>
  <si>
    <t>Youth Satisfaction Survey Administered - Strongly disagree</t>
  </si>
  <si>
    <t xml:space="preserve">Youth Satisfaction Survey Administered - Not age Appropriate </t>
  </si>
  <si>
    <t>Total Parent Satisfaction Surveys Administered</t>
  </si>
  <si>
    <t>Parent Satisfaction Survey Administered - Strongly agree</t>
  </si>
  <si>
    <t>Parent  Satisfaction Survey Administered - Agree</t>
  </si>
  <si>
    <t xml:space="preserve">Parent  Satisfaction Survey Administered - Undecided </t>
  </si>
  <si>
    <t>Parent  Satisfaction Survey Administered - Disagree</t>
  </si>
  <si>
    <t>Parent Satisfaction Survey Administered - Strongly disagree</t>
  </si>
  <si>
    <t xml:space="preserve">Parent Satisfaction Survey Administered - Not age Appropriate </t>
  </si>
  <si>
    <t>Tier 1 - Universal Prevention - All Students</t>
  </si>
  <si>
    <t xml:space="preserve"># of Prevention encounters </t>
  </si>
  <si>
    <t xml:space="preserve">Tier 2 - Early Intervention - Students at Risk </t>
  </si>
  <si>
    <t># of Early Intervention encounters</t>
  </si>
  <si>
    <t xml:space="preserve">Tier 3 - Intensive Intervention - Specialized/Individualized Services (i.e. Billable, Individual, Group &amp; Family Therapy) </t>
  </si>
  <si>
    <r>
      <rPr>
        <b/>
        <sz val="11"/>
        <color theme="1"/>
        <rFont val="Calibri"/>
        <family val="2"/>
        <scheme val="minor"/>
      </rPr>
      <t xml:space="preserve">Total Number to Date: </t>
    </r>
    <r>
      <rPr>
        <sz val="11"/>
        <color theme="1"/>
        <rFont val="Calibri"/>
        <family val="2"/>
        <scheme val="minor"/>
      </rPr>
      <t xml:space="preserve">                                                          </t>
    </r>
    <r>
      <rPr>
        <sz val="9"/>
        <color theme="1"/>
        <rFont val="Calibri"/>
        <family val="2"/>
        <scheme val="minor"/>
      </rPr>
      <t xml:space="preserve"> (this data set may obtain duplicate students)</t>
    </r>
  </si>
  <si>
    <t>American Indian</t>
  </si>
  <si>
    <t>Asian</t>
  </si>
  <si>
    <t>More than One Race</t>
  </si>
  <si>
    <t>Native Hawaiian</t>
  </si>
  <si>
    <t xml:space="preserve">Unknown </t>
  </si>
  <si>
    <t>Hispanic - Latino</t>
  </si>
  <si>
    <t>Origin Unknown</t>
  </si>
  <si>
    <t>AGES AT CASE OPEN</t>
  </si>
  <si>
    <t>M</t>
  </si>
  <si>
    <t>F</t>
  </si>
  <si>
    <t>O</t>
  </si>
  <si>
    <t>Age 0-4</t>
  </si>
  <si>
    <t>Age 5</t>
  </si>
  <si>
    <t>Age 6</t>
  </si>
  <si>
    <t>Age 7</t>
  </si>
  <si>
    <t>Age 8</t>
  </si>
  <si>
    <t>Age  9</t>
  </si>
  <si>
    <t>Age 10</t>
  </si>
  <si>
    <t>Age 11</t>
  </si>
  <si>
    <t>Age 12</t>
  </si>
  <si>
    <t>Age 13</t>
  </si>
  <si>
    <t>Age 14</t>
  </si>
  <si>
    <t>Age 15</t>
  </si>
  <si>
    <t>Age 16</t>
  </si>
  <si>
    <t>Age 17</t>
  </si>
  <si>
    <t>Age 18</t>
  </si>
  <si>
    <t>Age 19</t>
  </si>
  <si>
    <t>Insurance for Tier 3 students</t>
  </si>
  <si>
    <t>Tier 3 Students identified Pregnant</t>
  </si>
  <si>
    <t>Tier 3 Students identified LGTBQ</t>
  </si>
  <si>
    <t>Involvement with Juvenile Justice</t>
  </si>
  <si>
    <t># involved with juvenile justice at referral</t>
  </si>
  <si>
    <t># involved with juvenile justice at closure</t>
  </si>
  <si>
    <t>Non-Medicaid Only</t>
  </si>
  <si>
    <t>Both</t>
  </si>
  <si>
    <t>Private Pay</t>
  </si>
  <si>
    <t xml:space="preserve">Total </t>
  </si>
  <si>
    <t>Not Known</t>
  </si>
  <si>
    <t>Student's Living Living Arranagment</t>
  </si>
  <si>
    <t># at time of referral</t>
  </si>
  <si>
    <t># at time of closure</t>
  </si>
  <si>
    <t>Course Completion</t>
  </si>
  <si>
    <t>Total # to date</t>
  </si>
  <si>
    <t>Acute Hospital</t>
  </si>
  <si>
    <t>Graduated</t>
  </si>
  <si>
    <t>Dropped out of treatment</t>
  </si>
  <si>
    <t>Friend</t>
  </si>
  <si>
    <t>GED</t>
  </si>
  <si>
    <t>Graduated from school - refused to continue treatment</t>
  </si>
  <si>
    <t>Graduated modified diploma</t>
  </si>
  <si>
    <t>Moved to next grade</t>
  </si>
  <si>
    <t>Placed in juvenile detention center</t>
  </si>
  <si>
    <t>Homeless</t>
  </si>
  <si>
    <t>Retained</t>
  </si>
  <si>
    <t>Successfully completed treatment</t>
  </si>
  <si>
    <t>Dropped out</t>
  </si>
  <si>
    <t>Transferred to another agency</t>
  </si>
  <si>
    <t>Juvenile Detention Facility</t>
  </si>
  <si>
    <t>Transferred to more intenstive level of care</t>
  </si>
  <si>
    <t>PRTF</t>
  </si>
  <si>
    <t>Other</t>
  </si>
  <si>
    <t>Parental Refusal</t>
  </si>
  <si>
    <t>Relative</t>
  </si>
  <si>
    <t>Unknown</t>
  </si>
  <si>
    <t>Residential Treatment Facility</t>
  </si>
  <si>
    <t>Shelter</t>
  </si>
  <si>
    <t>Therapy Sessions</t>
  </si>
  <si>
    <t># Sessions</t>
  </si>
  <si>
    <t>September</t>
  </si>
  <si>
    <t>October</t>
  </si>
  <si>
    <t>November</t>
  </si>
  <si>
    <t>December</t>
  </si>
  <si>
    <t>January</t>
  </si>
  <si>
    <t>February</t>
  </si>
  <si>
    <t>Total to Date</t>
  </si>
  <si>
    <t>Behavioral Episodes</t>
  </si>
  <si>
    <t>Setup Tab</t>
  </si>
  <si>
    <t>Staff Interactions</t>
  </si>
  <si>
    <t>Events</t>
  </si>
  <si>
    <t>Month</t>
  </si>
  <si>
    <t>Year</t>
  </si>
  <si>
    <t>TFI</t>
  </si>
  <si>
    <t>StratPlan</t>
  </si>
  <si>
    <t>Grade</t>
  </si>
  <si>
    <t>LGBTQ</t>
  </si>
  <si>
    <t>SED</t>
  </si>
  <si>
    <t>Living_Arrangement</t>
  </si>
  <si>
    <t>Juvenile_Justice</t>
  </si>
  <si>
    <t>Course_Completion</t>
  </si>
  <si>
    <t>Case_Closure</t>
  </si>
  <si>
    <t>Interactions</t>
  </si>
  <si>
    <t>Interaction_Type</t>
  </si>
  <si>
    <t>Quarterly Leadership Meeting</t>
  </si>
  <si>
    <t>Parent Meeting/Consultation</t>
  </si>
  <si>
    <t>Other (Specify in Notes)</t>
  </si>
  <si>
    <t>Transferred to more intensive level of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</si>
</sst>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m/d/yy;@"/>
    <numFmt numFmtId="165" formatCode="m/d/yyyy;@"/>
    <numFmt numFmtId="166" formatCode="_(* #,##0.00_);_(* \(#,##0.00\);_(* \-??_);_(@_)"/>
    <numFmt numFmtId="167" formatCode="_(\$* #,##0.00_);_(\$* \(#,##0.00\);_(\$* \-??_);_(@_)"/>
  </numFmts>
  <fonts count="57"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b/>
      <sz val="12"/>
      <color theme="1"/>
      <name val="Calibri"/>
      <family val="2"/>
      <scheme val="minor"/>
    </font>
    <font>
      <sz val="8"/>
      <name val="Calibri"/>
      <family val="2"/>
      <scheme val="minor"/>
    </font>
    <font>
      <b/>
      <sz val="8"/>
      <name val="Calibri"/>
      <family val="2"/>
      <scheme val="minor"/>
    </font>
    <font>
      <sz val="9"/>
      <color theme="1"/>
      <name val="Calibri"/>
      <family val="2"/>
      <scheme val="minor"/>
    </font>
    <font>
      <b/>
      <sz val="14"/>
      <color theme="1"/>
      <name val="Calibri"/>
      <family val="2"/>
      <scheme val="minor"/>
    </font>
    <font>
      <sz val="8"/>
      <color theme="1"/>
      <name val="Calibri"/>
      <family val="2"/>
      <scheme val="minor"/>
    </font>
    <font>
      <b/>
      <sz val="11"/>
      <color rgb="FFFF0000"/>
      <name val="Calibri"/>
      <family val="2"/>
      <scheme val="minor"/>
    </font>
    <font>
      <b/>
      <sz val="12"/>
      <color rgb="FFFF0000"/>
      <name val="Calibri"/>
      <family val="2"/>
      <scheme val="minor"/>
    </font>
    <font>
      <b/>
      <sz val="11"/>
      <name val="Calibri"/>
      <family val="2"/>
      <scheme val="minor"/>
    </font>
    <font>
      <b/>
      <sz val="12"/>
      <name val="Calibri"/>
      <family val="2"/>
      <scheme val="minor"/>
    </font>
    <font>
      <b/>
      <sz val="10"/>
      <color theme="0"/>
      <name val="Calibri"/>
      <family val="2"/>
      <scheme val="minor"/>
    </font>
    <font>
      <b/>
      <sz val="7.5"/>
      <color theme="0"/>
      <name val="Calibri"/>
      <family val="2"/>
      <scheme val="minor"/>
    </font>
    <font>
      <sz val="7.5"/>
      <color theme="0"/>
      <name val="Calibri"/>
      <family val="2"/>
      <scheme val="minor"/>
    </font>
    <font>
      <b/>
      <sz val="8"/>
      <color theme="0"/>
      <name val="Calibri"/>
      <family val="2"/>
      <scheme val="minor"/>
    </font>
    <font>
      <b/>
      <sz val="14"/>
      <color rgb="FF0070C0"/>
      <name val="Calibri"/>
      <family val="2"/>
      <scheme val="minor"/>
    </font>
    <font>
      <sz val="11"/>
      <color rgb="FF0070C0"/>
      <name val="Calibri"/>
      <family val="2"/>
      <scheme val="minor"/>
    </font>
    <font>
      <sz val="11"/>
      <name val="Calibri"/>
      <family val="2"/>
      <scheme val="minor"/>
    </font>
    <font>
      <sz val="9"/>
      <color theme="0"/>
      <name val="Calibri"/>
      <family val="2"/>
      <scheme val="minor"/>
    </font>
    <font>
      <sz val="10"/>
      <color theme="0"/>
      <name val="Arial"/>
      <family val="2"/>
    </font>
    <font>
      <sz val="10"/>
      <color rgb="FF000000"/>
      <name val="Arial"/>
      <family val="2"/>
    </font>
    <font>
      <b/>
      <sz val="11"/>
      <color rgb="FF0070C0"/>
      <name val="Calibri"/>
      <family val="2"/>
      <scheme val="minor"/>
    </font>
    <font>
      <b/>
      <sz val="10"/>
      <color theme="0"/>
      <name val="Arial"/>
      <family val="2"/>
    </font>
    <font>
      <sz val="10"/>
      <name val="Arial"/>
      <family val="2"/>
    </font>
    <font>
      <sz val="8"/>
      <color rgb="FF000000"/>
      <name val="Arial"/>
      <family val="2"/>
    </font>
    <font>
      <sz val="8"/>
      <color rgb="FF0070C0"/>
      <name val="Calibri"/>
      <family val="2"/>
      <scheme val="minor"/>
    </font>
    <font>
      <b/>
      <sz val="10"/>
      <name val="Arial"/>
      <family val="2"/>
    </font>
    <font>
      <b/>
      <sz val="14"/>
      <name val="Calibri"/>
      <family val="2"/>
      <scheme val="minor"/>
    </font>
    <font>
      <sz val="7"/>
      <color theme="1"/>
      <name val="Calibri"/>
      <family val="2"/>
      <scheme val="minor"/>
    </font>
    <font>
      <b/>
      <sz val="16"/>
      <color rgb="FF002060"/>
      <name val="Calibri"/>
      <family val="2"/>
      <scheme val="minor"/>
    </font>
    <font>
      <b/>
      <sz val="8"/>
      <color rgb="FF002060"/>
      <name val="Calibri"/>
      <family val="2"/>
      <scheme val="minor"/>
    </font>
    <font>
      <b/>
      <sz val="8"/>
      <color theme="1"/>
      <name val="Calibri"/>
      <family val="2"/>
      <scheme val="minor"/>
    </font>
    <font>
      <b/>
      <sz val="16"/>
      <color theme="1"/>
      <name val="Calibri"/>
      <family val="2"/>
      <scheme val="minor"/>
    </font>
    <font>
      <b/>
      <sz val="16"/>
      <name val="Calibri"/>
      <family val="2"/>
      <scheme val="minor"/>
    </font>
    <font>
      <b/>
      <sz val="8"/>
      <color rgb="FFFF0000"/>
      <name val="Arial"/>
      <family val="2"/>
    </font>
    <font>
      <sz val="8"/>
      <color rgb="FFFF0000"/>
      <name val="Calibri"/>
      <family val="2"/>
      <scheme val="minor"/>
    </font>
    <font>
      <sz val="8"/>
      <color rgb="FF002060"/>
      <name val="Calibri"/>
      <family val="2"/>
      <scheme val="minor"/>
    </font>
    <font>
      <b/>
      <sz val="14"/>
      <color theme="0"/>
      <name val="Calibri"/>
      <family val="2"/>
      <scheme val="minor"/>
    </font>
    <font>
      <b/>
      <sz val="12"/>
      <color theme="0"/>
      <name val="Calibri"/>
      <family val="2"/>
      <scheme val="minor"/>
    </font>
    <font>
      <sz val="11"/>
      <color theme="1"/>
      <name val="Calibri"/>
      <family val="2"/>
      <scheme val="minor"/>
    </font>
    <font>
      <sz val="9"/>
      <name val="Calibri"/>
      <family val="2"/>
      <scheme val="minor"/>
    </font>
    <font>
      <sz val="10"/>
      <color indexed="8"/>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b/>
      <sz val="9"/>
      <name val="Calibri"/>
      <family val="2"/>
      <scheme val="minor"/>
    </font>
    <font>
      <b/>
      <sz val="16"/>
      <color theme="0"/>
      <name val="Calibri"/>
      <family val="2"/>
      <scheme val="minor"/>
    </font>
    <font>
      <sz val="8"/>
      <color theme="0"/>
      <name val="Calibri"/>
      <family val="2"/>
      <scheme val="minor"/>
    </font>
    <font>
      <sz val="16"/>
      <color theme="0" tint="-0.14999847407452621"/>
      <name val="Calibri"/>
      <family val="2"/>
      <scheme val="minor"/>
    </font>
    <font>
      <sz val="14"/>
      <color theme="1"/>
      <name val="Calibri"/>
      <family val="2"/>
      <scheme val="minor"/>
    </font>
    <font>
      <sz val="14"/>
      <color theme="0"/>
      <name val="Calibri"/>
      <family val="2"/>
      <scheme val="minor"/>
    </font>
  </fonts>
  <fills count="72">
    <fill>
      <patternFill patternType="none"/>
    </fill>
    <fill>
      <patternFill patternType="gray125"/>
    </fill>
    <fill>
      <patternFill patternType="solid">
        <fgColor rgb="FFFFFFCC"/>
        <bgColor indexed="64"/>
      </patternFill>
    </fill>
    <fill>
      <patternFill patternType="solid">
        <fgColor theme="1"/>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F9B277"/>
        <bgColor indexed="64"/>
      </patternFill>
    </fill>
    <fill>
      <patternFill patternType="solid">
        <fgColor theme="8" tint="-0.49998474074526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FFFF99"/>
        <bgColor indexed="64"/>
      </patternFill>
    </fill>
    <fill>
      <patternFill patternType="solid">
        <fgColor theme="5" tint="-0.499984740745262"/>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7" tint="0.79998168889431442"/>
        <bgColor indexed="64"/>
      </patternFill>
    </fill>
    <fill>
      <patternFill patternType="solid">
        <fgColor rgb="FFFFF2CC"/>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7" tint="0.39997558519241921"/>
        <bgColor indexed="64"/>
      </patternFill>
    </fill>
    <fill>
      <patternFill patternType="solid">
        <fgColor rgb="FFFF0000"/>
        <bgColor indexed="64"/>
      </patternFill>
    </fill>
    <fill>
      <patternFill patternType="solid">
        <fgColor rgb="FF6699FF"/>
        <bgColor indexed="64"/>
      </patternFill>
    </fill>
    <fill>
      <patternFill patternType="solid">
        <fgColor rgb="FF99CCFF"/>
        <bgColor indexed="64"/>
      </patternFill>
    </fill>
    <fill>
      <patternFill patternType="solid">
        <fgColor rgb="FFCCECFF"/>
        <bgColor indexed="64"/>
      </patternFill>
    </fill>
    <fill>
      <patternFill patternType="solid">
        <fgColor theme="4" tint="-0.249977111117893"/>
        <bgColor indexed="64"/>
      </patternFill>
    </fill>
    <fill>
      <patternFill patternType="solid">
        <fgColor theme="6" tint="-0.499984740745262"/>
        <bgColor indexed="64"/>
      </patternFill>
    </fill>
    <fill>
      <patternFill patternType="solid">
        <fgColor theme="1" tint="0.499984740745262"/>
        <bgColor indexed="64"/>
      </patternFill>
    </fill>
    <fill>
      <patternFill patternType="solid">
        <fgColor rgb="FFFF3300"/>
        <bgColor indexed="64"/>
      </patternFill>
    </fill>
    <fill>
      <patternFill patternType="solid">
        <fgColor theme="1" tint="0.34998626667073579"/>
        <bgColor indexed="64"/>
      </patternFill>
    </fill>
    <fill>
      <patternFill patternType="solid">
        <fgColor theme="6" tint="-0.249977111117893"/>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rgb="FFA8D7E2"/>
        <bgColor indexed="64"/>
      </patternFill>
    </fill>
    <fill>
      <patternFill patternType="solid">
        <fgColor rgb="FFFFCCFF"/>
        <bgColor indexed="64"/>
      </patternFill>
    </fill>
    <fill>
      <patternFill patternType="solid">
        <fgColor rgb="FF66FFFF"/>
        <bgColor indexed="64"/>
      </patternFill>
    </fill>
    <fill>
      <patternFill patternType="solid">
        <fgColor rgb="FFFF66FF"/>
        <bgColor indexed="64"/>
      </patternFill>
    </fill>
    <fill>
      <patternFill patternType="solid">
        <fgColor rgb="FFFF99FF"/>
        <bgColor indexed="64"/>
      </patternFill>
    </fill>
    <fill>
      <patternFill patternType="solid">
        <fgColor rgb="FF990099"/>
        <bgColor indexed="64"/>
      </patternFill>
    </fill>
    <fill>
      <patternFill patternType="solid">
        <fgColor rgb="FFFFFFFF"/>
        <bgColor indexed="64"/>
      </patternFill>
    </fill>
    <fill>
      <patternFill patternType="solid">
        <fgColor rgb="FF9933FF"/>
        <bgColor indexed="64"/>
      </patternFill>
    </fill>
    <fill>
      <patternFill patternType="solid">
        <fgColor rgb="FF9966FF"/>
        <bgColor indexed="64"/>
      </patternFill>
    </fill>
    <fill>
      <patternFill patternType="solid">
        <fgColor rgb="FF9999FF"/>
        <bgColor indexed="64"/>
      </patternFill>
    </fill>
    <fill>
      <patternFill patternType="solid">
        <fgColor rgb="FFCCCCFF"/>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0.89999084444715716"/>
        <bgColor indexed="64"/>
      </patternFill>
    </fill>
    <fill>
      <patternFill patternType="solid">
        <fgColor theme="3" tint="0.79998168889431442"/>
        <bgColor indexed="64"/>
      </patternFill>
    </fill>
    <fill>
      <patternFill patternType="solid">
        <fgColor rgb="FFFFC000"/>
        <bgColor indexed="64"/>
      </patternFill>
    </fill>
    <fill>
      <patternFill patternType="solid">
        <fgColor rgb="FF0070C0"/>
        <bgColor indexed="64"/>
      </patternFill>
    </fill>
    <fill>
      <patternFill patternType="solid">
        <fgColor theme="6" tint="0.39997558519241921"/>
        <bgColor indexed="64"/>
      </patternFill>
    </fill>
    <fill>
      <patternFill patternType="solid">
        <fgColor rgb="FF00FFFF"/>
        <bgColor indexed="64"/>
      </patternFill>
    </fill>
    <fill>
      <patternFill patternType="solid">
        <fgColor theme="0"/>
        <bgColor indexed="64"/>
      </patternFill>
    </fill>
  </fills>
  <borders count="1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right style="thin">
        <color auto="1"/>
      </right>
      <top style="double">
        <color auto="1"/>
      </top>
      <bottom/>
      <diagonal/>
    </border>
    <border>
      <left/>
      <right/>
      <top style="double">
        <color auto="1"/>
      </top>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thin">
        <color auto="1"/>
      </right>
      <top/>
      <bottom style="double">
        <color auto="1"/>
      </bottom>
      <diagonal/>
    </border>
    <border>
      <left style="thin">
        <color auto="1"/>
      </left>
      <right/>
      <top/>
      <bottom style="double">
        <color auto="1"/>
      </bottom>
      <diagonal/>
    </border>
    <border>
      <left/>
      <right style="thin">
        <color auto="1"/>
      </right>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n">
        <color auto="1"/>
      </right>
      <top style="thin">
        <color auto="1"/>
      </top>
      <bottom style="thick">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ck">
        <color auto="1"/>
      </top>
      <bottom style="medium">
        <color auto="1"/>
      </bottom>
      <diagonal/>
    </border>
    <border>
      <left style="thin">
        <color auto="1"/>
      </left>
      <right style="thin">
        <color auto="1"/>
      </right>
      <top style="thick">
        <color auto="1"/>
      </top>
      <bottom style="medium">
        <color auto="1"/>
      </bottom>
      <diagonal/>
    </border>
    <border>
      <left style="thin">
        <color auto="1"/>
      </left>
      <right style="medium">
        <color auto="1"/>
      </right>
      <top style="thick">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thick">
        <color auto="1"/>
      </top>
      <bottom style="medium">
        <color auto="1"/>
      </bottom>
      <diagonal/>
    </border>
    <border>
      <left style="medium">
        <color auto="1"/>
      </left>
      <right style="thick">
        <color auto="1"/>
      </right>
      <top style="medium">
        <color auto="1"/>
      </top>
      <bottom style="thin">
        <color auto="1"/>
      </bottom>
      <diagonal/>
    </border>
    <border>
      <left style="medium">
        <color auto="1"/>
      </left>
      <right style="thick">
        <color auto="1"/>
      </right>
      <top style="thin">
        <color auto="1"/>
      </top>
      <bottom style="thin">
        <color auto="1"/>
      </bottom>
      <diagonal/>
    </border>
    <border>
      <left style="medium">
        <color auto="1"/>
      </left>
      <right style="thick">
        <color auto="1"/>
      </right>
      <top style="thick">
        <color auto="1"/>
      </top>
      <bottom style="medium">
        <color auto="1"/>
      </bottom>
      <diagonal/>
    </border>
    <border>
      <left style="medium">
        <color auto="1"/>
      </left>
      <right style="thick">
        <color auto="1"/>
      </right>
      <top/>
      <bottom style="thin">
        <color auto="1"/>
      </bottom>
      <diagonal/>
    </border>
    <border>
      <left style="medium">
        <color auto="1"/>
      </left>
      <right style="thick">
        <color auto="1"/>
      </right>
      <top style="thin">
        <color auto="1"/>
      </top>
      <bottom style="thick">
        <color auto="1"/>
      </bottom>
      <diagonal/>
    </border>
    <border>
      <left style="thick">
        <color auto="1"/>
      </left>
      <right style="thin">
        <color auto="1"/>
      </right>
      <top style="medium">
        <color auto="1"/>
      </top>
      <bottom style="thick">
        <color auto="1"/>
      </bottom>
      <diagonal/>
    </border>
    <border>
      <left style="thin">
        <color auto="1"/>
      </left>
      <right style="thin">
        <color auto="1"/>
      </right>
      <top style="medium">
        <color auto="1"/>
      </top>
      <bottom style="thick">
        <color auto="1"/>
      </bottom>
      <diagonal/>
    </border>
    <border>
      <left style="thin">
        <color auto="1"/>
      </left>
      <right style="medium">
        <color auto="1"/>
      </right>
      <top style="medium">
        <color auto="1"/>
      </top>
      <bottom style="thick">
        <color auto="1"/>
      </bottom>
      <diagonal/>
    </border>
    <border>
      <left style="thick">
        <color auto="1"/>
      </left>
      <right/>
      <top/>
      <bottom style="thin">
        <color auto="1"/>
      </bottom>
      <diagonal/>
    </border>
    <border>
      <left style="thick">
        <color auto="1"/>
      </left>
      <right/>
      <top style="thin">
        <color auto="1"/>
      </top>
      <bottom style="thin">
        <color auto="1"/>
      </bottom>
      <diagonal/>
    </border>
    <border>
      <left style="thick">
        <color auto="1"/>
      </left>
      <right/>
      <top style="thin">
        <color auto="1"/>
      </top>
      <bottom/>
      <diagonal/>
    </border>
    <border>
      <left style="thick">
        <color auto="1"/>
      </left>
      <right/>
      <top style="medium">
        <color auto="1"/>
      </top>
      <bottom style="thick">
        <color auto="1"/>
      </bottom>
      <diagonal/>
    </border>
    <border>
      <left style="thick">
        <color auto="1"/>
      </left>
      <right/>
      <top style="thick">
        <color auto="1"/>
      </top>
      <bottom style="medium">
        <color auto="1"/>
      </bottom>
      <diagonal/>
    </border>
    <border>
      <left style="medium">
        <color auto="1"/>
      </left>
      <right style="thin">
        <color auto="1"/>
      </right>
      <top style="medium">
        <color auto="1"/>
      </top>
      <bottom style="thick">
        <color auto="1"/>
      </bottom>
      <diagonal/>
    </border>
    <border>
      <left style="thick">
        <color auto="1"/>
      </left>
      <right style="thin">
        <color auto="1"/>
      </right>
      <top/>
      <bottom style="medium">
        <color auto="1"/>
      </bottom>
      <diagonal/>
    </border>
    <border>
      <left style="thin">
        <color auto="1"/>
      </left>
      <right/>
      <top/>
      <bottom style="medium">
        <color auto="1"/>
      </bottom>
      <diagonal/>
    </border>
    <border>
      <left style="medium">
        <color auto="1"/>
      </left>
      <right style="thick">
        <color auto="1"/>
      </right>
      <top/>
      <bottom style="medium">
        <color auto="1"/>
      </bottom>
      <diagonal/>
    </border>
    <border>
      <left style="thick">
        <color auto="1"/>
      </left>
      <right/>
      <top/>
      <bottom style="medium">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ck">
        <color auto="1"/>
      </left>
      <right style="medium">
        <color auto="1"/>
      </right>
      <top style="thick">
        <color auto="1"/>
      </top>
      <bottom style="medium">
        <color auto="1"/>
      </bottom>
      <diagonal/>
    </border>
    <border>
      <left/>
      <right style="thin">
        <color auto="1"/>
      </right>
      <top style="medium">
        <color auto="1"/>
      </top>
      <bottom style="thin">
        <color auto="1"/>
      </bottom>
      <diagonal/>
    </border>
    <border>
      <left style="thick">
        <color auto="1"/>
      </left>
      <right style="medium">
        <color auto="1"/>
      </right>
      <top style="medium">
        <color auto="1"/>
      </top>
      <bottom style="thin">
        <color auto="1"/>
      </bottom>
      <diagonal/>
    </border>
    <border>
      <left style="thick">
        <color auto="1"/>
      </left>
      <right style="medium">
        <color auto="1"/>
      </right>
      <top style="thin">
        <color auto="1"/>
      </top>
      <bottom style="thin">
        <color auto="1"/>
      </bottom>
      <diagonal/>
    </border>
    <border>
      <left style="thick">
        <color auto="1"/>
      </left>
      <right style="medium">
        <color auto="1"/>
      </right>
      <top style="thin">
        <color auto="1"/>
      </top>
      <bottom style="thick">
        <color auto="1"/>
      </bottom>
      <diagonal/>
    </border>
    <border>
      <left/>
      <right style="thin">
        <color auto="1"/>
      </right>
      <top style="thick">
        <color auto="1"/>
      </top>
      <bottom style="medium">
        <color auto="1"/>
      </bottom>
      <diagonal/>
    </border>
    <border>
      <left style="thin">
        <color auto="1"/>
      </left>
      <right/>
      <top style="medium">
        <color auto="1"/>
      </top>
      <bottom style="thin">
        <color auto="1"/>
      </bottom>
      <diagonal/>
    </border>
    <border>
      <left/>
      <right/>
      <top style="medium">
        <color indexed="64"/>
      </top>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medium">
        <color indexed="64"/>
      </left>
      <right style="thick">
        <color auto="1"/>
      </right>
      <top style="medium">
        <color indexed="64"/>
      </top>
      <bottom style="medium">
        <color indexed="64"/>
      </bottom>
      <diagonal/>
    </border>
    <border>
      <left/>
      <right style="thick">
        <color auto="1"/>
      </right>
      <top/>
      <bottom/>
      <diagonal/>
    </border>
    <border>
      <left style="medium">
        <color indexed="64"/>
      </left>
      <right style="thick">
        <color auto="1"/>
      </right>
      <top style="medium">
        <color indexed="64"/>
      </top>
      <bottom/>
      <diagonal/>
    </border>
    <border>
      <left style="thin">
        <color auto="1"/>
      </left>
      <right/>
      <top/>
      <bottom style="thick">
        <color auto="1"/>
      </bottom>
      <diagonal/>
    </border>
    <border>
      <left/>
      <right/>
      <top/>
      <bottom style="thick">
        <color auto="1"/>
      </bottom>
      <diagonal/>
    </border>
    <border>
      <left/>
      <right style="thin">
        <color auto="1"/>
      </right>
      <top/>
      <bottom style="thick">
        <color auto="1"/>
      </bottom>
      <diagonal/>
    </border>
    <border>
      <left style="thin">
        <color auto="1"/>
      </left>
      <right style="thin">
        <color auto="1"/>
      </right>
      <top/>
      <bottom style="thick">
        <color auto="1"/>
      </bottom>
      <diagonal/>
    </border>
    <border>
      <left style="medium">
        <color auto="1"/>
      </left>
      <right style="thin">
        <color auto="1"/>
      </right>
      <top style="thick">
        <color auto="1"/>
      </top>
      <bottom style="thick">
        <color auto="1"/>
      </bottom>
      <diagonal/>
    </border>
    <border>
      <left/>
      <right/>
      <top style="thin">
        <color auto="1"/>
      </top>
      <bottom style="thick">
        <color auto="1"/>
      </bottom>
      <diagonal/>
    </border>
    <border>
      <left style="thin">
        <color auto="1"/>
      </left>
      <right/>
      <top style="double">
        <color auto="1"/>
      </top>
      <bottom style="thin">
        <color auto="1"/>
      </bottom>
      <diagonal/>
    </border>
    <border>
      <left style="medium">
        <color auto="1"/>
      </left>
      <right style="thin">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thin">
        <color auto="1"/>
      </right>
      <top style="double">
        <color auto="1"/>
      </top>
      <bottom style="thin">
        <color auto="1"/>
      </bottom>
      <diagonal/>
    </border>
    <border>
      <left style="thin">
        <color auto="1"/>
      </left>
      <right style="medium">
        <color auto="1"/>
      </right>
      <top style="medium">
        <color auto="1"/>
      </top>
      <bottom style="double">
        <color auto="1"/>
      </bottom>
      <diagonal/>
    </border>
    <border>
      <left style="thin">
        <color auto="1"/>
      </left>
      <right style="thin">
        <color auto="1"/>
      </right>
      <top style="medium">
        <color auto="1"/>
      </top>
      <bottom style="double">
        <color auto="1"/>
      </bottom>
      <diagonal/>
    </border>
    <border>
      <left/>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theme="0"/>
      </left>
      <right style="thin">
        <color auto="1"/>
      </right>
      <top style="thin">
        <color auto="1"/>
      </top>
      <bottom style="thin">
        <color auto="1"/>
      </bottom>
      <diagonal/>
    </border>
  </borders>
  <cellStyleXfs count="245">
    <xf numFmtId="0" fontId="0" fillId="0" borderId="0"/>
    <xf numFmtId="0" fontId="47" fillId="0" borderId="0" applyNumberFormat="0" applyFill="0" applyBorder="0" applyAlignment="0" applyProtection="0">
      <alignment vertical="top"/>
      <protection locked="0"/>
    </xf>
    <xf numFmtId="0" fontId="28" fillId="0" borderId="0"/>
    <xf numFmtId="0" fontId="48" fillId="0" borderId="0"/>
    <xf numFmtId="0" fontId="28" fillId="0" borderId="0"/>
    <xf numFmtId="0" fontId="46" fillId="0" borderId="0">
      <alignment vertical="top"/>
    </xf>
    <xf numFmtId="166" fontId="48" fillId="0" borderId="0"/>
    <xf numFmtId="167" fontId="48" fillId="0" borderId="0"/>
    <xf numFmtId="0" fontId="49" fillId="0" borderId="0"/>
    <xf numFmtId="0" fontId="50"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167" fontId="48" fillId="0" borderId="0"/>
    <xf numFmtId="9" fontId="48" fillId="0" borderId="0"/>
    <xf numFmtId="9" fontId="28"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8" fillId="0" borderId="0"/>
    <xf numFmtId="9" fontId="28"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28" fillId="0" borderId="0" applyFont="0" applyFill="0" applyBorder="0" applyAlignment="0" applyProtection="0"/>
    <xf numFmtId="44"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44" fontId="44" fillId="0" borderId="0" applyFont="0" applyFill="0" applyBorder="0" applyAlignment="0" applyProtection="0"/>
    <xf numFmtId="0" fontId="44" fillId="0" borderId="0"/>
    <xf numFmtId="9" fontId="44" fillId="0" borderId="0" applyFont="0" applyFill="0" applyBorder="0" applyAlignment="0" applyProtection="0"/>
    <xf numFmtId="0" fontId="47" fillId="0" borderId="0" applyNumberFormat="0" applyFill="0" applyBorder="0" applyAlignment="0" applyProtection="0">
      <alignment vertical="top"/>
      <protection locked="0"/>
    </xf>
  </cellStyleXfs>
  <cellXfs count="875">
    <xf numFmtId="0" fontId="0" fillId="0" borderId="0" xfId="0"/>
    <xf numFmtId="0" fontId="0" fillId="3" borderId="0" xfId="0" applyFill="1"/>
    <xf numFmtId="0" fontId="0" fillId="0" borderId="1" xfId="0" applyBorder="1"/>
    <xf numFmtId="1" fontId="0" fillId="0" borderId="0" xfId="0" applyNumberFormat="1"/>
    <xf numFmtId="0" fontId="0" fillId="16" borderId="0" xfId="0" applyFill="1" applyProtection="1">
      <protection locked="0"/>
    </xf>
    <xf numFmtId="0" fontId="0" fillId="17" borderId="32" xfId="0" applyFill="1" applyBorder="1" applyProtection="1">
      <protection locked="0"/>
    </xf>
    <xf numFmtId="0" fontId="0" fillId="17" borderId="33" xfId="0" applyFill="1" applyBorder="1" applyProtection="1">
      <protection locked="0"/>
    </xf>
    <xf numFmtId="0" fontId="0" fillId="0" borderId="0" xfId="0" applyFill="1"/>
    <xf numFmtId="0" fontId="5" fillId="0" borderId="15" xfId="0" applyFont="1" applyBorder="1" applyAlignment="1">
      <alignment horizontal="center"/>
    </xf>
    <xf numFmtId="0" fontId="5" fillId="0" borderId="14" xfId="0" applyFont="1" applyBorder="1"/>
    <xf numFmtId="0" fontId="5" fillId="0" borderId="11" xfId="0" applyFont="1" applyBorder="1"/>
    <xf numFmtId="0" fontId="0" fillId="0" borderId="14" xfId="0" applyBorder="1"/>
    <xf numFmtId="0" fontId="0" fillId="0" borderId="11" xfId="0" applyBorder="1"/>
    <xf numFmtId="0" fontId="9" fillId="20" borderId="22" xfId="0" applyFont="1" applyFill="1" applyBorder="1" applyAlignment="1" applyProtection="1">
      <alignment horizontal="center" wrapText="1"/>
      <protection locked="0"/>
    </xf>
    <xf numFmtId="0" fontId="9" fillId="20" borderId="1" xfId="0" applyFont="1" applyFill="1" applyBorder="1" applyAlignment="1" applyProtection="1">
      <alignment horizontal="center" wrapText="1"/>
      <protection locked="0"/>
    </xf>
    <xf numFmtId="0" fontId="9" fillId="20" borderId="27" xfId="0" applyFont="1" applyFill="1" applyBorder="1" applyAlignment="1" applyProtection="1">
      <alignment horizontal="center" wrapText="1"/>
      <protection locked="0"/>
    </xf>
    <xf numFmtId="0" fontId="9" fillId="26" borderId="22" xfId="0" applyFont="1" applyFill="1" applyBorder="1" applyAlignment="1" applyProtection="1">
      <alignment horizontal="center" wrapText="1"/>
      <protection locked="0"/>
    </xf>
    <xf numFmtId="0" fontId="9" fillId="26" borderId="1" xfId="0" applyFont="1" applyFill="1" applyBorder="1" applyAlignment="1" applyProtection="1">
      <alignment horizontal="center" wrapText="1"/>
      <protection locked="0"/>
    </xf>
    <xf numFmtId="0" fontId="9" fillId="26" borderId="27" xfId="0" applyFont="1" applyFill="1" applyBorder="1" applyAlignment="1" applyProtection="1">
      <alignment horizontal="center" wrapText="1"/>
      <protection locked="0"/>
    </xf>
    <xf numFmtId="0" fontId="2" fillId="7" borderId="11" xfId="0" applyFont="1" applyFill="1" applyBorder="1" applyAlignment="1" applyProtection="1">
      <alignment horizontal="center" vertical="center"/>
      <protection locked="0"/>
    </xf>
    <xf numFmtId="0" fontId="0" fillId="7" borderId="11" xfId="0" applyFill="1" applyBorder="1" applyAlignment="1" applyProtection="1">
      <alignment horizontal="center" vertical="center"/>
      <protection locked="0"/>
    </xf>
    <xf numFmtId="0" fontId="2" fillId="15" borderId="11" xfId="0" applyFont="1" applyFill="1" applyBorder="1" applyAlignment="1" applyProtection="1">
      <alignment horizontal="center" vertical="center"/>
      <protection locked="0"/>
    </xf>
    <xf numFmtId="0" fontId="0" fillId="15" borderId="11" xfId="0" applyFill="1" applyBorder="1" applyAlignment="1" applyProtection="1">
      <alignment horizontal="center" vertical="center"/>
      <protection locked="0"/>
    </xf>
    <xf numFmtId="0" fontId="2" fillId="7" borderId="1" xfId="0" applyFon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2" fillId="6" borderId="11" xfId="0" applyFont="1" applyFill="1" applyBorder="1" applyAlignment="1" applyProtection="1">
      <alignment horizontal="center" vertical="center"/>
      <protection locked="0"/>
    </xf>
    <xf numFmtId="0" fontId="0" fillId="6" borderId="11" xfId="0" applyFill="1" applyBorder="1" applyAlignment="1" applyProtection="1">
      <alignment horizontal="center" vertical="center"/>
      <protection locked="0"/>
    </xf>
    <xf numFmtId="0" fontId="2" fillId="5"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2" fillId="28" borderId="1" xfId="0" applyFont="1" applyFill="1" applyBorder="1" applyAlignment="1" applyProtection="1">
      <alignment horizontal="center" vertical="center"/>
      <protection locked="0"/>
    </xf>
    <xf numFmtId="0" fontId="0" fillId="28" borderId="1" xfId="0" applyFill="1" applyBorder="1" applyAlignment="1" applyProtection="1">
      <alignment horizontal="center" vertical="center"/>
      <protection locked="0"/>
    </xf>
    <xf numFmtId="0" fontId="2" fillId="29" borderId="1" xfId="0" applyFont="1" applyFill="1" applyBorder="1" applyAlignment="1" applyProtection="1">
      <alignment horizontal="center" vertical="center"/>
      <protection locked="0"/>
    </xf>
    <xf numFmtId="0" fontId="0" fillId="29" borderId="1" xfId="0" applyFill="1" applyBorder="1" applyAlignment="1" applyProtection="1">
      <alignment horizontal="center" vertical="center"/>
      <protection locked="0"/>
    </xf>
    <xf numFmtId="0" fontId="39" fillId="27" borderId="2" xfId="0" applyFont="1" applyFill="1" applyBorder="1" applyAlignment="1">
      <alignment horizontal="center" vertical="center" textRotation="90" wrapText="1"/>
    </xf>
    <xf numFmtId="0" fontId="35" fillId="15" borderId="1" xfId="0" applyFont="1" applyFill="1" applyBorder="1" applyAlignment="1">
      <alignment horizontal="center" vertical="center" textRotation="90" wrapText="1"/>
    </xf>
    <xf numFmtId="0" fontId="39" fillId="7" borderId="1" xfId="0" applyFont="1" applyFill="1" applyBorder="1" applyAlignment="1">
      <alignment horizontal="center" vertical="center" textRotation="90" wrapText="1"/>
    </xf>
    <xf numFmtId="0" fontId="35" fillId="7" borderId="1" xfId="0" applyFont="1" applyFill="1" applyBorder="1" applyAlignment="1">
      <alignment horizontal="center" vertical="center" textRotation="90" wrapText="1"/>
    </xf>
    <xf numFmtId="0" fontId="39" fillId="15" borderId="1" xfId="0" applyFont="1" applyFill="1" applyBorder="1" applyAlignment="1">
      <alignment horizontal="center" vertical="center" textRotation="90" wrapText="1"/>
    </xf>
    <xf numFmtId="0" fontId="39" fillId="6" borderId="1" xfId="0" applyFont="1" applyFill="1" applyBorder="1" applyAlignment="1">
      <alignment horizontal="center" vertical="center" textRotation="90" wrapText="1"/>
    </xf>
    <xf numFmtId="0" fontId="35" fillId="6" borderId="1" xfId="0" applyFont="1" applyFill="1" applyBorder="1" applyAlignment="1">
      <alignment horizontal="center" vertical="center" textRotation="90" wrapText="1"/>
    </xf>
    <xf numFmtId="0" fontId="39" fillId="5" borderId="1" xfId="0" applyFont="1" applyFill="1" applyBorder="1" applyAlignment="1">
      <alignment horizontal="center" vertical="center" textRotation="90" wrapText="1"/>
    </xf>
    <xf numFmtId="0" fontId="35" fillId="5" borderId="1" xfId="0" applyFont="1" applyFill="1" applyBorder="1" applyAlignment="1">
      <alignment horizontal="center" vertical="center" textRotation="90" wrapText="1"/>
    </xf>
    <xf numFmtId="0" fontId="39" fillId="28" borderId="1" xfId="0" applyFont="1" applyFill="1" applyBorder="1" applyAlignment="1">
      <alignment horizontal="center" vertical="center" textRotation="90" wrapText="1"/>
    </xf>
    <xf numFmtId="0" fontId="35" fillId="28" borderId="1" xfId="0" applyFont="1" applyFill="1" applyBorder="1" applyAlignment="1">
      <alignment horizontal="center" vertical="center" textRotation="90" wrapText="1"/>
    </xf>
    <xf numFmtId="0" fontId="39" fillId="29" borderId="1" xfId="0" applyFont="1" applyFill="1" applyBorder="1" applyAlignment="1">
      <alignment horizontal="center" vertical="center" textRotation="90" wrapText="1"/>
    </xf>
    <xf numFmtId="0" fontId="35" fillId="29" borderId="1" xfId="0" applyFont="1" applyFill="1" applyBorder="1" applyAlignment="1">
      <alignment horizontal="center" vertical="center" textRotation="90" wrapText="1"/>
    </xf>
    <xf numFmtId="165" fontId="11" fillId="15" borderId="11" xfId="0" applyNumberFormat="1" applyFont="1" applyFill="1" applyBorder="1" applyAlignment="1" applyProtection="1">
      <alignment horizontal="center" vertical="center" textRotation="90"/>
      <protection locked="0"/>
    </xf>
    <xf numFmtId="165" fontId="40" fillId="27" borderId="11" xfId="0" applyNumberFormat="1" applyFont="1" applyFill="1" applyBorder="1" applyAlignment="1" applyProtection="1">
      <alignment horizontal="center" vertical="center" textRotation="90"/>
      <protection locked="0"/>
    </xf>
    <xf numFmtId="0" fontId="35" fillId="27" borderId="1" xfId="0" applyFont="1" applyFill="1" applyBorder="1" applyAlignment="1">
      <alignment horizontal="center" vertical="center" textRotation="90" wrapText="1"/>
    </xf>
    <xf numFmtId="165" fontId="41" fillId="27" borderId="11" xfId="0" applyNumberFormat="1" applyFont="1" applyFill="1" applyBorder="1" applyAlignment="1" applyProtection="1">
      <alignment horizontal="center" vertical="center" textRotation="90"/>
      <protection locked="0"/>
    </xf>
    <xf numFmtId="1" fontId="0" fillId="8" borderId="1" xfId="0" applyNumberFormat="1" applyFill="1" applyBorder="1"/>
    <xf numFmtId="0" fontId="1" fillId="0" borderId="0" xfId="0" applyFont="1" applyFill="1" applyBorder="1" applyAlignment="1">
      <alignment wrapText="1"/>
    </xf>
    <xf numFmtId="1" fontId="0" fillId="8" borderId="11" xfId="0" applyNumberFormat="1" applyFill="1" applyBorder="1"/>
    <xf numFmtId="0" fontId="0" fillId="0" borderId="0" xfId="0" applyFont="1"/>
    <xf numFmtId="0" fontId="0" fillId="0" borderId="1" xfId="0" applyFont="1" applyBorder="1"/>
    <xf numFmtId="0" fontId="0" fillId="0" borderId="4" xfId="0" applyFont="1" applyBorder="1"/>
    <xf numFmtId="0" fontId="0" fillId="0" borderId="11" xfId="0" applyFont="1" applyBorder="1"/>
    <xf numFmtId="0" fontId="0" fillId="0" borderId="9" xfId="0" applyFont="1" applyBorder="1"/>
    <xf numFmtId="0" fontId="0" fillId="0" borderId="1" xfId="0" applyFont="1" applyFill="1" applyBorder="1"/>
    <xf numFmtId="0" fontId="1" fillId="40" borderId="0" xfId="0" applyFont="1" applyFill="1"/>
    <xf numFmtId="0" fontId="0" fillId="0" borderId="1" xfId="0" applyBorder="1" applyProtection="1">
      <protection locked="0"/>
    </xf>
    <xf numFmtId="0" fontId="0" fillId="0" borderId="11" xfId="0" applyBorder="1" applyProtection="1">
      <protection locked="0"/>
    </xf>
    <xf numFmtId="0" fontId="0" fillId="0" borderId="9" xfId="0" applyBorder="1" applyProtection="1">
      <protection locked="0"/>
    </xf>
    <xf numFmtId="0" fontId="0" fillId="0" borderId="4" xfId="0" applyBorder="1" applyProtection="1">
      <protection locked="0"/>
    </xf>
    <xf numFmtId="0" fontId="0" fillId="0" borderId="55" xfId="0" applyBorder="1" applyProtection="1">
      <protection locked="0"/>
    </xf>
    <xf numFmtId="0" fontId="0" fillId="0" borderId="51" xfId="0" applyBorder="1" applyProtection="1">
      <protection locked="0"/>
    </xf>
    <xf numFmtId="0" fontId="0" fillId="0" borderId="85" xfId="0" applyBorder="1" applyProtection="1">
      <protection locked="0"/>
    </xf>
    <xf numFmtId="0" fontId="0" fillId="0" borderId="84" xfId="0" applyBorder="1" applyProtection="1">
      <protection locked="0"/>
    </xf>
    <xf numFmtId="0" fontId="0" fillId="0" borderId="52" xfId="0" applyBorder="1" applyProtection="1">
      <protection locked="0"/>
    </xf>
    <xf numFmtId="0" fontId="0" fillId="0" borderId="89" xfId="0" applyBorder="1" applyProtection="1">
      <protection locked="0"/>
    </xf>
    <xf numFmtId="0" fontId="0" fillId="0" borderId="86" xfId="0" applyBorder="1" applyProtection="1">
      <protection locked="0"/>
    </xf>
    <xf numFmtId="0" fontId="0" fillId="0" borderId="2" xfId="0" applyBorder="1" applyProtection="1">
      <protection locked="0"/>
    </xf>
    <xf numFmtId="0" fontId="0" fillId="0" borderId="86" xfId="0" applyBorder="1" applyAlignment="1" applyProtection="1">
      <alignment wrapText="1"/>
      <protection locked="0"/>
    </xf>
    <xf numFmtId="0" fontId="0" fillId="0" borderId="87" xfId="0" applyBorder="1" applyAlignment="1" applyProtection="1">
      <alignment wrapText="1"/>
      <protection locked="0"/>
    </xf>
    <xf numFmtId="0" fontId="0" fillId="0" borderId="44" xfId="0" applyBorder="1" applyProtection="1">
      <protection locked="0"/>
    </xf>
    <xf numFmtId="0" fontId="0" fillId="0" borderId="42" xfId="0" applyBorder="1" applyProtection="1">
      <protection locked="0"/>
    </xf>
    <xf numFmtId="0" fontId="0" fillId="0" borderId="43" xfId="0" applyBorder="1" applyProtection="1">
      <protection locked="0"/>
    </xf>
    <xf numFmtId="1" fontId="0" fillId="10" borderId="11" xfId="0" applyNumberFormat="1" applyFill="1" applyBorder="1" applyProtection="1">
      <protection locked="0"/>
    </xf>
    <xf numFmtId="1" fontId="0" fillId="0" borderId="11" xfId="0" applyNumberFormat="1" applyBorder="1" applyProtection="1">
      <protection locked="0"/>
    </xf>
    <xf numFmtId="1" fontId="0" fillId="10" borderId="1" xfId="0" applyNumberFormat="1" applyFill="1" applyBorder="1" applyProtection="1">
      <protection locked="0"/>
    </xf>
    <xf numFmtId="1" fontId="0" fillId="0" borderId="1" xfId="0" applyNumberFormat="1" applyBorder="1" applyProtection="1">
      <protection locked="0"/>
    </xf>
    <xf numFmtId="1" fontId="0" fillId="20" borderId="11" xfId="0" applyNumberFormat="1" applyFill="1" applyBorder="1" applyProtection="1">
      <protection locked="0"/>
    </xf>
    <xf numFmtId="1" fontId="0" fillId="20" borderId="1" xfId="0" applyNumberFormat="1" applyFill="1" applyBorder="1" applyProtection="1">
      <protection locked="0"/>
    </xf>
    <xf numFmtId="0" fontId="1" fillId="35" borderId="0" xfId="0" applyFont="1" applyFill="1" applyBorder="1" applyAlignment="1">
      <alignment horizontal="center"/>
    </xf>
    <xf numFmtId="0" fontId="0" fillId="0" borderId="4" xfId="0" applyFont="1" applyFill="1" applyBorder="1"/>
    <xf numFmtId="0" fontId="0" fillId="0" borderId="10" xfId="0" applyFont="1" applyBorder="1"/>
    <xf numFmtId="0" fontId="0" fillId="0" borderId="2" xfId="0" applyFont="1" applyBorder="1"/>
    <xf numFmtId="0" fontId="0" fillId="0" borderId="1" xfId="0" applyFont="1" applyFill="1" applyBorder="1" applyAlignment="1">
      <alignment horizontal="center"/>
    </xf>
    <xf numFmtId="0" fontId="0" fillId="0" borderId="1" xfId="0" applyFont="1" applyBorder="1" applyAlignment="1">
      <alignment horizontal="center"/>
    </xf>
    <xf numFmtId="0" fontId="4" fillId="44" borderId="0" xfId="0" applyFont="1" applyFill="1"/>
    <xf numFmtId="0" fontId="0" fillId="17" borderId="90" xfId="0" applyFill="1" applyBorder="1" applyProtection="1">
      <protection locked="0"/>
    </xf>
    <xf numFmtId="0" fontId="0" fillId="3" borderId="0" xfId="0" applyFill="1" applyAlignment="1"/>
    <xf numFmtId="0" fontId="10" fillId="14" borderId="0" xfId="0" applyFont="1" applyFill="1" applyAlignment="1"/>
    <xf numFmtId="0" fontId="3" fillId="3" borderId="0" xfId="0" applyFont="1" applyFill="1" applyBorder="1" applyAlignment="1">
      <alignment vertical="center" wrapText="1"/>
    </xf>
    <xf numFmtId="0" fontId="4" fillId="31" borderId="0" xfId="0" applyFont="1" applyFill="1"/>
    <xf numFmtId="0" fontId="3" fillId="3" borderId="12" xfId="0" applyFont="1" applyFill="1" applyBorder="1" applyAlignment="1">
      <alignment vertical="center" wrapText="1"/>
    </xf>
    <xf numFmtId="0" fontId="42" fillId="31" borderId="0" xfId="0" applyFont="1" applyFill="1" applyAlignment="1"/>
    <xf numFmtId="0" fontId="0" fillId="3" borderId="12" xfId="0" applyFill="1" applyBorder="1" applyAlignment="1"/>
    <xf numFmtId="0" fontId="0" fillId="0" borderId="0" xfId="0"/>
    <xf numFmtId="0" fontId="0" fillId="14" borderId="0" xfId="0" applyFill="1"/>
    <xf numFmtId="0" fontId="7" fillId="15" borderId="1" xfId="0" applyFont="1" applyFill="1" applyBorder="1" applyAlignment="1" applyProtection="1">
      <alignment vertical="center" wrapText="1"/>
      <protection locked="0"/>
    </xf>
    <xf numFmtId="0" fontId="7" fillId="15" borderId="4" xfId="0" applyFont="1" applyFill="1" applyBorder="1" applyAlignment="1" applyProtection="1">
      <alignment vertical="center" wrapText="1"/>
      <protection locked="0"/>
    </xf>
    <xf numFmtId="0" fontId="7" fillId="18" borderId="27" xfId="0" applyFont="1" applyFill="1" applyBorder="1" applyAlignment="1" applyProtection="1">
      <alignment vertical="center" wrapText="1"/>
      <protection locked="0"/>
    </xf>
    <xf numFmtId="0" fontId="7" fillId="18" borderId="28" xfId="0" applyFont="1" applyFill="1" applyBorder="1" applyAlignment="1" applyProtection="1">
      <alignment vertical="center" wrapText="1"/>
      <protection locked="0"/>
    </xf>
    <xf numFmtId="0" fontId="45" fillId="16" borderId="1" xfId="0" applyFont="1" applyFill="1" applyBorder="1" applyAlignment="1">
      <alignment horizontal="center" vertical="center"/>
    </xf>
    <xf numFmtId="0" fontId="45" fillId="16" borderId="27" xfId="0" applyFont="1" applyFill="1" applyBorder="1" applyAlignment="1">
      <alignment horizontal="center" vertical="center"/>
    </xf>
    <xf numFmtId="0" fontId="9" fillId="24" borderId="22" xfId="0" applyFont="1" applyFill="1" applyBorder="1" applyAlignment="1" applyProtection="1">
      <alignment horizontal="center" wrapText="1"/>
    </xf>
    <xf numFmtId="0" fontId="45" fillId="24" borderId="1" xfId="0" applyFont="1" applyFill="1" applyBorder="1" applyAlignment="1" applyProtection="1">
      <alignment horizontal="center" wrapText="1"/>
    </xf>
    <xf numFmtId="0" fontId="9" fillId="24" borderId="1" xfId="0" applyFont="1" applyFill="1" applyBorder="1" applyAlignment="1" applyProtection="1">
      <alignment horizontal="center" wrapText="1"/>
    </xf>
    <xf numFmtId="0" fontId="9" fillId="24" borderId="27" xfId="0" applyFont="1" applyFill="1" applyBorder="1" applyAlignment="1" applyProtection="1">
      <alignment horizontal="center" wrapText="1"/>
    </xf>
    <xf numFmtId="0" fontId="0" fillId="0" borderId="5" xfId="0" applyFont="1" applyBorder="1"/>
    <xf numFmtId="0" fontId="0" fillId="49" borderId="6" xfId="0" applyFill="1" applyBorder="1" applyAlignment="1">
      <alignment horizontal="center" vertical="center"/>
    </xf>
    <xf numFmtId="0" fontId="0" fillId="49" borderId="7" xfId="0" applyFill="1" applyBorder="1" applyAlignment="1">
      <alignment horizontal="center" vertical="center"/>
    </xf>
    <xf numFmtId="0" fontId="0" fillId="3" borderId="0" xfId="0" applyFill="1" applyAlignment="1">
      <alignment horizontal="center" vertical="center"/>
    </xf>
    <xf numFmtId="0" fontId="0" fillId="49" borderId="0" xfId="0" applyFill="1" applyAlignment="1">
      <alignment horizontal="center" vertical="center"/>
    </xf>
    <xf numFmtId="0" fontId="22" fillId="0" borderId="1" xfId="0" applyFont="1" applyFill="1" applyBorder="1" applyAlignment="1">
      <alignment horizontal="center" vertical="center"/>
    </xf>
    <xf numFmtId="0" fontId="22" fillId="50" borderId="0" xfId="0" applyFont="1" applyFill="1" applyAlignment="1">
      <alignment horizontal="center"/>
    </xf>
    <xf numFmtId="0" fontId="22" fillId="51" borderId="0" xfId="0" applyFont="1" applyFill="1" applyAlignment="1">
      <alignment horizontal="center"/>
    </xf>
    <xf numFmtId="0" fontId="22" fillId="0" borderId="4" xfId="0" applyFont="1" applyFill="1" applyBorder="1" applyAlignment="1">
      <alignment horizontal="center" vertical="center"/>
    </xf>
    <xf numFmtId="0" fontId="7" fillId="53" borderId="22" xfId="0" applyFont="1" applyFill="1" applyBorder="1" applyAlignment="1">
      <alignment horizontal="left" vertical="center"/>
    </xf>
    <xf numFmtId="1" fontId="45" fillId="53" borderId="22" xfId="0" applyNumberFormat="1" applyFont="1" applyFill="1" applyBorder="1" applyAlignment="1" applyProtection="1">
      <alignment horizontal="center" vertical="center"/>
      <protection locked="0"/>
    </xf>
    <xf numFmtId="1" fontId="45" fillId="53" borderId="102" xfId="0" applyNumberFormat="1" applyFont="1" applyFill="1" applyBorder="1" applyAlignment="1" applyProtection="1">
      <alignment horizontal="center" vertical="center"/>
      <protection locked="0"/>
    </xf>
    <xf numFmtId="0" fontId="7" fillId="50" borderId="1" xfId="0" applyFont="1" applyFill="1" applyBorder="1" applyAlignment="1">
      <alignment horizontal="left" vertical="center"/>
    </xf>
    <xf numFmtId="1" fontId="45" fillId="50" borderId="1" xfId="0" applyNumberFormat="1" applyFont="1" applyFill="1" applyBorder="1" applyAlignment="1" applyProtection="1">
      <alignment horizontal="center" vertical="center"/>
      <protection locked="0"/>
    </xf>
    <xf numFmtId="1" fontId="45" fillId="50" borderId="4" xfId="0" applyNumberFormat="1" applyFont="1" applyFill="1" applyBorder="1" applyAlignment="1" applyProtection="1">
      <alignment horizontal="center" vertical="center"/>
      <protection locked="0"/>
    </xf>
    <xf numFmtId="1" fontId="23" fillId="54" borderId="105" xfId="0" applyNumberFormat="1" applyFont="1" applyFill="1" applyBorder="1" applyAlignment="1">
      <alignment horizontal="center" vertical="center"/>
    </xf>
    <xf numFmtId="1" fontId="23" fillId="54" borderId="53" xfId="0" applyNumberFormat="1" applyFont="1" applyFill="1" applyBorder="1" applyAlignment="1">
      <alignment horizontal="center" vertical="center"/>
    </xf>
    <xf numFmtId="1" fontId="23" fillId="54" borderId="103" xfId="0" applyNumberFormat="1" applyFont="1" applyFill="1" applyBorder="1" applyAlignment="1">
      <alignment horizontal="center" vertical="center"/>
    </xf>
    <xf numFmtId="0" fontId="7" fillId="55" borderId="15" xfId="0" applyFont="1" applyFill="1" applyBorder="1" applyAlignment="1">
      <alignment horizontal="left" vertical="center"/>
    </xf>
    <xf numFmtId="1" fontId="45" fillId="55" borderId="15" xfId="0" applyNumberFormat="1" applyFont="1" applyFill="1" applyBorder="1" applyAlignment="1" applyProtection="1">
      <alignment horizontal="center" vertical="center"/>
      <protection locked="0"/>
    </xf>
    <xf numFmtId="1" fontId="45" fillId="55" borderId="6" xfId="0" applyNumberFormat="1" applyFont="1" applyFill="1" applyBorder="1" applyAlignment="1" applyProtection="1">
      <alignment horizontal="center" vertical="center"/>
      <protection locked="0"/>
    </xf>
    <xf numFmtId="0" fontId="53" fillId="54" borderId="107" xfId="0" applyFont="1" applyFill="1" applyBorder="1" applyAlignment="1">
      <alignment horizontal="left" vertical="center"/>
    </xf>
    <xf numFmtId="1" fontId="23" fillId="54" borderId="107" xfId="0" applyNumberFormat="1" applyFont="1" applyFill="1" applyBorder="1" applyAlignment="1">
      <alignment horizontal="center" vertical="center"/>
    </xf>
    <xf numFmtId="1" fontId="23" fillId="54" borderId="106" xfId="0" applyNumberFormat="1" applyFont="1" applyFill="1" applyBorder="1" applyAlignment="1">
      <alignment horizontal="center" vertical="center"/>
    </xf>
    <xf numFmtId="1" fontId="45" fillId="57" borderId="22" xfId="0" applyNumberFormat="1" applyFont="1" applyFill="1" applyBorder="1" applyAlignment="1">
      <alignment horizontal="center" vertical="center"/>
    </xf>
    <xf numFmtId="1" fontId="45" fillId="58" borderId="1" xfId="0" applyNumberFormat="1" applyFont="1" applyFill="1" applyBorder="1" applyAlignment="1">
      <alignment horizontal="center" vertical="center"/>
    </xf>
    <xf numFmtId="1" fontId="45" fillId="59" borderId="15" xfId="0" applyNumberFormat="1" applyFont="1" applyFill="1" applyBorder="1" applyAlignment="1">
      <alignment horizontal="center" vertical="center"/>
    </xf>
    <xf numFmtId="1" fontId="45" fillId="57" borderId="22" xfId="0" applyNumberFormat="1" applyFont="1" applyFill="1" applyBorder="1" applyAlignment="1" applyProtection="1">
      <alignment horizontal="center" vertical="center"/>
      <protection locked="0"/>
    </xf>
    <xf numFmtId="1" fontId="45" fillId="58" borderId="1" xfId="0" applyNumberFormat="1" applyFont="1" applyFill="1" applyBorder="1" applyAlignment="1" applyProtection="1">
      <alignment horizontal="center" vertical="center"/>
      <protection locked="0"/>
    </xf>
    <xf numFmtId="1" fontId="45" fillId="59" borderId="15" xfId="0" applyNumberFormat="1" applyFont="1" applyFill="1" applyBorder="1" applyAlignment="1" applyProtection="1">
      <alignment horizontal="center" vertical="center"/>
      <protection locked="0"/>
    </xf>
    <xf numFmtId="1" fontId="23" fillId="56" borderId="107" xfId="0" applyNumberFormat="1" applyFont="1" applyFill="1" applyBorder="1" applyAlignment="1">
      <alignment horizontal="center" vertical="center"/>
    </xf>
    <xf numFmtId="1" fontId="45" fillId="57" borderId="22" xfId="0" applyNumberFormat="1" applyFont="1" applyFill="1" applyBorder="1" applyAlignment="1">
      <alignment horizontal="left" vertical="center"/>
    </xf>
    <xf numFmtId="1" fontId="45" fillId="58" borderId="1" xfId="0" applyNumberFormat="1" applyFont="1" applyFill="1" applyBorder="1" applyAlignment="1">
      <alignment horizontal="left" vertical="center"/>
    </xf>
    <xf numFmtId="1" fontId="45" fillId="59" borderId="15" xfId="0" applyNumberFormat="1" applyFont="1" applyFill="1" applyBorder="1" applyAlignment="1">
      <alignment horizontal="left" vertical="center"/>
    </xf>
    <xf numFmtId="1" fontId="23" fillId="56" borderId="107" xfId="0" applyNumberFormat="1" applyFont="1" applyFill="1" applyBorder="1" applyAlignment="1">
      <alignment horizontal="left" vertical="center"/>
    </xf>
    <xf numFmtId="0" fontId="0" fillId="0" borderId="7" xfId="0" applyFont="1" applyFill="1" applyBorder="1"/>
    <xf numFmtId="0" fontId="4" fillId="0" borderId="0" xfId="0" applyFont="1" applyFill="1" applyAlignment="1">
      <alignment wrapText="1"/>
    </xf>
    <xf numFmtId="0" fontId="19" fillId="12" borderId="11" xfId="0" applyFont="1" applyFill="1" applyBorder="1" applyAlignment="1">
      <alignment horizontal="center" vertical="center" wrapText="1"/>
    </xf>
    <xf numFmtId="0" fontId="4" fillId="12" borderId="0" xfId="0" applyFont="1" applyFill="1"/>
    <xf numFmtId="0" fontId="4" fillId="12" borderId="1" xfId="0" applyFont="1" applyFill="1" applyBorder="1" applyAlignment="1">
      <alignment horizontal="center" vertical="center"/>
    </xf>
    <xf numFmtId="0" fontId="4" fillId="12" borderId="0" xfId="0" applyFont="1" applyFill="1" applyAlignment="1">
      <alignment horizontal="center" vertical="center"/>
    </xf>
    <xf numFmtId="0" fontId="19" fillId="12" borderId="1" xfId="0" applyFont="1" applyFill="1" applyBorder="1" applyAlignment="1">
      <alignment horizontal="center" vertical="center" wrapText="1"/>
    </xf>
    <xf numFmtId="0" fontId="4" fillId="12" borderId="1" xfId="0" applyFont="1" applyFill="1" applyBorder="1"/>
    <xf numFmtId="0" fontId="4" fillId="9" borderId="0" xfId="0" applyFont="1" applyFill="1" applyAlignment="1">
      <alignment horizontal="center"/>
    </xf>
    <xf numFmtId="0" fontId="22" fillId="5" borderId="1" xfId="0" applyFont="1" applyFill="1" applyBorder="1" applyAlignment="1">
      <alignment horizontal="center" vertical="center"/>
    </xf>
    <xf numFmtId="0" fontId="22" fillId="5" borderId="4" xfId="0" applyFont="1" applyFill="1" applyBorder="1" applyAlignment="1">
      <alignment horizontal="center" vertical="center"/>
    </xf>
    <xf numFmtId="0" fontId="0" fillId="5" borderId="1" xfId="0" applyFill="1" applyBorder="1" applyProtection="1"/>
    <xf numFmtId="0" fontId="0" fillId="3" borderId="0" xfId="0" applyFill="1" applyProtection="1"/>
    <xf numFmtId="0" fontId="6" fillId="0" borderId="0" xfId="0" applyFont="1" applyAlignment="1">
      <alignment wrapText="1"/>
    </xf>
    <xf numFmtId="0" fontId="0" fillId="6" borderId="1" xfId="0" applyFill="1" applyBorder="1"/>
    <xf numFmtId="0" fontId="10" fillId="0" borderId="0" xfId="0" applyFont="1" applyFill="1" applyAlignment="1"/>
    <xf numFmtId="0" fontId="4" fillId="30" borderId="112" xfId="0" applyFont="1" applyFill="1" applyBorder="1"/>
    <xf numFmtId="0" fontId="4" fillId="30" borderId="11" xfId="0" applyFont="1" applyFill="1" applyBorder="1"/>
    <xf numFmtId="0" fontId="4" fillId="30" borderId="1" xfId="0" applyFont="1" applyFill="1" applyBorder="1"/>
    <xf numFmtId="0" fontId="4" fillId="30" borderId="15" xfId="0" applyFont="1" applyFill="1" applyBorder="1"/>
    <xf numFmtId="0" fontId="0" fillId="32" borderId="112" xfId="0" applyFill="1" applyBorder="1"/>
    <xf numFmtId="0" fontId="0" fillId="32" borderId="11" xfId="0" applyFill="1" applyBorder="1"/>
    <xf numFmtId="0" fontId="0" fillId="32" borderId="1" xfId="0" applyFill="1" applyBorder="1"/>
    <xf numFmtId="0" fontId="0" fillId="19" borderId="15" xfId="0" applyFill="1" applyBorder="1"/>
    <xf numFmtId="0" fontId="33" fillId="3" borderId="1" xfId="0" applyFont="1" applyFill="1" applyBorder="1"/>
    <xf numFmtId="0" fontId="0" fillId="13" borderId="112" xfId="0" applyFill="1" applyBorder="1" applyProtection="1">
      <protection locked="0"/>
    </xf>
    <xf numFmtId="0" fontId="0" fillId="13" borderId="52" xfId="0" applyFill="1" applyBorder="1" applyProtection="1">
      <protection locked="0"/>
    </xf>
    <xf numFmtId="0" fontId="0" fillId="13" borderId="1" xfId="0" applyFill="1" applyBorder="1" applyProtection="1">
      <protection locked="0"/>
    </xf>
    <xf numFmtId="0" fontId="0" fillId="13" borderId="15" xfId="0" applyFill="1" applyBorder="1" applyProtection="1">
      <protection locked="0"/>
    </xf>
    <xf numFmtId="0" fontId="0" fillId="20" borderId="112" xfId="0" applyFill="1" applyBorder="1" applyProtection="1">
      <protection locked="0"/>
    </xf>
    <xf numFmtId="0" fontId="0" fillId="20" borderId="11" xfId="0" applyFill="1" applyBorder="1" applyProtection="1">
      <protection locked="0"/>
    </xf>
    <xf numFmtId="0" fontId="0" fillId="20" borderId="1" xfId="0" applyFill="1" applyBorder="1" applyProtection="1">
      <protection locked="0"/>
    </xf>
    <xf numFmtId="0" fontId="0" fillId="0" borderId="0" xfId="0" applyProtection="1"/>
    <xf numFmtId="0" fontId="1" fillId="3" borderId="4" xfId="0" applyFont="1" applyFill="1" applyBorder="1" applyAlignment="1" applyProtection="1">
      <alignment horizontal="left"/>
    </xf>
    <xf numFmtId="0" fontId="1" fillId="3" borderId="3" xfId="0" applyFont="1" applyFill="1" applyBorder="1" applyAlignment="1" applyProtection="1">
      <alignment horizontal="left"/>
    </xf>
    <xf numFmtId="0" fontId="22" fillId="4" borderId="15" xfId="0" applyFont="1" applyFill="1" applyBorder="1" applyAlignment="1" applyProtection="1">
      <alignment horizontal="center" vertical="center" wrapText="1"/>
    </xf>
    <xf numFmtId="0" fontId="22" fillId="5" borderId="15" xfId="0" applyFont="1" applyFill="1" applyBorder="1" applyAlignment="1" applyProtection="1">
      <alignment horizontal="center" vertical="center" textRotation="90"/>
    </xf>
    <xf numFmtId="0" fontId="19" fillId="12" borderId="15" xfId="0" applyFont="1" applyFill="1" applyBorder="1" applyAlignment="1" applyProtection="1">
      <alignment horizontal="center" vertical="center" textRotation="90" wrapText="1"/>
    </xf>
    <xf numFmtId="0" fontId="8" fillId="4" borderId="15" xfId="0" applyFont="1" applyFill="1" applyBorder="1" applyAlignment="1" applyProtection="1">
      <alignment horizontal="center" vertical="center" textRotation="90" wrapText="1"/>
    </xf>
    <xf numFmtId="0" fontId="8" fillId="17" borderId="15" xfId="0" applyFont="1" applyFill="1" applyBorder="1" applyAlignment="1" applyProtection="1">
      <alignment horizontal="center" vertical="center" textRotation="90" wrapText="1"/>
    </xf>
    <xf numFmtId="0" fontId="8" fillId="17" borderId="6" xfId="0" applyFont="1" applyFill="1" applyBorder="1" applyAlignment="1" applyProtection="1">
      <alignment horizontal="center" vertical="center" textRotation="90" wrapText="1"/>
    </xf>
    <xf numFmtId="0" fontId="32" fillId="16" borderId="15" xfId="0" applyFont="1" applyFill="1" applyBorder="1" applyAlignment="1" applyProtection="1">
      <alignment horizontal="center" vertical="center" textRotation="90"/>
    </xf>
    <xf numFmtId="0" fontId="14" fillId="52" borderId="6" xfId="0" applyFont="1" applyFill="1" applyBorder="1" applyAlignment="1" applyProtection="1">
      <alignment horizontal="center" vertical="center"/>
    </xf>
    <xf numFmtId="0" fontId="8" fillId="52" borderId="6" xfId="0" applyFont="1" applyFill="1" applyBorder="1" applyAlignment="1" applyProtection="1">
      <alignment horizontal="center" vertical="center" textRotation="90" wrapText="1"/>
    </xf>
    <xf numFmtId="0" fontId="19" fillId="54" borderId="104" xfId="0" applyFont="1" applyFill="1" applyBorder="1" applyAlignment="1" applyProtection="1">
      <alignment horizontal="center" vertical="center" textRotation="90" wrapText="1"/>
    </xf>
    <xf numFmtId="0" fontId="1" fillId="56" borderId="27" xfId="0" applyFont="1" applyFill="1" applyBorder="1" applyAlignment="1" applyProtection="1">
      <alignment horizontal="center" vertical="center" wrapText="1"/>
    </xf>
    <xf numFmtId="0" fontId="19" fillId="56" borderId="27" xfId="0" applyFont="1" applyFill="1" applyBorder="1" applyAlignment="1" applyProtection="1">
      <alignment horizontal="center" vertical="center" textRotation="90" wrapText="1"/>
    </xf>
    <xf numFmtId="0" fontId="19" fillId="56" borderId="28" xfId="0" applyFont="1" applyFill="1" applyBorder="1" applyAlignment="1" applyProtection="1">
      <alignment horizontal="center" vertical="center" textRotation="90" wrapText="1"/>
    </xf>
    <xf numFmtId="0" fontId="19" fillId="22" borderId="15" xfId="0" applyFont="1" applyFill="1" applyBorder="1" applyAlignment="1" applyProtection="1">
      <alignment horizontal="center" vertical="center" textRotation="90" wrapText="1"/>
    </xf>
    <xf numFmtId="0" fontId="32" fillId="24" borderId="15" xfId="0" applyFont="1" applyFill="1" applyBorder="1" applyAlignment="1" applyProtection="1">
      <alignment horizontal="center" vertical="center" textRotation="90" wrapText="1"/>
    </xf>
    <xf numFmtId="0" fontId="14" fillId="23" borderId="15" xfId="0" applyFont="1" applyFill="1" applyBorder="1" applyAlignment="1" applyProtection="1">
      <alignment horizontal="center" vertical="center" wrapText="1"/>
    </xf>
    <xf numFmtId="0" fontId="14" fillId="46" borderId="15" xfId="0" applyFont="1" applyFill="1" applyBorder="1" applyAlignment="1" applyProtection="1">
      <alignment horizontal="center" vertical="center" wrapText="1"/>
    </xf>
    <xf numFmtId="0" fontId="14" fillId="47" borderId="15" xfId="0" applyFont="1" applyFill="1" applyBorder="1" applyAlignment="1" applyProtection="1">
      <alignment horizontal="center" vertical="center" wrapText="1"/>
    </xf>
    <xf numFmtId="0" fontId="8" fillId="19" borderId="15" xfId="0" applyFont="1" applyFill="1" applyBorder="1" applyAlignment="1" applyProtection="1">
      <alignment horizontal="center" vertical="center" textRotation="90" wrapText="1"/>
    </xf>
    <xf numFmtId="0" fontId="0" fillId="3" borderId="1" xfId="0" applyFill="1" applyBorder="1" applyProtection="1"/>
    <xf numFmtId="0" fontId="0" fillId="16" borderId="0" xfId="0" applyFill="1" applyProtection="1"/>
    <xf numFmtId="0" fontId="0" fillId="16" borderId="35" xfId="0" applyFill="1" applyBorder="1" applyProtection="1"/>
    <xf numFmtId="0" fontId="4" fillId="65" borderId="1" xfId="0" applyFont="1" applyFill="1" applyBorder="1" applyAlignment="1" applyProtection="1">
      <alignment horizontal="center"/>
    </xf>
    <xf numFmtId="0" fontId="0" fillId="3" borderId="0" xfId="0" applyFill="1" applyBorder="1" applyProtection="1"/>
    <xf numFmtId="0" fontId="0" fillId="20" borderId="47" xfId="0" applyFill="1" applyBorder="1" applyAlignment="1" applyProtection="1">
      <alignment horizontal="center" vertical="center"/>
    </xf>
    <xf numFmtId="0" fontId="0" fillId="0" borderId="47" xfId="0" applyBorder="1" applyAlignment="1" applyProtection="1">
      <alignment horizontal="center" vertical="center"/>
    </xf>
    <xf numFmtId="0" fontId="0" fillId="34" borderId="47" xfId="0" applyFill="1" applyBorder="1" applyAlignment="1" applyProtection="1">
      <alignment horizontal="center" vertical="center" wrapText="1"/>
    </xf>
    <xf numFmtId="0" fontId="6" fillId="32" borderId="47" xfId="0" applyFont="1" applyFill="1" applyBorder="1" applyAlignment="1" applyProtection="1">
      <alignment horizontal="center" vertical="center"/>
    </xf>
    <xf numFmtId="0" fontId="43" fillId="33" borderId="47" xfId="0" applyFont="1" applyFill="1" applyBorder="1" applyAlignment="1" applyProtection="1">
      <alignment horizontal="center" vertical="center"/>
    </xf>
    <xf numFmtId="1" fontId="0" fillId="34" borderId="11" xfId="0" applyNumberFormat="1" applyFill="1" applyBorder="1" applyProtection="1"/>
    <xf numFmtId="1" fontId="0" fillId="34" borderId="1" xfId="0" applyNumberFormat="1" applyFill="1" applyBorder="1" applyProtection="1"/>
    <xf numFmtId="0" fontId="0" fillId="10" borderId="47" xfId="0" applyFill="1" applyBorder="1" applyAlignment="1" applyProtection="1">
      <alignment horizontal="center" vertical="center"/>
    </xf>
    <xf numFmtId="0" fontId="0" fillId="8" borderId="47" xfId="0" applyFill="1" applyBorder="1" applyAlignment="1" applyProtection="1">
      <alignment horizontal="center" vertical="center" wrapText="1"/>
    </xf>
    <xf numFmtId="0" fontId="1" fillId="31" borderId="47" xfId="0" applyFont="1" applyFill="1" applyBorder="1" applyAlignment="1" applyProtection="1">
      <alignment horizontal="center" vertical="center"/>
    </xf>
    <xf numFmtId="0" fontId="1" fillId="30" borderId="47" xfId="0" applyFont="1" applyFill="1" applyBorder="1" applyAlignment="1" applyProtection="1">
      <alignment horizontal="center" vertical="center"/>
    </xf>
    <xf numFmtId="0" fontId="14" fillId="14" borderId="76" xfId="0" applyFont="1" applyFill="1" applyBorder="1" applyProtection="1"/>
    <xf numFmtId="0" fontId="0" fillId="0" borderId="14" xfId="0" applyBorder="1" applyProtection="1"/>
    <xf numFmtId="0" fontId="0" fillId="0" borderId="60" xfId="0" applyBorder="1" applyProtection="1"/>
    <xf numFmtId="0" fontId="0" fillId="0" borderId="77" xfId="0" applyBorder="1" applyProtection="1"/>
    <xf numFmtId="0" fontId="0" fillId="14" borderId="78" xfId="0" applyFill="1" applyBorder="1" applyProtection="1"/>
    <xf numFmtId="0" fontId="0" fillId="43" borderId="80" xfId="0" applyFill="1" applyBorder="1" applyProtection="1"/>
    <xf numFmtId="0" fontId="1" fillId="42" borderId="79" xfId="0" applyFont="1" applyFill="1" applyBorder="1" applyProtection="1"/>
    <xf numFmtId="0" fontId="0" fillId="0" borderId="59" xfId="0" applyBorder="1" applyProtection="1"/>
    <xf numFmtId="0" fontId="1" fillId="42" borderId="78" xfId="0" applyFont="1" applyFill="1" applyBorder="1" applyProtection="1"/>
    <xf numFmtId="0" fontId="0" fillId="0" borderId="70" xfId="0" applyBorder="1" applyProtection="1"/>
    <xf numFmtId="0" fontId="0" fillId="14" borderId="62" xfId="0" applyFill="1" applyBorder="1" applyProtection="1"/>
    <xf numFmtId="0" fontId="0" fillId="41" borderId="80" xfId="0" applyFill="1" applyBorder="1" applyProtection="1"/>
    <xf numFmtId="0" fontId="1" fillId="42" borderId="65" xfId="0" applyFont="1" applyFill="1" applyBorder="1" applyProtection="1"/>
    <xf numFmtId="0" fontId="0" fillId="0" borderId="71" xfId="0" applyBorder="1" applyProtection="1"/>
    <xf numFmtId="0" fontId="0" fillId="41" borderId="53" xfId="0" applyFill="1" applyBorder="1" applyProtection="1"/>
    <xf numFmtId="0" fontId="0" fillId="14" borderId="63" xfId="0" applyFill="1" applyBorder="1" applyProtection="1"/>
    <xf numFmtId="0" fontId="0" fillId="41" borderId="81" xfId="0" applyFill="1" applyBorder="1" applyProtection="1"/>
    <xf numFmtId="0" fontId="1" fillId="42" borderId="63" xfId="0" applyFont="1" applyFill="1" applyBorder="1" applyProtection="1"/>
    <xf numFmtId="0" fontId="0" fillId="0" borderId="71" xfId="0" applyFill="1" applyBorder="1" applyProtection="1"/>
    <xf numFmtId="0" fontId="0" fillId="0" borderId="72" xfId="0" applyBorder="1" applyProtection="1"/>
    <xf numFmtId="0" fontId="0" fillId="41" borderId="54" xfId="0" applyFill="1" applyBorder="1" applyProtection="1"/>
    <xf numFmtId="0" fontId="0" fillId="0" borderId="15" xfId="0" applyBorder="1" applyProtection="1"/>
    <xf numFmtId="0" fontId="0" fillId="0" borderId="6" xfId="0" applyBorder="1" applyProtection="1"/>
    <xf numFmtId="0" fontId="0" fillId="14" borderId="73" xfId="0" applyFill="1" applyBorder="1" applyProtection="1"/>
    <xf numFmtId="0" fontId="0" fillId="14" borderId="75" xfId="0" applyFill="1" applyBorder="1" applyProtection="1"/>
    <xf numFmtId="0" fontId="0" fillId="14" borderId="68" xfId="0" applyFill="1" applyBorder="1" applyProtection="1"/>
    <xf numFmtId="0" fontId="0" fillId="14" borderId="69" xfId="0" applyFill="1" applyBorder="1" applyProtection="1"/>
    <xf numFmtId="0" fontId="0" fillId="14" borderId="66" xfId="0" applyFill="1" applyBorder="1" applyProtection="1"/>
    <xf numFmtId="0" fontId="0" fillId="41" borderId="82" xfId="0" applyFill="1" applyBorder="1" applyProtection="1"/>
    <xf numFmtId="0" fontId="1" fillId="42" borderId="67" xfId="0" applyFont="1" applyFill="1" applyBorder="1" applyProtection="1"/>
    <xf numFmtId="0" fontId="1" fillId="42" borderId="68" xfId="0" applyFont="1" applyFill="1" applyBorder="1" applyProtection="1"/>
    <xf numFmtId="0" fontId="1" fillId="42" borderId="66" xfId="0" applyFont="1" applyFill="1" applyBorder="1" applyProtection="1"/>
    <xf numFmtId="0" fontId="0" fillId="14" borderId="83" xfId="0" applyFill="1" applyBorder="1" applyAlignment="1" applyProtection="1">
      <alignment wrapText="1"/>
    </xf>
    <xf numFmtId="0" fontId="0" fillId="0" borderId="88" xfId="0" applyBorder="1" applyAlignment="1" applyProtection="1">
      <alignment horizontal="center"/>
    </xf>
    <xf numFmtId="0" fontId="0" fillId="0" borderId="57" xfId="0" applyBorder="1" applyAlignment="1" applyProtection="1">
      <alignment horizontal="center"/>
    </xf>
    <xf numFmtId="0" fontId="0" fillId="0" borderId="58" xfId="0" applyBorder="1" applyAlignment="1" applyProtection="1">
      <alignment horizontal="center"/>
    </xf>
    <xf numFmtId="0" fontId="0" fillId="14" borderId="78" xfId="0" applyFill="1" applyBorder="1" applyAlignment="1" applyProtection="1">
      <alignment horizontal="center"/>
    </xf>
    <xf numFmtId="0" fontId="0" fillId="41" borderId="0" xfId="0" applyFill="1" applyProtection="1"/>
    <xf numFmtId="0" fontId="4" fillId="42" borderId="74" xfId="0" applyFont="1" applyFill="1" applyBorder="1" applyAlignment="1" applyProtection="1">
      <alignment wrapText="1"/>
    </xf>
    <xf numFmtId="0" fontId="0" fillId="0" borderId="56" xfId="0" applyBorder="1" applyAlignment="1" applyProtection="1">
      <alignment horizontal="center"/>
    </xf>
    <xf numFmtId="0" fontId="0" fillId="0" borderId="61" xfId="0" applyBorder="1" applyAlignment="1" applyProtection="1">
      <alignment horizontal="center"/>
    </xf>
    <xf numFmtId="0" fontId="1" fillId="42" borderId="64" xfId="0" applyFont="1" applyFill="1" applyBorder="1" applyAlignment="1" applyProtection="1">
      <alignment horizontal="center"/>
    </xf>
    <xf numFmtId="0" fontId="0" fillId="42" borderId="62" xfId="0" applyFill="1" applyBorder="1" applyProtection="1"/>
    <xf numFmtId="0" fontId="0" fillId="42" borderId="63" xfId="0" applyFill="1" applyBorder="1" applyProtection="1"/>
    <xf numFmtId="0" fontId="0" fillId="42" borderId="66" xfId="0" applyFill="1" applyBorder="1" applyProtection="1"/>
    <xf numFmtId="0" fontId="0" fillId="41" borderId="0" xfId="0" applyFill="1" applyProtection="1">
      <protection locked="0"/>
    </xf>
    <xf numFmtId="0" fontId="0" fillId="41" borderId="82" xfId="0" applyFill="1" applyBorder="1" applyProtection="1">
      <protection locked="0"/>
    </xf>
    <xf numFmtId="0" fontId="0" fillId="0" borderId="70" xfId="0" applyBorder="1" applyProtection="1">
      <protection locked="0"/>
    </xf>
    <xf numFmtId="0" fontId="0" fillId="0" borderId="71" xfId="0" applyBorder="1" applyProtection="1">
      <protection locked="0"/>
    </xf>
    <xf numFmtId="0" fontId="0" fillId="0" borderId="72" xfId="0" applyBorder="1" applyProtection="1">
      <protection locked="0"/>
    </xf>
    <xf numFmtId="0" fontId="1" fillId="9" borderId="7" xfId="0" applyFont="1" applyFill="1" applyBorder="1" applyAlignment="1" applyProtection="1">
      <alignment horizontal="center" vertical="center" wrapText="1"/>
    </xf>
    <xf numFmtId="0" fontId="14" fillId="18" borderId="15" xfId="0" applyFont="1" applyFill="1" applyBorder="1" applyAlignment="1" applyProtection="1">
      <alignment horizontal="center" vertical="center"/>
    </xf>
    <xf numFmtId="0" fontId="38" fillId="15" borderId="1" xfId="0" applyFont="1" applyFill="1" applyBorder="1" applyAlignment="1">
      <alignment horizontal="center"/>
    </xf>
    <xf numFmtId="0" fontId="6" fillId="15" borderId="27" xfId="0" applyFont="1" applyFill="1" applyBorder="1" applyAlignment="1">
      <alignment horizontal="center"/>
    </xf>
    <xf numFmtId="0" fontId="0" fillId="71" borderId="0" xfId="0" applyFill="1" applyProtection="1"/>
    <xf numFmtId="0" fontId="0" fillId="71" borderId="0" xfId="0" applyFill="1"/>
    <xf numFmtId="0" fontId="42" fillId="71" borderId="5" xfId="0" applyFont="1" applyFill="1" applyBorder="1" applyAlignment="1" applyProtection="1">
      <alignment wrapText="1"/>
    </xf>
    <xf numFmtId="0" fontId="1" fillId="71" borderId="0" xfId="0" applyFont="1" applyFill="1" applyBorder="1" applyAlignment="1">
      <alignment wrapText="1"/>
    </xf>
    <xf numFmtId="0" fontId="5" fillId="0" borderId="0" xfId="0" applyFont="1" applyBorder="1" applyAlignment="1">
      <alignment horizontal="center"/>
    </xf>
    <xf numFmtId="0" fontId="5" fillId="0" borderId="0" xfId="0" applyFont="1" applyBorder="1"/>
    <xf numFmtId="0" fontId="0" fillId="0" borderId="0" xfId="0" applyBorder="1"/>
    <xf numFmtId="0" fontId="5" fillId="0" borderId="15" xfId="0" applyFont="1" applyBorder="1"/>
    <xf numFmtId="0" fontId="0" fillId="17" borderId="34" xfId="0" applyFill="1" applyBorder="1" applyProtection="1">
      <protection locked="0"/>
    </xf>
    <xf numFmtId="0" fontId="0" fillId="17" borderId="35" xfId="0" applyFill="1" applyBorder="1" applyProtection="1">
      <protection locked="0"/>
    </xf>
    <xf numFmtId="0" fontId="0" fillId="16" borderId="38" xfId="0" applyFill="1" applyBorder="1" applyProtection="1"/>
    <xf numFmtId="0" fontId="0" fillId="16" borderId="0" xfId="0" applyFill="1" applyBorder="1" applyProtection="1"/>
    <xf numFmtId="0" fontId="0" fillId="16" borderId="39" xfId="0" applyFill="1" applyBorder="1" applyProtection="1"/>
    <xf numFmtId="0" fontId="0" fillId="17" borderId="31" xfId="0" applyFill="1" applyBorder="1" applyProtection="1">
      <protection locked="0"/>
    </xf>
    <xf numFmtId="0" fontId="0" fillId="0" borderId="0" xfId="0" applyAlignment="1">
      <alignment horizontal="left"/>
    </xf>
    <xf numFmtId="0" fontId="1" fillId="9" borderId="15" xfId="0" applyFont="1" applyFill="1" applyBorder="1" applyAlignment="1" applyProtection="1">
      <alignment horizontal="center" vertical="center" wrapText="1"/>
    </xf>
    <xf numFmtId="0" fontId="4" fillId="45" borderId="1" xfId="0" applyFont="1" applyFill="1" applyBorder="1" applyAlignment="1" applyProtection="1">
      <alignment horizontal="center"/>
    </xf>
    <xf numFmtId="0" fontId="56" fillId="9" borderId="0" xfId="0" applyFont="1" applyFill="1" applyAlignment="1">
      <alignment horizontal="left"/>
    </xf>
    <xf numFmtId="0" fontId="55" fillId="4" borderId="0" xfId="0" applyFont="1" applyFill="1" applyAlignment="1">
      <alignment horizontal="left"/>
    </xf>
    <xf numFmtId="0" fontId="0" fillId="0" borderId="0" xfId="0" applyAlignment="1">
      <alignment horizontal="left"/>
    </xf>
    <xf numFmtId="0" fontId="10" fillId="69" borderId="0" xfId="0" applyFont="1" applyFill="1" applyAlignment="1">
      <alignment horizontal="left"/>
    </xf>
    <xf numFmtId="0" fontId="10" fillId="70" borderId="0" xfId="0" applyFont="1" applyFill="1" applyAlignment="1">
      <alignment horizontal="left"/>
    </xf>
    <xf numFmtId="0" fontId="42" fillId="40" borderId="0" xfId="0" applyFont="1" applyFill="1" applyAlignment="1">
      <alignment horizontal="left" wrapText="1"/>
    </xf>
    <xf numFmtId="0" fontId="42" fillId="44" borderId="0" xfId="0" applyFont="1" applyFill="1" applyAlignment="1">
      <alignment horizontal="left"/>
    </xf>
    <xf numFmtId="0" fontId="3" fillId="0" borderId="0" xfId="0" applyFont="1" applyAlignment="1">
      <alignment horizontal="left"/>
    </xf>
    <xf numFmtId="0" fontId="42" fillId="35" borderId="0" xfId="0" applyFont="1" applyFill="1" applyAlignment="1">
      <alignment horizontal="left"/>
    </xf>
    <xf numFmtId="0" fontId="10" fillId="14" borderId="0" xfId="0" applyFont="1" applyFill="1" applyAlignment="1">
      <alignment horizontal="left"/>
    </xf>
    <xf numFmtId="0" fontId="42" fillId="31" borderId="0" xfId="0" applyFont="1" applyFill="1" applyAlignment="1">
      <alignment horizontal="left"/>
    </xf>
    <xf numFmtId="0" fontId="42" fillId="24" borderId="0" xfId="0" applyFont="1" applyFill="1" applyAlignment="1">
      <alignment horizontal="left"/>
    </xf>
    <xf numFmtId="0" fontId="0" fillId="66" borderId="32" xfId="0" applyFill="1" applyBorder="1" applyAlignment="1">
      <alignment horizontal="left" vertical="center" wrapText="1"/>
    </xf>
    <xf numFmtId="0" fontId="0" fillId="66" borderId="90" xfId="0" applyFill="1" applyBorder="1" applyAlignment="1">
      <alignment horizontal="left" vertical="center" wrapText="1"/>
    </xf>
    <xf numFmtId="0" fontId="0" fillId="66" borderId="33" xfId="0" applyFill="1" applyBorder="1" applyAlignment="1">
      <alignment horizontal="left" vertical="center" wrapText="1"/>
    </xf>
    <xf numFmtId="0" fontId="0" fillId="66" borderId="38" xfId="0" applyFill="1" applyBorder="1" applyAlignment="1">
      <alignment horizontal="left" vertical="center" wrapText="1"/>
    </xf>
    <xf numFmtId="0" fontId="0" fillId="66" borderId="0" xfId="0" applyFill="1" applyBorder="1" applyAlignment="1">
      <alignment horizontal="left" vertical="center" wrapText="1"/>
    </xf>
    <xf numFmtId="0" fontId="0" fillId="66" borderId="39" xfId="0" applyFill="1" applyBorder="1" applyAlignment="1">
      <alignment horizontal="left" vertical="center" wrapText="1"/>
    </xf>
    <xf numFmtId="0" fontId="0" fillId="66" borderId="36" xfId="0" applyFill="1" applyBorder="1" applyAlignment="1">
      <alignment horizontal="left" vertical="center" wrapText="1"/>
    </xf>
    <xf numFmtId="0" fontId="0" fillId="66" borderId="29" xfId="0" applyFill="1" applyBorder="1" applyAlignment="1">
      <alignment horizontal="left" vertical="center" wrapText="1"/>
    </xf>
    <xf numFmtId="0" fontId="0" fillId="66" borderId="37" xfId="0" applyFill="1" applyBorder="1" applyAlignment="1">
      <alignment horizontal="left" vertical="center" wrapText="1"/>
    </xf>
    <xf numFmtId="0" fontId="42" fillId="68" borderId="0" xfId="0" applyFont="1" applyFill="1" applyAlignment="1">
      <alignment horizontal="left"/>
    </xf>
    <xf numFmtId="0" fontId="10" fillId="25" borderId="1" xfId="0" applyFont="1" applyFill="1" applyBorder="1" applyAlignment="1">
      <alignment horizontal="left" wrapText="1"/>
    </xf>
    <xf numFmtId="0" fontId="6" fillId="67" borderId="32" xfId="0" applyFont="1" applyFill="1" applyBorder="1" applyAlignment="1">
      <alignment horizontal="left" vertical="center" wrapText="1"/>
    </xf>
    <xf numFmtId="0" fontId="6" fillId="67" borderId="90" xfId="0" applyFont="1" applyFill="1" applyBorder="1" applyAlignment="1">
      <alignment horizontal="left" vertical="center" wrapText="1"/>
    </xf>
    <xf numFmtId="0" fontId="6" fillId="67" borderId="33" xfId="0" applyFont="1" applyFill="1" applyBorder="1" applyAlignment="1">
      <alignment horizontal="left" vertical="center" wrapText="1"/>
    </xf>
    <xf numFmtId="0" fontId="6" fillId="67" borderId="38" xfId="0" applyFont="1" applyFill="1" applyBorder="1" applyAlignment="1">
      <alignment horizontal="left" vertical="center" wrapText="1"/>
    </xf>
    <xf numFmtId="0" fontId="6" fillId="67" borderId="0" xfId="0" applyFont="1" applyFill="1" applyBorder="1" applyAlignment="1">
      <alignment horizontal="left" vertical="center" wrapText="1"/>
    </xf>
    <xf numFmtId="0" fontId="6" fillId="67" borderId="39" xfId="0" applyFont="1" applyFill="1" applyBorder="1" applyAlignment="1">
      <alignment horizontal="left" vertical="center" wrapText="1"/>
    </xf>
    <xf numFmtId="0" fontId="6" fillId="67" borderId="36" xfId="0" applyFont="1" applyFill="1" applyBorder="1" applyAlignment="1">
      <alignment horizontal="left" vertical="center" wrapText="1"/>
    </xf>
    <xf numFmtId="0" fontId="6" fillId="67" borderId="29" xfId="0" applyFont="1" applyFill="1" applyBorder="1" applyAlignment="1">
      <alignment horizontal="left" vertical="center" wrapText="1"/>
    </xf>
    <xf numFmtId="0" fontId="6" fillId="67" borderId="37" xfId="0" applyFont="1" applyFill="1" applyBorder="1" applyAlignment="1">
      <alignment horizontal="left" vertical="center" wrapText="1"/>
    </xf>
    <xf numFmtId="0" fontId="10" fillId="34" borderId="7" xfId="0" applyFont="1" applyFill="1" applyBorder="1" applyAlignment="1">
      <alignment horizontal="center"/>
    </xf>
    <xf numFmtId="0" fontId="0" fillId="4" borderId="0" xfId="0" applyFill="1" applyAlignment="1">
      <alignment horizontal="left" vertical="center"/>
    </xf>
    <xf numFmtId="0" fontId="6" fillId="0" borderId="90" xfId="0" applyFont="1" applyBorder="1" applyAlignment="1">
      <alignment horizontal="center" vertical="center" wrapText="1"/>
    </xf>
    <xf numFmtId="0" fontId="6" fillId="0" borderId="5" xfId="0" applyFont="1" applyBorder="1" applyAlignment="1">
      <alignment horizontal="center" vertical="center" wrapText="1"/>
    </xf>
    <xf numFmtId="0" fontId="0" fillId="0" borderId="43" xfId="0" applyBorder="1" applyAlignment="1" applyProtection="1">
      <alignment horizontal="center"/>
      <protection locked="0"/>
    </xf>
    <xf numFmtId="0" fontId="0" fillId="0" borderId="101" xfId="0" applyBorder="1" applyAlignment="1" applyProtection="1">
      <alignment horizontal="center"/>
      <protection locked="0"/>
    </xf>
    <xf numFmtId="0" fontId="0" fillId="0" borderId="44" xfId="0" applyBorder="1" applyAlignment="1" applyProtection="1">
      <alignment horizontal="center"/>
      <protection locked="0"/>
    </xf>
    <xf numFmtId="0" fontId="0" fillId="0" borderId="4" xfId="0" applyFill="1" applyBorder="1" applyAlignment="1" applyProtection="1">
      <alignment horizontal="center"/>
      <protection locked="0"/>
    </xf>
    <xf numFmtId="0" fontId="0" fillId="0" borderId="3" xfId="0" applyFill="1" applyBorder="1" applyAlignment="1" applyProtection="1">
      <alignment horizontal="center"/>
      <protection locked="0"/>
    </xf>
    <xf numFmtId="0" fontId="0" fillId="0" borderId="2" xfId="0" applyFill="1" applyBorder="1" applyAlignment="1" applyProtection="1">
      <alignment horizontal="center"/>
      <protection locked="0"/>
    </xf>
    <xf numFmtId="0" fontId="0" fillId="48" borderId="1" xfId="0" applyFill="1" applyBorder="1" applyAlignment="1" applyProtection="1">
      <alignment horizontal="center"/>
    </xf>
    <xf numFmtId="0" fontId="0" fillId="27" borderId="1" xfId="0" applyFill="1" applyBorder="1" applyAlignment="1" applyProtection="1">
      <alignment horizontal="center"/>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 xfId="0" applyBorder="1" applyAlignment="1" applyProtection="1">
      <alignment horizontal="center"/>
      <protection locked="0"/>
    </xf>
    <xf numFmtId="0" fontId="0" fillId="27" borderId="4" xfId="0" applyFill="1" applyBorder="1" applyAlignment="1" applyProtection="1">
      <alignment horizontal="center"/>
    </xf>
    <xf numFmtId="0" fontId="0" fillId="27" borderId="3" xfId="0" applyFill="1" applyBorder="1" applyAlignment="1" applyProtection="1">
      <alignment horizontal="center"/>
    </xf>
    <xf numFmtId="0" fontId="0" fillId="27" borderId="2" xfId="0" applyFill="1" applyBorder="1" applyAlignment="1" applyProtection="1">
      <alignment horizontal="center"/>
    </xf>
    <xf numFmtId="0" fontId="0" fillId="48" borderId="4" xfId="0" applyFill="1" applyBorder="1" applyAlignment="1" applyProtection="1">
      <alignment horizontal="center"/>
    </xf>
    <xf numFmtId="0" fontId="0" fillId="48" borderId="3" xfId="0" applyFill="1" applyBorder="1" applyAlignment="1" applyProtection="1">
      <alignment horizontal="center"/>
    </xf>
    <xf numFmtId="0" fontId="0" fillId="48" borderId="2" xfId="0" applyFill="1" applyBorder="1" applyAlignment="1" applyProtection="1">
      <alignment horizontal="center"/>
    </xf>
    <xf numFmtId="0" fontId="13" fillId="2" borderId="6" xfId="0" applyFont="1" applyFill="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0" fillId="0" borderId="6" xfId="0" applyBorder="1" applyAlignment="1" applyProtection="1">
      <alignment horizontal="right" vertical="center"/>
    </xf>
    <xf numFmtId="0" fontId="0" fillId="0" borderId="7" xfId="0" applyBorder="1" applyAlignment="1" applyProtection="1">
      <alignment horizontal="right" vertical="center"/>
    </xf>
    <xf numFmtId="0" fontId="0" fillId="0" borderId="8" xfId="0" applyBorder="1" applyAlignment="1" applyProtection="1">
      <alignment horizontal="right"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32" fillId="36" borderId="4" xfId="0" applyFont="1" applyFill="1" applyBorder="1" applyAlignment="1" applyProtection="1">
      <alignment horizontal="center" wrapText="1"/>
    </xf>
    <xf numFmtId="0" fontId="14" fillId="36" borderId="3" xfId="0" applyFont="1" applyFill="1" applyBorder="1" applyAlignment="1" applyProtection="1">
      <alignment horizontal="center" wrapText="1"/>
    </xf>
    <xf numFmtId="0" fontId="14" fillId="36" borderId="2" xfId="0" applyFont="1" applyFill="1" applyBorder="1" applyAlignment="1" applyProtection="1">
      <alignment horizontal="center" wrapText="1"/>
    </xf>
    <xf numFmtId="0" fontId="14" fillId="7" borderId="4" xfId="0" applyFont="1" applyFill="1" applyBorder="1" applyAlignment="1" applyProtection="1">
      <alignment horizontal="left" wrapText="1"/>
    </xf>
    <xf numFmtId="0" fontId="14" fillId="7" borderId="3" xfId="0" applyFont="1" applyFill="1" applyBorder="1" applyAlignment="1" applyProtection="1">
      <alignment horizontal="left" wrapText="1"/>
    </xf>
    <xf numFmtId="0" fontId="14" fillId="7" borderId="2" xfId="0" applyFont="1" applyFill="1" applyBorder="1" applyAlignment="1" applyProtection="1">
      <alignment horizontal="left" wrapText="1"/>
    </xf>
    <xf numFmtId="0" fontId="12" fillId="2" borderId="6" xfId="0" applyFont="1" applyFill="1" applyBorder="1" applyAlignment="1" applyProtection="1">
      <alignment vertical="center"/>
    </xf>
    <xf numFmtId="0" fontId="12" fillId="2" borderId="7" xfId="0" applyFont="1" applyFill="1" applyBorder="1" applyAlignment="1" applyProtection="1">
      <alignment vertical="center"/>
    </xf>
    <xf numFmtId="0" fontId="12" fillId="2" borderId="8" xfId="0" applyFont="1" applyFill="1" applyBorder="1" applyAlignment="1" applyProtection="1">
      <alignment vertical="center"/>
    </xf>
    <xf numFmtId="0" fontId="0" fillId="37" borderId="4" xfId="0" applyFill="1" applyBorder="1" applyAlignment="1" applyProtection="1">
      <alignment horizontal="left"/>
    </xf>
    <xf numFmtId="0" fontId="0" fillId="37" borderId="3" xfId="0" applyFill="1" applyBorder="1" applyAlignment="1" applyProtection="1">
      <alignment horizontal="left"/>
    </xf>
    <xf numFmtId="0" fontId="0" fillId="37" borderId="2" xfId="0" applyFill="1" applyBorder="1" applyAlignment="1" applyProtection="1">
      <alignment horizontal="left"/>
    </xf>
    <xf numFmtId="0" fontId="0" fillId="0" borderId="9"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0" xfId="0" applyBorder="1" applyAlignment="1" applyProtection="1">
      <alignment horizontal="center"/>
      <protection locked="0"/>
    </xf>
    <xf numFmtId="0" fontId="0" fillId="6" borderId="1" xfId="0" applyFill="1" applyBorder="1" applyAlignment="1" applyProtection="1">
      <alignment horizontal="left"/>
      <protection locked="0"/>
    </xf>
    <xf numFmtId="0" fontId="10" fillId="4" borderId="0" xfId="0" applyFont="1" applyFill="1" applyAlignment="1" applyProtection="1">
      <alignment horizontal="center" vertical="center"/>
    </xf>
    <xf numFmtId="0" fontId="0" fillId="0" borderId="4" xfId="0" applyBorder="1" applyAlignment="1" applyProtection="1">
      <alignment horizontal="right"/>
    </xf>
    <xf numFmtId="0" fontId="0" fillId="0" borderId="3" xfId="0" applyBorder="1" applyAlignment="1" applyProtection="1">
      <alignment horizontal="right"/>
    </xf>
    <xf numFmtId="0" fontId="0" fillId="0" borderId="2" xfId="0" applyBorder="1" applyAlignment="1" applyProtection="1">
      <alignment horizontal="right"/>
    </xf>
    <xf numFmtId="0" fontId="0" fillId="5" borderId="4" xfId="0" applyFill="1" applyBorder="1" applyAlignment="1" applyProtection="1">
      <alignment horizontal="left"/>
      <protection locked="0"/>
    </xf>
    <xf numFmtId="0" fontId="0" fillId="5" borderId="3" xfId="0" applyFill="1" applyBorder="1" applyAlignment="1" applyProtection="1">
      <alignment horizontal="left"/>
      <protection locked="0"/>
    </xf>
    <xf numFmtId="0" fontId="0" fillId="5" borderId="2" xfId="0" applyFill="1" applyBorder="1" applyAlignment="1" applyProtection="1">
      <alignment horizontal="left"/>
      <protection locked="0"/>
    </xf>
    <xf numFmtId="0" fontId="0" fillId="5" borderId="1" xfId="0" applyFill="1" applyBorder="1" applyAlignment="1" applyProtection="1">
      <alignment horizontal="left"/>
      <protection locked="0"/>
    </xf>
    <xf numFmtId="0" fontId="0" fillId="6" borderId="4" xfId="0" applyFill="1" applyBorder="1" applyAlignment="1" applyProtection="1">
      <alignment horizontal="left"/>
      <protection locked="0"/>
    </xf>
    <xf numFmtId="0" fontId="0" fillId="6" borderId="3" xfId="0" applyFill="1" applyBorder="1" applyAlignment="1" applyProtection="1">
      <alignment horizontal="left"/>
      <protection locked="0"/>
    </xf>
    <xf numFmtId="0" fontId="0" fillId="6" borderId="2" xfId="0" applyFill="1" applyBorder="1" applyAlignment="1" applyProtection="1">
      <alignment horizontal="left"/>
      <protection locked="0"/>
    </xf>
    <xf numFmtId="0" fontId="0" fillId="0" borderId="9" xfId="0" applyBorder="1" applyAlignment="1" applyProtection="1">
      <alignment horizontal="right" vertical="center"/>
    </xf>
    <xf numFmtId="0" fontId="0" fillId="0" borderId="5" xfId="0" applyBorder="1" applyAlignment="1" applyProtection="1">
      <alignment horizontal="right" vertical="center"/>
    </xf>
    <xf numFmtId="0" fontId="0" fillId="0" borderId="10" xfId="0" applyBorder="1" applyAlignment="1" applyProtection="1">
      <alignment horizontal="right" vertical="center"/>
    </xf>
    <xf numFmtId="0" fontId="0" fillId="5" borderId="6"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8" xfId="0" applyFill="1" applyBorder="1" applyAlignment="1" applyProtection="1">
      <alignment horizontal="left" vertical="center"/>
      <protection locked="0"/>
    </xf>
    <xf numFmtId="0" fontId="0" fillId="5" borderId="9"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0" fillId="6" borderId="4" xfId="0" applyFill="1" applyBorder="1" applyAlignment="1" applyProtection="1">
      <alignment horizontal="center"/>
    </xf>
    <xf numFmtId="0" fontId="0" fillId="6" borderId="3" xfId="0" applyFill="1" applyBorder="1" applyAlignment="1" applyProtection="1">
      <alignment horizontal="center"/>
    </xf>
    <xf numFmtId="0" fontId="0" fillId="6" borderId="2" xfId="0" applyFill="1" applyBorder="1" applyAlignment="1" applyProtection="1">
      <alignment horizontal="center"/>
    </xf>
    <xf numFmtId="0" fontId="0" fillId="38" borderId="4" xfId="0" applyFill="1" applyBorder="1" applyAlignment="1" applyProtection="1">
      <alignment horizontal="center"/>
    </xf>
    <xf numFmtId="0" fontId="0" fillId="38" borderId="3" xfId="0" applyFill="1" applyBorder="1" applyAlignment="1" applyProtection="1">
      <alignment horizontal="center"/>
    </xf>
    <xf numFmtId="0" fontId="0" fillId="38" borderId="2" xfId="0" applyFill="1" applyBorder="1" applyAlignment="1" applyProtection="1">
      <alignment horizontal="center"/>
    </xf>
    <xf numFmtId="0" fontId="0" fillId="48" borderId="9" xfId="0" applyFill="1" applyBorder="1" applyAlignment="1" applyProtection="1">
      <alignment horizontal="center"/>
    </xf>
    <xf numFmtId="0" fontId="0" fillId="48" borderId="5" xfId="0" applyFill="1" applyBorder="1" applyAlignment="1" applyProtection="1">
      <alignment horizontal="center"/>
    </xf>
    <xf numFmtId="0" fontId="0" fillId="48" borderId="10" xfId="0" applyFill="1" applyBorder="1" applyAlignment="1" applyProtection="1">
      <alignment horizontal="center"/>
    </xf>
    <xf numFmtId="0" fontId="0" fillId="38" borderId="1" xfId="0" applyFill="1" applyBorder="1" applyAlignment="1" applyProtection="1">
      <alignment horizontal="center"/>
    </xf>
    <xf numFmtId="0" fontId="0" fillId="6" borderId="1" xfId="0" applyFill="1" applyBorder="1" applyAlignment="1" applyProtection="1">
      <alignment horizontal="center"/>
    </xf>
    <xf numFmtId="0" fontId="6" fillId="8" borderId="48" xfId="0" applyFont="1" applyFill="1" applyBorder="1" applyAlignment="1" applyProtection="1">
      <alignment horizontal="center" vertical="center"/>
    </xf>
    <xf numFmtId="0" fontId="6" fillId="8" borderId="49" xfId="0" applyFont="1" applyFill="1" applyBorder="1" applyAlignment="1" applyProtection="1">
      <alignment horizontal="center" vertical="center"/>
    </xf>
    <xf numFmtId="0" fontId="6" fillId="8" borderId="97" xfId="0" applyFont="1" applyFill="1" applyBorder="1" applyAlignment="1" applyProtection="1">
      <alignment horizontal="center" vertical="center"/>
    </xf>
    <xf numFmtId="0" fontId="6" fillId="8" borderId="50" xfId="0" applyFont="1" applyFill="1" applyBorder="1" applyAlignment="1" applyProtection="1">
      <alignment horizontal="center" vertical="center"/>
    </xf>
    <xf numFmtId="0" fontId="6" fillId="10" borderId="48" xfId="0" applyFont="1" applyFill="1" applyBorder="1" applyAlignment="1" applyProtection="1">
      <alignment horizontal="center"/>
    </xf>
    <xf numFmtId="0" fontId="6" fillId="10" borderId="49" xfId="0" applyFont="1" applyFill="1" applyBorder="1" applyAlignment="1" applyProtection="1">
      <alignment horizontal="center"/>
    </xf>
    <xf numFmtId="0" fontId="6" fillId="10" borderId="50" xfId="0" applyFont="1" applyFill="1" applyBorder="1" applyAlignment="1" applyProtection="1">
      <alignment horizontal="center"/>
    </xf>
    <xf numFmtId="0" fontId="0" fillId="0" borderId="15" xfId="0" applyBorder="1" applyAlignment="1" applyProtection="1">
      <alignment horizontal="center"/>
      <protection locked="0"/>
    </xf>
    <xf numFmtId="0" fontId="0" fillId="37" borderId="1" xfId="0" applyFill="1" applyBorder="1" applyAlignment="1" applyProtection="1">
      <alignment horizontal="left"/>
    </xf>
    <xf numFmtId="0" fontId="6" fillId="15" borderId="4" xfId="0" applyFont="1" applyFill="1" applyBorder="1" applyAlignment="1">
      <alignment horizontal="center"/>
    </xf>
    <xf numFmtId="0" fontId="6" fillId="15" borderId="3" xfId="0" applyFont="1" applyFill="1" applyBorder="1" applyAlignment="1">
      <alignment horizontal="center"/>
    </xf>
    <xf numFmtId="0" fontId="6" fillId="15" borderId="2" xfId="0" applyFont="1" applyFill="1" applyBorder="1" applyAlignment="1">
      <alignment horizontal="center"/>
    </xf>
    <xf numFmtId="0" fontId="15" fillId="4" borderId="4" xfId="0" applyFont="1" applyFill="1" applyBorder="1" applyAlignment="1">
      <alignment horizontal="center"/>
    </xf>
    <xf numFmtId="0" fontId="15" fillId="4" borderId="3" xfId="0" applyFont="1" applyFill="1" applyBorder="1" applyAlignment="1">
      <alignment horizontal="center"/>
    </xf>
    <xf numFmtId="0" fontId="15" fillId="4" borderId="2" xfId="0" applyFont="1" applyFill="1" applyBorder="1" applyAlignment="1">
      <alignment horizontal="center"/>
    </xf>
    <xf numFmtId="0" fontId="15" fillId="5" borderId="4" xfId="0" applyFont="1" applyFill="1" applyBorder="1" applyAlignment="1">
      <alignment horizontal="center" wrapText="1"/>
    </xf>
    <xf numFmtId="0" fontId="15" fillId="5" borderId="3" xfId="0" applyFont="1" applyFill="1" applyBorder="1" applyAlignment="1">
      <alignment horizontal="center" wrapText="1"/>
    </xf>
    <xf numFmtId="0" fontId="15" fillId="5" borderId="2" xfId="0" applyFont="1" applyFill="1" applyBorder="1" applyAlignment="1">
      <alignment horizontal="center" wrapText="1"/>
    </xf>
    <xf numFmtId="0" fontId="15" fillId="6" borderId="4" xfId="0" applyFont="1" applyFill="1" applyBorder="1" applyAlignment="1">
      <alignment horizontal="center"/>
    </xf>
    <xf numFmtId="0" fontId="15" fillId="6" borderId="3" xfId="0" applyFont="1" applyFill="1" applyBorder="1" applyAlignment="1">
      <alignment horizontal="center"/>
    </xf>
    <xf numFmtId="0" fontId="15" fillId="6" borderId="2" xfId="0" applyFont="1" applyFill="1" applyBorder="1" applyAlignment="1">
      <alignment horizontal="center"/>
    </xf>
    <xf numFmtId="0" fontId="12" fillId="2" borderId="6" xfId="0" applyFont="1" applyFill="1" applyBorder="1" applyAlignment="1">
      <alignment vertical="center"/>
    </xf>
    <xf numFmtId="0" fontId="12" fillId="2" borderId="7" xfId="0" applyFont="1" applyFill="1" applyBorder="1" applyAlignment="1">
      <alignment vertical="center"/>
    </xf>
    <xf numFmtId="0" fontId="12" fillId="2" borderId="8" xfId="0" applyFont="1" applyFill="1" applyBorder="1" applyAlignment="1">
      <alignment vertical="center"/>
    </xf>
    <xf numFmtId="0" fontId="13" fillId="2" borderId="6" xfId="0" applyFont="1" applyFill="1" applyBorder="1" applyAlignment="1" applyProtection="1">
      <alignment horizontal="center" vertical="center"/>
    </xf>
    <xf numFmtId="0" fontId="13" fillId="2" borderId="7" xfId="0" applyFont="1" applyFill="1" applyBorder="1" applyAlignment="1" applyProtection="1">
      <alignment horizontal="center" vertical="center"/>
    </xf>
    <xf numFmtId="0" fontId="13" fillId="2" borderId="8" xfId="0" applyFont="1" applyFill="1" applyBorder="1" applyAlignment="1" applyProtection="1">
      <alignment horizontal="center"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8" xfId="0" applyBorder="1" applyAlignment="1">
      <alignment horizontal="right" vertical="center"/>
    </xf>
    <xf numFmtId="0" fontId="0" fillId="5" borderId="6" xfId="0" applyFill="1" applyBorder="1" applyAlignment="1" applyProtection="1">
      <alignment horizontal="left" vertical="center" wrapText="1"/>
    </xf>
    <xf numFmtId="0" fontId="0" fillId="5" borderId="7" xfId="0" applyFill="1" applyBorder="1" applyAlignment="1" applyProtection="1">
      <alignment horizontal="left" vertical="center" wrapText="1"/>
    </xf>
    <xf numFmtId="0" fontId="0" fillId="5" borderId="8" xfId="0" applyFill="1" applyBorder="1" applyAlignment="1" applyProtection="1">
      <alignment horizontal="left" vertical="center" wrapText="1"/>
    </xf>
    <xf numFmtId="0" fontId="14" fillId="7" borderId="4" xfId="0" applyFont="1" applyFill="1" applyBorder="1" applyAlignment="1">
      <alignment horizontal="left" wrapText="1"/>
    </xf>
    <xf numFmtId="0" fontId="14" fillId="7" borderId="3" xfId="0" applyFont="1" applyFill="1" applyBorder="1" applyAlignment="1">
      <alignment horizontal="left" wrapText="1"/>
    </xf>
    <xf numFmtId="0" fontId="14" fillId="7" borderId="2" xfId="0" applyFont="1" applyFill="1" applyBorder="1" applyAlignment="1">
      <alignment horizontal="left" wrapText="1"/>
    </xf>
    <xf numFmtId="0" fontId="10" fillId="4" borderId="0" xfId="0" applyFont="1" applyFill="1" applyAlignment="1">
      <alignment horizontal="center" vertical="center"/>
    </xf>
    <xf numFmtId="0" fontId="0" fillId="0" borderId="4" xfId="0" applyBorder="1" applyAlignment="1">
      <alignment horizontal="right"/>
    </xf>
    <xf numFmtId="0" fontId="0" fillId="0" borderId="3" xfId="0" applyBorder="1" applyAlignment="1">
      <alignment horizontal="right"/>
    </xf>
    <xf numFmtId="0" fontId="0" fillId="0" borderId="2" xfId="0" applyBorder="1" applyAlignment="1">
      <alignment horizontal="right"/>
    </xf>
    <xf numFmtId="0" fontId="0" fillId="5" borderId="4" xfId="0" applyFill="1" applyBorder="1" applyAlignment="1" applyProtection="1">
      <alignment horizontal="left"/>
    </xf>
    <xf numFmtId="0" fontId="0" fillId="5" borderId="3" xfId="0" applyFill="1" applyBorder="1" applyAlignment="1" applyProtection="1">
      <alignment horizontal="left"/>
    </xf>
    <xf numFmtId="0" fontId="0" fillId="5" borderId="2" xfId="0" applyFill="1" applyBorder="1" applyAlignment="1" applyProtection="1">
      <alignment horizontal="left"/>
    </xf>
    <xf numFmtId="0" fontId="0" fillId="5" borderId="1" xfId="0" applyFill="1" applyBorder="1" applyAlignment="1" applyProtection="1">
      <alignment horizontal="left"/>
    </xf>
    <xf numFmtId="0" fontId="0" fillId="6" borderId="4" xfId="0" applyFill="1" applyBorder="1" applyAlignment="1" applyProtection="1">
      <alignment horizontal="left"/>
    </xf>
    <xf numFmtId="0" fontId="0" fillId="6" borderId="3" xfId="0" applyFill="1" applyBorder="1" applyAlignment="1" applyProtection="1">
      <alignment horizontal="left"/>
    </xf>
    <xf numFmtId="0" fontId="0" fillId="6" borderId="2" xfId="0" applyFill="1" applyBorder="1" applyAlignment="1" applyProtection="1">
      <alignment horizontal="left"/>
    </xf>
    <xf numFmtId="164" fontId="0" fillId="0" borderId="1" xfId="0" applyNumberFormat="1" applyBorder="1" applyAlignment="1" applyProtection="1">
      <alignment horizontal="center"/>
      <protection locked="0"/>
    </xf>
    <xf numFmtId="0" fontId="0" fillId="8" borderId="47" xfId="0" applyFill="1" applyBorder="1" applyAlignment="1" applyProtection="1">
      <alignment horizontal="center" vertical="center"/>
    </xf>
    <xf numFmtId="0" fontId="0" fillId="13" borderId="47" xfId="0" applyFill="1" applyBorder="1" applyAlignment="1" applyProtection="1">
      <alignment horizontal="center" vertical="center"/>
    </xf>
    <xf numFmtId="0" fontId="42" fillId="30" borderId="4" xfId="0" applyFont="1" applyFill="1" applyBorder="1" applyAlignment="1" applyProtection="1">
      <alignment horizontal="center"/>
    </xf>
    <xf numFmtId="0" fontId="42" fillId="30" borderId="3" xfId="0" applyFont="1" applyFill="1" applyBorder="1" applyAlignment="1" applyProtection="1">
      <alignment horizontal="center"/>
    </xf>
    <xf numFmtId="0" fontId="42" fillId="30" borderId="2" xfId="0" applyFont="1" applyFill="1" applyBorder="1" applyAlignment="1" applyProtection="1">
      <alignment horizontal="center"/>
    </xf>
    <xf numFmtId="164" fontId="0" fillId="0" borderId="11"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10" fillId="4" borderId="6" xfId="0" applyFont="1" applyFill="1" applyBorder="1" applyAlignment="1" applyProtection="1">
      <alignment horizontal="center" vertical="center"/>
    </xf>
    <xf numFmtId="0" fontId="10" fillId="4" borderId="7" xfId="0" applyFont="1" applyFill="1" applyBorder="1" applyAlignment="1" applyProtection="1">
      <alignment horizontal="center" vertical="center"/>
    </xf>
    <xf numFmtId="0" fontId="10" fillId="4" borderId="8" xfId="0" applyFont="1" applyFill="1" applyBorder="1" applyAlignment="1" applyProtection="1">
      <alignment horizontal="center" vertical="center"/>
    </xf>
    <xf numFmtId="0" fontId="10" fillId="4" borderId="12" xfId="0"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5" fillId="21" borderId="4" xfId="0" applyFont="1" applyFill="1" applyBorder="1" applyAlignment="1" applyProtection="1">
      <alignment horizontal="center" vertical="center"/>
    </xf>
    <xf numFmtId="0" fontId="5" fillId="21" borderId="3" xfId="0" applyFont="1" applyFill="1" applyBorder="1" applyAlignment="1" applyProtection="1">
      <alignment horizontal="center" vertical="center"/>
    </xf>
    <xf numFmtId="0" fontId="5" fillId="21" borderId="2" xfId="0" applyFont="1" applyFill="1" applyBorder="1" applyAlignment="1" applyProtection="1">
      <alignment horizontal="center" vertical="center"/>
    </xf>
    <xf numFmtId="0" fontId="0" fillId="34" borderId="47" xfId="0" applyFill="1" applyBorder="1" applyAlignment="1" applyProtection="1">
      <alignment horizontal="center" vertical="center"/>
    </xf>
    <xf numFmtId="0" fontId="0" fillId="25" borderId="47" xfId="0" applyFill="1" applyBorder="1" applyAlignment="1" applyProtection="1">
      <alignment horizontal="center" vertical="center"/>
    </xf>
    <xf numFmtId="0" fontId="10" fillId="14" borderId="4" xfId="0" applyFont="1" applyFill="1" applyBorder="1" applyAlignment="1" applyProtection="1">
      <alignment horizontal="center"/>
    </xf>
    <xf numFmtId="0" fontId="10" fillId="14" borderId="3" xfId="0" applyFont="1" applyFill="1" applyBorder="1" applyAlignment="1" applyProtection="1">
      <alignment horizontal="center"/>
    </xf>
    <xf numFmtId="0" fontId="10" fillId="14" borderId="2" xfId="0" applyFont="1" applyFill="1" applyBorder="1" applyAlignment="1" applyProtection="1">
      <alignment horizontal="center"/>
    </xf>
    <xf numFmtId="0" fontId="7" fillId="7" borderId="17" xfId="0" applyFont="1" applyFill="1" applyBorder="1" applyAlignment="1" applyProtection="1">
      <alignment vertical="center" wrapText="1"/>
      <protection locked="0"/>
    </xf>
    <xf numFmtId="0" fontId="7" fillId="7" borderId="9" xfId="0" applyFont="1" applyFill="1" applyBorder="1" applyAlignment="1" applyProtection="1">
      <alignment vertical="center" wrapText="1"/>
      <protection locked="0"/>
    </xf>
    <xf numFmtId="0" fontId="45" fillId="16" borderId="16" xfId="0" applyFont="1" applyFill="1" applyBorder="1" applyAlignment="1">
      <alignment horizontal="center" vertical="center"/>
    </xf>
    <xf numFmtId="0" fontId="45" fillId="16" borderId="11" xfId="0" applyFont="1" applyFill="1" applyBorder="1" applyAlignment="1">
      <alignment horizontal="center" vertical="center"/>
    </xf>
    <xf numFmtId="0" fontId="11" fillId="26" borderId="20" xfId="0" applyFont="1" applyFill="1" applyBorder="1" applyAlignment="1">
      <alignment vertical="center" wrapText="1"/>
    </xf>
    <xf numFmtId="0" fontId="11" fillId="26" borderId="21" xfId="0" applyFont="1" applyFill="1" applyBorder="1" applyAlignment="1">
      <alignment vertical="center" wrapText="1"/>
    </xf>
    <xf numFmtId="0" fontId="7" fillId="15" borderId="4" xfId="0" applyFont="1" applyFill="1" applyBorder="1" applyAlignment="1">
      <alignment vertical="center" wrapText="1"/>
    </xf>
    <xf numFmtId="0" fontId="7" fillId="15" borderId="3" xfId="0" applyFont="1" applyFill="1" applyBorder="1" applyAlignment="1">
      <alignment vertical="center" wrapText="1"/>
    </xf>
    <xf numFmtId="0" fontId="7" fillId="15" borderId="2" xfId="0" applyFont="1" applyFill="1" applyBorder="1" applyAlignment="1">
      <alignment vertical="center" wrapText="1"/>
    </xf>
    <xf numFmtId="0" fontId="11" fillId="25" borderId="3" xfId="0" applyFont="1" applyFill="1" applyBorder="1" applyAlignment="1">
      <alignment vertical="center" wrapText="1"/>
    </xf>
    <xf numFmtId="0" fontId="11" fillId="25" borderId="2" xfId="0" applyFont="1" applyFill="1" applyBorder="1" applyAlignment="1">
      <alignment vertical="center" wrapText="1"/>
    </xf>
    <xf numFmtId="0" fontId="7" fillId="18" borderId="28" xfId="0" applyFont="1" applyFill="1" applyBorder="1" applyAlignment="1">
      <alignment vertical="center" wrapText="1"/>
    </xf>
    <xf numFmtId="0" fontId="7" fillId="18" borderId="45" xfId="0" applyFont="1" applyFill="1" applyBorder="1" applyAlignment="1">
      <alignment vertical="center" wrapText="1"/>
    </xf>
    <xf numFmtId="0" fontId="7" fillId="18" borderId="46" xfId="0" applyFont="1" applyFill="1" applyBorder="1" applyAlignment="1">
      <alignment vertical="center" wrapText="1"/>
    </xf>
    <xf numFmtId="0" fontId="11" fillId="25" borderId="45" xfId="0" applyFont="1" applyFill="1" applyBorder="1" applyAlignment="1">
      <alignment vertical="center" wrapText="1"/>
    </xf>
    <xf numFmtId="0" fontId="11" fillId="25" borderId="46" xfId="0" applyFont="1" applyFill="1" applyBorder="1" applyAlignment="1">
      <alignment vertical="center" wrapText="1"/>
    </xf>
    <xf numFmtId="0" fontId="53" fillId="9" borderId="17" xfId="0" applyFont="1" applyFill="1" applyBorder="1" applyAlignment="1" applyProtection="1">
      <alignment horizontal="center" vertical="center" wrapText="1"/>
      <protection locked="0"/>
    </xf>
    <xf numFmtId="0" fontId="53" fillId="9" borderId="18" xfId="0" applyFont="1" applyFill="1" applyBorder="1" applyAlignment="1" applyProtection="1">
      <alignment horizontal="center" vertical="center" wrapText="1"/>
      <protection locked="0"/>
    </xf>
    <xf numFmtId="0" fontId="53" fillId="9" borderId="12" xfId="0" applyFont="1" applyFill="1" applyBorder="1" applyAlignment="1" applyProtection="1">
      <alignment horizontal="center" vertical="center" wrapText="1"/>
      <protection locked="0"/>
    </xf>
    <xf numFmtId="0" fontId="53" fillId="9" borderId="13" xfId="0" applyFont="1" applyFill="1" applyBorder="1" applyAlignment="1" applyProtection="1">
      <alignment horizontal="center" vertical="center" wrapText="1"/>
      <protection locked="0"/>
    </xf>
    <xf numFmtId="0" fontId="53" fillId="9" borderId="24" xfId="0" applyFont="1" applyFill="1" applyBorder="1" applyAlignment="1" applyProtection="1">
      <alignment horizontal="center" vertical="center" wrapText="1"/>
      <protection locked="0"/>
    </xf>
    <xf numFmtId="0" fontId="53" fillId="9" borderId="25" xfId="0" applyFont="1" applyFill="1" applyBorder="1" applyAlignment="1" applyProtection="1">
      <alignment horizontal="center" vertical="center" wrapText="1"/>
      <protection locked="0"/>
    </xf>
    <xf numFmtId="0" fontId="7" fillId="5" borderId="12" xfId="0" applyFont="1" applyFill="1" applyBorder="1" applyAlignment="1" applyProtection="1">
      <alignment vertical="center" wrapText="1"/>
      <protection locked="0"/>
    </xf>
    <xf numFmtId="0" fontId="7" fillId="5" borderId="13" xfId="0" applyFont="1" applyFill="1" applyBorder="1" applyAlignment="1" applyProtection="1">
      <alignment vertical="center" wrapText="1"/>
      <protection locked="0"/>
    </xf>
    <xf numFmtId="0" fontId="7" fillId="5" borderId="24" xfId="0" applyFont="1" applyFill="1" applyBorder="1" applyAlignment="1" applyProtection="1">
      <alignment vertical="center" wrapText="1"/>
      <protection locked="0"/>
    </xf>
    <xf numFmtId="0" fontId="7" fillId="5" borderId="25" xfId="0" applyFont="1" applyFill="1" applyBorder="1" applyAlignment="1" applyProtection="1">
      <alignment vertical="center" wrapText="1"/>
      <protection locked="0"/>
    </xf>
    <xf numFmtId="0" fontId="53" fillId="12" borderId="16" xfId="0" applyFont="1" applyFill="1" applyBorder="1" applyAlignment="1" applyProtection="1">
      <alignment horizontal="center" vertical="center" wrapText="1"/>
      <protection locked="0"/>
    </xf>
    <xf numFmtId="0" fontId="53" fillId="12" borderId="14" xfId="0" applyFont="1" applyFill="1" applyBorder="1" applyAlignment="1" applyProtection="1">
      <alignment horizontal="center" vertical="center" wrapText="1"/>
      <protection locked="0"/>
    </xf>
    <xf numFmtId="0" fontId="53" fillId="12" borderId="23" xfId="0" applyFont="1" applyFill="1" applyBorder="1" applyAlignment="1" applyProtection="1">
      <alignment horizontal="center" vertical="center" wrapText="1"/>
      <protection locked="0"/>
    </xf>
    <xf numFmtId="0" fontId="53" fillId="9" borderId="19" xfId="0" applyFont="1" applyFill="1" applyBorder="1" applyAlignment="1" applyProtection="1">
      <alignment horizontal="center" vertical="center" wrapText="1"/>
      <protection locked="0"/>
    </xf>
    <xf numFmtId="0" fontId="53" fillId="9" borderId="0" xfId="0" applyFont="1" applyFill="1" applyBorder="1" applyAlignment="1" applyProtection="1">
      <alignment horizontal="center" vertical="center" wrapText="1"/>
      <protection locked="0"/>
    </xf>
    <xf numFmtId="0" fontId="53" fillId="9" borderId="26"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7" fillId="4" borderId="14" xfId="0" applyFont="1" applyFill="1" applyBorder="1" applyAlignment="1" applyProtection="1">
      <alignment horizontal="center" vertical="center" wrapText="1"/>
      <protection locked="0"/>
    </xf>
    <xf numFmtId="0" fontId="7" fillId="4" borderId="23" xfId="0" applyFont="1" applyFill="1" applyBorder="1" applyAlignment="1" applyProtection="1">
      <alignment horizontal="center" vertical="center" wrapText="1"/>
      <protection locked="0"/>
    </xf>
    <xf numFmtId="14" fontId="45" fillId="5" borderId="17" xfId="0" applyNumberFormat="1" applyFont="1" applyFill="1" applyBorder="1" applyAlignment="1" applyProtection="1">
      <alignment horizontal="center" vertical="center" wrapText="1"/>
      <protection locked="0"/>
    </xf>
    <xf numFmtId="14" fontId="45" fillId="5" borderId="18" xfId="0" applyNumberFormat="1" applyFont="1" applyFill="1" applyBorder="1" applyAlignment="1" applyProtection="1">
      <alignment horizontal="center" vertical="center" wrapText="1"/>
      <protection locked="0"/>
    </xf>
    <xf numFmtId="14" fontId="45" fillId="5" borderId="12" xfId="0" applyNumberFormat="1" applyFont="1" applyFill="1" applyBorder="1" applyAlignment="1" applyProtection="1">
      <alignment horizontal="center" vertical="center" wrapText="1"/>
      <protection locked="0"/>
    </xf>
    <xf numFmtId="14" fontId="45" fillId="5" borderId="13" xfId="0" applyNumberFormat="1" applyFont="1" applyFill="1" applyBorder="1" applyAlignment="1" applyProtection="1">
      <alignment horizontal="center" vertical="center" wrapText="1"/>
      <protection locked="0"/>
    </xf>
    <xf numFmtId="14" fontId="45" fillId="5" borderId="24" xfId="0" applyNumberFormat="1" applyFont="1" applyFill="1" applyBorder="1" applyAlignment="1" applyProtection="1">
      <alignment horizontal="center" vertical="center" wrapText="1"/>
      <protection locked="0"/>
    </xf>
    <xf numFmtId="14" fontId="45" fillId="5" borderId="25" xfId="0" applyNumberFormat="1" applyFont="1" applyFill="1" applyBorder="1" applyAlignment="1" applyProtection="1">
      <alignment horizontal="center" vertical="center" wrapText="1"/>
      <protection locked="0"/>
    </xf>
    <xf numFmtId="0" fontId="7" fillId="7" borderId="17" xfId="0" applyFont="1" applyFill="1" applyBorder="1" applyAlignment="1">
      <alignment vertical="center" wrapText="1"/>
    </xf>
    <xf numFmtId="0" fontId="7" fillId="7" borderId="19" xfId="0" applyFont="1" applyFill="1" applyBorder="1" applyAlignment="1">
      <alignment vertical="center" wrapText="1"/>
    </xf>
    <xf numFmtId="0" fontId="7" fillId="7" borderId="9" xfId="0" applyFont="1" applyFill="1" applyBorder="1" applyAlignment="1">
      <alignment vertical="center" wrapText="1"/>
    </xf>
    <xf numFmtId="0" fontId="7" fillId="7" borderId="5" xfId="0" applyFont="1" applyFill="1" applyBorder="1" applyAlignment="1">
      <alignment vertical="center" wrapText="1"/>
    </xf>
    <xf numFmtId="0" fontId="7" fillId="7" borderId="16" xfId="0" applyFont="1" applyFill="1" applyBorder="1" applyAlignment="1" applyProtection="1">
      <alignment vertical="center" wrapText="1"/>
      <protection locked="0"/>
    </xf>
    <xf numFmtId="0" fontId="7" fillId="7" borderId="11" xfId="0" applyFont="1" applyFill="1" applyBorder="1" applyAlignment="1" applyProtection="1">
      <alignment vertical="center" wrapText="1"/>
      <protection locked="0"/>
    </xf>
    <xf numFmtId="1" fontId="23" fillId="9" borderId="16" xfId="0" applyNumberFormat="1" applyFont="1" applyFill="1" applyBorder="1" applyAlignment="1" applyProtection="1">
      <alignment horizontal="center" vertical="center"/>
    </xf>
    <xf numFmtId="1" fontId="23" fillId="9" borderId="14" xfId="0" applyNumberFormat="1" applyFont="1" applyFill="1" applyBorder="1" applyAlignment="1" applyProtection="1">
      <alignment horizontal="center" vertical="center"/>
    </xf>
    <xf numFmtId="1" fontId="23" fillId="9" borderId="23" xfId="0" applyNumberFormat="1" applyFont="1" applyFill="1" applyBorder="1" applyAlignment="1" applyProtection="1">
      <alignment horizontal="center" vertical="center"/>
    </xf>
    <xf numFmtId="0" fontId="7" fillId="4" borderId="17" xfId="0" applyFont="1" applyFill="1" applyBorder="1" applyAlignment="1" applyProtection="1">
      <alignment horizontal="center" vertical="center" wrapText="1"/>
      <protection locked="0"/>
    </xf>
    <xf numFmtId="0" fontId="7" fillId="4" borderId="18" xfId="0" applyFont="1" applyFill="1" applyBorder="1" applyAlignment="1" applyProtection="1">
      <alignment horizontal="center" vertical="center" wrapText="1"/>
      <protection locked="0"/>
    </xf>
    <xf numFmtId="0" fontId="7" fillId="4" borderId="12" xfId="0" applyFont="1" applyFill="1" applyBorder="1" applyAlignment="1" applyProtection="1">
      <alignment horizontal="center" vertical="center" wrapText="1"/>
      <protection locked="0"/>
    </xf>
    <xf numFmtId="0" fontId="7" fillId="4" borderId="13" xfId="0" applyFont="1" applyFill="1" applyBorder="1" applyAlignment="1" applyProtection="1">
      <alignment horizontal="center" vertical="center" wrapText="1"/>
      <protection locked="0"/>
    </xf>
    <xf numFmtId="0" fontId="7" fillId="4" borderId="24" xfId="0" applyFont="1" applyFill="1" applyBorder="1" applyAlignment="1" applyProtection="1">
      <alignment horizontal="center" vertical="center" wrapText="1"/>
      <protection locked="0"/>
    </xf>
    <xf numFmtId="0" fontId="7" fillId="4" borderId="25" xfId="0" applyFont="1" applyFill="1" applyBorder="1" applyAlignment="1" applyProtection="1">
      <alignment horizontal="center" vertical="center" wrapText="1"/>
      <protection locked="0"/>
    </xf>
    <xf numFmtId="0" fontId="7" fillId="5" borderId="17" xfId="0" applyFont="1" applyFill="1" applyBorder="1" applyAlignment="1" applyProtection="1">
      <alignment horizontal="center" vertical="center" wrapText="1"/>
      <protection locked="0"/>
    </xf>
    <xf numFmtId="0" fontId="7" fillId="5" borderId="18" xfId="0"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wrapText="1"/>
      <protection locked="0"/>
    </xf>
    <xf numFmtId="0" fontId="7" fillId="5" borderId="13" xfId="0" applyFont="1" applyFill="1" applyBorder="1" applyAlignment="1" applyProtection="1">
      <alignment horizontal="center" vertical="center" wrapText="1"/>
      <protection locked="0"/>
    </xf>
    <xf numFmtId="0" fontId="7" fillId="5" borderId="24" xfId="0" applyFont="1" applyFill="1" applyBorder="1" applyAlignment="1" applyProtection="1">
      <alignment horizontal="center" vertical="center" wrapText="1"/>
      <protection locked="0"/>
    </xf>
    <xf numFmtId="0" fontId="7" fillId="5" borderId="25" xfId="0" applyFont="1" applyFill="1" applyBorder="1" applyAlignment="1" applyProtection="1">
      <alignment horizontal="center" vertical="center" wrapText="1"/>
      <protection locked="0"/>
    </xf>
    <xf numFmtId="14" fontId="23" fillId="12" borderId="17" xfId="0" applyNumberFormat="1" applyFont="1" applyFill="1" applyBorder="1" applyAlignment="1" applyProtection="1">
      <alignment horizontal="center" vertical="center"/>
      <protection locked="0"/>
    </xf>
    <xf numFmtId="14" fontId="23" fillId="12" borderId="18" xfId="0" applyNumberFormat="1" applyFont="1" applyFill="1" applyBorder="1" applyAlignment="1" applyProtection="1">
      <alignment horizontal="center" vertical="center"/>
      <protection locked="0"/>
    </xf>
    <xf numFmtId="14" fontId="23" fillId="12" borderId="12" xfId="0" applyNumberFormat="1" applyFont="1" applyFill="1" applyBorder="1" applyAlignment="1" applyProtection="1">
      <alignment horizontal="center" vertical="center"/>
      <protection locked="0"/>
    </xf>
    <xf numFmtId="14" fontId="23" fillId="12" borderId="13" xfId="0" applyNumberFormat="1" applyFont="1" applyFill="1" applyBorder="1" applyAlignment="1" applyProtection="1">
      <alignment horizontal="center" vertical="center"/>
      <protection locked="0"/>
    </xf>
    <xf numFmtId="14" fontId="23" fillId="12" borderId="24" xfId="0" applyNumberFormat="1" applyFont="1" applyFill="1" applyBorder="1" applyAlignment="1" applyProtection="1">
      <alignment horizontal="center" vertical="center"/>
      <protection locked="0"/>
    </xf>
    <xf numFmtId="14" fontId="23" fillId="12" borderId="25" xfId="0" applyNumberFormat="1" applyFont="1" applyFill="1" applyBorder="1" applyAlignment="1" applyProtection="1">
      <alignment horizontal="center" vertical="center"/>
      <protection locked="0"/>
    </xf>
    <xf numFmtId="0" fontId="22" fillId="4" borderId="16" xfId="0" applyNumberFormat="1" applyFont="1" applyFill="1" applyBorder="1" applyAlignment="1" applyProtection="1">
      <alignment horizontal="center" vertical="center"/>
    </xf>
    <xf numFmtId="0" fontId="22" fillId="4" borderId="14" xfId="0" applyNumberFormat="1" applyFont="1" applyFill="1" applyBorder="1" applyAlignment="1" applyProtection="1">
      <alignment horizontal="center" vertical="center"/>
    </xf>
    <xf numFmtId="0" fontId="22" fillId="4" borderId="23" xfId="0" applyNumberFormat="1" applyFont="1" applyFill="1" applyBorder="1" applyAlignment="1" applyProtection="1">
      <alignment horizontal="center" vertical="center"/>
    </xf>
    <xf numFmtId="0" fontId="22" fillId="5" borderId="16"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protection locked="0"/>
    </xf>
    <xf numFmtId="0" fontId="22" fillId="5" borderId="23" xfId="0" applyFont="1" applyFill="1" applyBorder="1" applyAlignment="1" applyProtection="1">
      <alignment horizontal="center" vertical="center"/>
      <protection locked="0"/>
    </xf>
    <xf numFmtId="0" fontId="53" fillId="12" borderId="17" xfId="0" applyFont="1" applyFill="1" applyBorder="1" applyAlignment="1" applyProtection="1">
      <alignment horizontal="center" vertical="center" wrapText="1"/>
      <protection locked="0"/>
    </xf>
    <xf numFmtId="0" fontId="53" fillId="12" borderId="18" xfId="0" applyFont="1" applyFill="1" applyBorder="1" applyAlignment="1" applyProtection="1">
      <alignment horizontal="center" vertical="center" wrapText="1"/>
      <protection locked="0"/>
    </xf>
    <xf numFmtId="0" fontId="53" fillId="12" borderId="12" xfId="0" applyFont="1" applyFill="1" applyBorder="1" applyAlignment="1" applyProtection="1">
      <alignment horizontal="center" vertical="center" wrapText="1"/>
      <protection locked="0"/>
    </xf>
    <xf numFmtId="0" fontId="53" fillId="12" borderId="13" xfId="0" applyFont="1" applyFill="1" applyBorder="1" applyAlignment="1" applyProtection="1">
      <alignment horizontal="center" vertical="center" wrapText="1"/>
      <protection locked="0"/>
    </xf>
    <xf numFmtId="0" fontId="53" fillId="12" borderId="24" xfId="0" applyFont="1" applyFill="1" applyBorder="1" applyAlignment="1" applyProtection="1">
      <alignment horizontal="center" vertical="center" wrapText="1"/>
      <protection locked="0"/>
    </xf>
    <xf numFmtId="0" fontId="53" fillId="12" borderId="25" xfId="0" applyFont="1" applyFill="1" applyBorder="1" applyAlignment="1" applyProtection="1">
      <alignment horizontal="center" vertical="center" wrapText="1"/>
      <protection locked="0"/>
    </xf>
    <xf numFmtId="0" fontId="16" fillId="22" borderId="6" xfId="0" applyFont="1" applyFill="1" applyBorder="1" applyAlignment="1" applyProtection="1">
      <alignment horizontal="center" vertical="center" wrapText="1"/>
    </xf>
    <xf numFmtId="0" fontId="16" fillId="22" borderId="8" xfId="0" applyFont="1" applyFill="1" applyBorder="1" applyAlignment="1" applyProtection="1">
      <alignment horizontal="center" vertical="center" wrapText="1"/>
    </xf>
    <xf numFmtId="0" fontId="1" fillId="39" borderId="15" xfId="0" applyFont="1" applyFill="1" applyBorder="1" applyAlignment="1" applyProtection="1">
      <alignment horizontal="center" vertical="center" wrapText="1"/>
    </xf>
    <xf numFmtId="0" fontId="14" fillId="5" borderId="28" xfId="0" applyFont="1" applyFill="1" applyBorder="1" applyAlignment="1" applyProtection="1">
      <alignment horizontal="center" vertical="center"/>
    </xf>
    <xf numFmtId="0" fontId="14" fillId="5" borderId="46" xfId="0" applyFont="1" applyFill="1" applyBorder="1" applyAlignment="1" applyProtection="1">
      <alignment horizontal="center" vertical="center"/>
    </xf>
    <xf numFmtId="0" fontId="1" fillId="9" borderId="15" xfId="0" applyFont="1" applyFill="1" applyBorder="1" applyAlignment="1" applyProtection="1">
      <alignment horizontal="center" vertical="center" wrapText="1"/>
    </xf>
    <xf numFmtId="0" fontId="14" fillId="5" borderId="15" xfId="0" applyFont="1" applyFill="1" applyBorder="1" applyAlignment="1" applyProtection="1">
      <alignment horizontal="center" vertical="center" wrapText="1"/>
    </xf>
    <xf numFmtId="0" fontId="1" fillId="12" borderId="15" xfId="0" applyFont="1" applyFill="1" applyBorder="1" applyAlignment="1" applyProtection="1">
      <alignment horizontal="center" vertical="center"/>
    </xf>
    <xf numFmtId="0" fontId="15" fillId="4" borderId="6" xfId="0" applyFont="1" applyFill="1" applyBorder="1" applyAlignment="1" applyProtection="1">
      <alignment horizontal="center" vertical="center" wrapText="1"/>
    </xf>
    <xf numFmtId="0" fontId="15" fillId="4" borderId="8" xfId="0" applyFont="1" applyFill="1" applyBorder="1" applyAlignment="1" applyProtection="1">
      <alignment horizontal="center" vertical="center" wrapText="1"/>
    </xf>
    <xf numFmtId="0" fontId="37" fillId="15" borderId="3" xfId="0" applyFont="1" applyFill="1" applyBorder="1" applyAlignment="1" applyProtection="1">
      <alignment horizontal="center"/>
    </xf>
    <xf numFmtId="0" fontId="37" fillId="15" borderId="2" xfId="0" applyFont="1" applyFill="1" applyBorder="1" applyAlignment="1" applyProtection="1">
      <alignment horizontal="center"/>
    </xf>
    <xf numFmtId="0" fontId="7" fillId="46" borderId="17" xfId="0" applyFont="1" applyFill="1" applyBorder="1" applyAlignment="1" applyProtection="1">
      <alignment vertical="center" wrapText="1"/>
      <protection locked="0"/>
    </xf>
    <xf numFmtId="0" fontId="7" fillId="46" borderId="12" xfId="0" applyFont="1" applyFill="1" applyBorder="1" applyAlignment="1" applyProtection="1">
      <alignment vertical="center" wrapText="1"/>
      <protection locked="0"/>
    </xf>
    <xf numFmtId="0" fontId="7" fillId="46" borderId="24" xfId="0" applyFont="1" applyFill="1" applyBorder="1" applyAlignment="1" applyProtection="1">
      <alignment vertical="center" wrapText="1"/>
      <protection locked="0"/>
    </xf>
    <xf numFmtId="0" fontId="7" fillId="47" borderId="17" xfId="0" applyFont="1" applyFill="1" applyBorder="1" applyAlignment="1" applyProtection="1">
      <alignment vertical="center" wrapText="1"/>
      <protection locked="0"/>
    </xf>
    <xf numFmtId="0" fontId="7" fillId="47" borderId="12" xfId="0" applyFont="1" applyFill="1" applyBorder="1" applyAlignment="1" applyProtection="1">
      <alignment vertical="center" wrapText="1"/>
      <protection locked="0"/>
    </xf>
    <xf numFmtId="0" fontId="7" fillId="47" borderId="24" xfId="0" applyFont="1" applyFill="1" applyBorder="1" applyAlignment="1" applyProtection="1">
      <alignment vertical="center" wrapText="1"/>
      <protection locked="0"/>
    </xf>
    <xf numFmtId="0" fontId="7" fillId="19" borderId="16" xfId="0" applyFont="1" applyFill="1" applyBorder="1" applyAlignment="1" applyProtection="1">
      <alignment vertical="center" wrapText="1"/>
      <protection locked="0"/>
    </xf>
    <xf numFmtId="0" fontId="7" fillId="19" borderId="14" xfId="0" applyFont="1" applyFill="1" applyBorder="1" applyAlignment="1" applyProtection="1">
      <alignment vertical="center" wrapText="1"/>
      <protection locked="0"/>
    </xf>
    <xf numFmtId="0" fontId="7" fillId="19" borderId="23" xfId="0" applyFont="1" applyFill="1" applyBorder="1" applyAlignment="1" applyProtection="1">
      <alignment vertical="center" wrapText="1"/>
      <protection locked="0"/>
    </xf>
    <xf numFmtId="0" fontId="7" fillId="23" borderId="17" xfId="0" applyFont="1" applyFill="1" applyBorder="1" applyAlignment="1" applyProtection="1">
      <alignment horizontal="center" vertical="center" wrapText="1"/>
      <protection locked="0"/>
    </xf>
    <xf numFmtId="0" fontId="7" fillId="23" borderId="12" xfId="0" applyFont="1" applyFill="1" applyBorder="1" applyAlignment="1" applyProtection="1">
      <alignment horizontal="center" vertical="center" wrapText="1"/>
      <protection locked="0"/>
    </xf>
    <xf numFmtId="0" fontId="7" fillId="23" borderId="24" xfId="0" applyFont="1" applyFill="1" applyBorder="1" applyAlignment="1" applyProtection="1">
      <alignment horizontal="center" vertical="center" wrapText="1"/>
      <protection locked="0"/>
    </xf>
    <xf numFmtId="164" fontId="23" fillId="39" borderId="17" xfId="0" applyNumberFormat="1" applyFont="1" applyFill="1" applyBorder="1" applyAlignment="1" applyProtection="1">
      <alignment vertical="center" wrapText="1"/>
      <protection locked="0"/>
    </xf>
    <xf numFmtId="164" fontId="23" fillId="39" borderId="18" xfId="0" applyNumberFormat="1" applyFont="1" applyFill="1" applyBorder="1" applyAlignment="1" applyProtection="1">
      <alignment vertical="center" wrapText="1"/>
      <protection locked="0"/>
    </xf>
    <xf numFmtId="164" fontId="23" fillId="39" borderId="12" xfId="0" applyNumberFormat="1" applyFont="1" applyFill="1" applyBorder="1" applyAlignment="1" applyProtection="1">
      <alignment vertical="center" wrapText="1"/>
      <protection locked="0"/>
    </xf>
    <xf numFmtId="164" fontId="23" fillId="39" borderId="13" xfId="0" applyNumberFormat="1" applyFont="1" applyFill="1" applyBorder="1" applyAlignment="1" applyProtection="1">
      <alignment vertical="center" wrapText="1"/>
      <protection locked="0"/>
    </xf>
    <xf numFmtId="164" fontId="23" fillId="39" borderId="24" xfId="0" applyNumberFormat="1" applyFont="1" applyFill="1" applyBorder="1" applyAlignment="1" applyProtection="1">
      <alignment vertical="center" wrapText="1"/>
      <protection locked="0"/>
    </xf>
    <xf numFmtId="164" fontId="23" fillId="39" borderId="25" xfId="0" applyNumberFormat="1" applyFont="1" applyFill="1" applyBorder="1" applyAlignment="1" applyProtection="1">
      <alignment vertical="center" wrapText="1"/>
      <protection locked="0"/>
    </xf>
    <xf numFmtId="0" fontId="54" fillId="45" borderId="4" xfId="0" applyFont="1" applyFill="1" applyBorder="1" applyAlignment="1" applyProtection="1">
      <alignment horizontal="center"/>
    </xf>
    <xf numFmtId="0" fontId="54" fillId="45" borderId="3" xfId="0" applyFont="1" applyFill="1" applyBorder="1" applyAlignment="1" applyProtection="1">
      <alignment horizontal="center"/>
    </xf>
    <xf numFmtId="0" fontId="54" fillId="45" borderId="2" xfId="0" applyFont="1" applyFill="1" applyBorder="1" applyAlignment="1" applyProtection="1">
      <alignment horizontal="center"/>
    </xf>
    <xf numFmtId="0" fontId="37" fillId="11" borderId="4" xfId="0" applyFont="1" applyFill="1" applyBorder="1" applyAlignment="1" applyProtection="1">
      <alignment horizontal="center"/>
    </xf>
    <xf numFmtId="0" fontId="37" fillId="11" borderId="3" xfId="0" applyFont="1" applyFill="1" applyBorder="1" applyAlignment="1" applyProtection="1">
      <alignment horizontal="center"/>
    </xf>
    <xf numFmtId="0" fontId="37" fillId="11" borderId="2" xfId="0" applyFont="1" applyFill="1" applyBorder="1" applyAlignment="1" applyProtection="1">
      <alignment horizontal="center"/>
    </xf>
    <xf numFmtId="0" fontId="1" fillId="9" borderId="28" xfId="0" applyFont="1" applyFill="1" applyBorder="1" applyAlignment="1" applyProtection="1">
      <alignment horizontal="center" vertical="center"/>
    </xf>
    <xf numFmtId="0" fontId="1" fillId="9" borderId="46" xfId="0" applyFont="1" applyFill="1" applyBorder="1" applyAlignment="1" applyProtection="1">
      <alignment horizontal="center" vertical="center"/>
    </xf>
    <xf numFmtId="0" fontId="52" fillId="12" borderId="4" xfId="0" applyFont="1" applyFill="1" applyBorder="1" applyAlignment="1" applyProtection="1">
      <alignment horizontal="center"/>
    </xf>
    <xf numFmtId="0" fontId="52" fillId="12" borderId="3" xfId="0" applyFont="1" applyFill="1" applyBorder="1" applyAlignment="1" applyProtection="1">
      <alignment horizontal="center"/>
    </xf>
    <xf numFmtId="0" fontId="22" fillId="18" borderId="16" xfId="0" applyFont="1" applyFill="1" applyBorder="1" applyAlignment="1">
      <alignment horizontal="center" vertical="center"/>
    </xf>
    <xf numFmtId="0" fontId="22" fillId="18" borderId="14" xfId="0" applyFont="1" applyFill="1" applyBorder="1" applyAlignment="1">
      <alignment horizontal="center" vertical="center"/>
    </xf>
    <xf numFmtId="0" fontId="22" fillId="18" borderId="23" xfId="0" applyFont="1" applyFill="1" applyBorder="1" applyAlignment="1">
      <alignment horizontal="center" vertical="center"/>
    </xf>
    <xf numFmtId="0" fontId="4" fillId="12" borderId="17" xfId="0" applyFont="1" applyFill="1" applyBorder="1" applyAlignment="1" applyProtection="1">
      <alignment horizontal="center" vertical="center"/>
      <protection locked="0"/>
    </xf>
    <xf numFmtId="0" fontId="4" fillId="12" borderId="18" xfId="0" applyFont="1" applyFill="1" applyBorder="1" applyAlignment="1" applyProtection="1">
      <alignment horizontal="center" vertical="center"/>
      <protection locked="0"/>
    </xf>
    <xf numFmtId="0" fontId="4" fillId="12" borderId="12" xfId="0" applyFont="1" applyFill="1" applyBorder="1" applyAlignment="1" applyProtection="1">
      <alignment horizontal="center" vertical="center"/>
      <protection locked="0"/>
    </xf>
    <xf numFmtId="0" fontId="4" fillId="12" borderId="13" xfId="0" applyFont="1" applyFill="1" applyBorder="1" applyAlignment="1" applyProtection="1">
      <alignment horizontal="center" vertical="center"/>
      <protection locked="0"/>
    </xf>
    <xf numFmtId="0" fontId="4" fillId="12" borderId="24" xfId="0" applyFont="1" applyFill="1" applyBorder="1" applyAlignment="1" applyProtection="1">
      <alignment horizontal="center" vertical="center"/>
      <protection locked="0"/>
    </xf>
    <xf numFmtId="0" fontId="4" fillId="12" borderId="25" xfId="0" applyFont="1" applyFill="1" applyBorder="1" applyAlignment="1" applyProtection="1">
      <alignment horizontal="center" vertical="center"/>
      <protection locked="0"/>
    </xf>
    <xf numFmtId="0" fontId="1" fillId="12" borderId="6" xfId="0" applyFont="1" applyFill="1" applyBorder="1" applyAlignment="1" applyProtection="1">
      <alignment horizontal="center" vertical="center" wrapText="1"/>
    </xf>
    <xf numFmtId="0" fontId="1" fillId="12" borderId="7"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xf>
    <xf numFmtId="0" fontId="51" fillId="5" borderId="15" xfId="0" applyFont="1" applyFill="1" applyBorder="1" applyAlignment="1" applyProtection="1">
      <alignment horizontal="center" vertical="center" wrapText="1"/>
    </xf>
    <xf numFmtId="0" fontId="1" fillId="12" borderId="15" xfId="0" applyFont="1" applyFill="1" applyBorder="1" applyAlignment="1" applyProtection="1">
      <alignment horizontal="center" vertical="center" wrapText="1"/>
    </xf>
    <xf numFmtId="0" fontId="37" fillId="52" borderId="4" xfId="0" applyFont="1" applyFill="1" applyBorder="1" applyAlignment="1" applyProtection="1">
      <alignment horizontal="center"/>
    </xf>
    <xf numFmtId="0" fontId="37" fillId="52" borderId="3" xfId="0" applyFont="1" applyFill="1" applyBorder="1" applyAlignment="1" applyProtection="1">
      <alignment horizontal="center"/>
    </xf>
    <xf numFmtId="0" fontId="37" fillId="52" borderId="2" xfId="0" applyFont="1" applyFill="1" applyBorder="1" applyAlignment="1" applyProtection="1">
      <alignment horizontal="center"/>
    </xf>
    <xf numFmtId="0" fontId="52" fillId="56" borderId="4" xfId="0" applyFont="1" applyFill="1" applyBorder="1" applyAlignment="1" applyProtection="1">
      <alignment horizontal="center"/>
    </xf>
    <xf numFmtId="0" fontId="52" fillId="56" borderId="3" xfId="0" applyFont="1" applyFill="1" applyBorder="1" applyAlignment="1" applyProtection="1">
      <alignment horizontal="center"/>
    </xf>
    <xf numFmtId="1" fontId="4" fillId="9" borderId="16" xfId="0" applyNumberFormat="1" applyFont="1" applyFill="1" applyBorder="1" applyAlignment="1" applyProtection="1">
      <alignment horizontal="center" vertical="center" wrapText="1"/>
      <protection locked="0"/>
    </xf>
    <xf numFmtId="1" fontId="4" fillId="9" borderId="14" xfId="0" applyNumberFormat="1" applyFont="1" applyFill="1" applyBorder="1" applyAlignment="1" applyProtection="1">
      <alignment horizontal="center" vertical="center" wrapText="1"/>
      <protection locked="0"/>
    </xf>
    <xf numFmtId="1" fontId="4" fillId="9" borderId="23" xfId="0" applyNumberFormat="1" applyFont="1" applyFill="1" applyBorder="1" applyAlignment="1" applyProtection="1">
      <alignment horizontal="center" vertical="center" wrapText="1"/>
      <protection locked="0"/>
    </xf>
    <xf numFmtId="0" fontId="14" fillId="7" borderId="6" xfId="0" applyFont="1" applyFill="1" applyBorder="1" applyAlignment="1" applyProtection="1">
      <alignment horizontal="left" wrapText="1"/>
    </xf>
    <xf numFmtId="0" fontId="14" fillId="7" borderId="7" xfId="0" applyFont="1" applyFill="1" applyBorder="1" applyAlignment="1" applyProtection="1">
      <alignment horizontal="left" wrapText="1"/>
    </xf>
    <xf numFmtId="0" fontId="14" fillId="7" borderId="8" xfId="0" applyFont="1" applyFill="1" applyBorder="1" applyAlignment="1" applyProtection="1">
      <alignment horizontal="left" wrapText="1"/>
    </xf>
    <xf numFmtId="0" fontId="0" fillId="6" borderId="1" xfId="0" applyFill="1" applyBorder="1" applyAlignment="1" applyProtection="1">
      <alignment horizontal="left"/>
    </xf>
    <xf numFmtId="0" fontId="42" fillId="35" borderId="4" xfId="0" applyFont="1" applyFill="1" applyBorder="1" applyAlignment="1" applyProtection="1">
      <alignment horizontal="center" wrapText="1"/>
    </xf>
    <xf numFmtId="0" fontId="42" fillId="35" borderId="3" xfId="0" applyFont="1" applyFill="1" applyBorder="1" applyAlignment="1" applyProtection="1">
      <alignment horizontal="center" wrapText="1"/>
    </xf>
    <xf numFmtId="0" fontId="42" fillId="35" borderId="2" xfId="0" applyFont="1" applyFill="1" applyBorder="1" applyAlignment="1" applyProtection="1">
      <alignment horizontal="center" wrapText="1"/>
    </xf>
    <xf numFmtId="0" fontId="14" fillId="17" borderId="15" xfId="0" applyFont="1" applyFill="1" applyBorder="1" applyAlignment="1" applyProtection="1">
      <alignment horizontal="center" vertical="center"/>
    </xf>
    <xf numFmtId="0" fontId="0" fillId="15" borderId="16" xfId="0" applyFill="1" applyBorder="1" applyAlignment="1" applyProtection="1">
      <alignment horizontal="center" wrapText="1"/>
      <protection locked="0"/>
    </xf>
    <xf numFmtId="0" fontId="0" fillId="15" borderId="14" xfId="0" applyFill="1" applyBorder="1" applyAlignment="1" applyProtection="1">
      <alignment horizontal="center" wrapText="1"/>
      <protection locked="0"/>
    </xf>
    <xf numFmtId="0" fontId="0" fillId="15" borderId="11" xfId="0" applyFill="1" applyBorder="1" applyAlignment="1" applyProtection="1">
      <alignment horizontal="center" wrapText="1"/>
      <protection locked="0"/>
    </xf>
    <xf numFmtId="0" fontId="0" fillId="15" borderId="23" xfId="0" applyFill="1" applyBorder="1" applyAlignment="1" applyProtection="1">
      <alignment horizontal="center" wrapText="1"/>
      <protection locked="0"/>
    </xf>
    <xf numFmtId="1" fontId="0" fillId="0" borderId="1" xfId="0" applyNumberFormat="1" applyBorder="1" applyAlignment="1" applyProtection="1">
      <alignment horizontal="center"/>
      <protection locked="0"/>
    </xf>
    <xf numFmtId="0" fontId="4" fillId="61" borderId="115" xfId="0" applyFont="1" applyFill="1" applyBorder="1" applyAlignment="1" applyProtection="1">
      <alignment horizontal="center"/>
    </xf>
    <xf numFmtId="0" fontId="4" fillId="61" borderId="1" xfId="0" applyFont="1" applyFill="1" applyBorder="1" applyAlignment="1" applyProtection="1">
      <alignment horizontal="center"/>
    </xf>
    <xf numFmtId="0" fontId="4" fillId="62" borderId="1" xfId="0" applyFont="1" applyFill="1" applyBorder="1" applyAlignment="1" applyProtection="1">
      <alignment horizontal="center"/>
    </xf>
    <xf numFmtId="0" fontId="0" fillId="64" borderId="1" xfId="0" applyFill="1" applyBorder="1" applyAlignment="1" applyProtection="1">
      <alignment horizontal="center"/>
    </xf>
    <xf numFmtId="0" fontId="0" fillId="63" borderId="4" xfId="0" applyFill="1" applyBorder="1" applyAlignment="1" applyProtection="1">
      <alignment horizontal="center"/>
    </xf>
    <xf numFmtId="0" fontId="0" fillId="63" borderId="3" xfId="0" applyFill="1" applyBorder="1" applyAlignment="1" applyProtection="1">
      <alignment horizontal="center"/>
    </xf>
    <xf numFmtId="0" fontId="0" fillId="63" borderId="2" xfId="0" applyFill="1" applyBorder="1" applyAlignment="1" applyProtection="1">
      <alignment horizontal="center"/>
    </xf>
    <xf numFmtId="0" fontId="4" fillId="60" borderId="1" xfId="0" applyFont="1" applyFill="1" applyBorder="1" applyAlignment="1" applyProtection="1">
      <alignment horizontal="center"/>
    </xf>
    <xf numFmtId="0" fontId="4" fillId="60" borderId="4" xfId="0" applyFont="1" applyFill="1" applyBorder="1" applyAlignment="1" applyProtection="1">
      <alignment horizontal="center"/>
    </xf>
    <xf numFmtId="0" fontId="4" fillId="45" borderId="1" xfId="0" applyFont="1" applyFill="1" applyBorder="1" applyAlignment="1" applyProtection="1">
      <alignment horizontal="center"/>
    </xf>
    <xf numFmtId="0" fontId="4" fillId="39" borderId="1" xfId="0" applyFont="1" applyFill="1" applyBorder="1" applyAlignment="1" applyProtection="1">
      <alignment horizontal="center"/>
    </xf>
    <xf numFmtId="0" fontId="0" fillId="46" borderId="1" xfId="0" applyFill="1" applyBorder="1" applyAlignment="1" applyProtection="1">
      <alignment horizontal="center"/>
    </xf>
    <xf numFmtId="0" fontId="0" fillId="47" borderId="4" xfId="0" applyFill="1" applyBorder="1" applyAlignment="1" applyProtection="1">
      <alignment horizontal="center"/>
    </xf>
    <xf numFmtId="0" fontId="0" fillId="47" borderId="3" xfId="0" applyFill="1" applyBorder="1" applyAlignment="1" applyProtection="1">
      <alignment horizontal="center"/>
    </xf>
    <xf numFmtId="0" fontId="0" fillId="47" borderId="2" xfId="0" applyFill="1" applyBorder="1" applyAlignment="1" applyProtection="1">
      <alignment horizontal="center"/>
    </xf>
    <xf numFmtId="0" fontId="28" fillId="0" borderId="30" xfId="0" applyFont="1" applyFill="1" applyBorder="1" applyAlignment="1" applyProtection="1">
      <alignment vertical="center" wrapText="1"/>
    </xf>
    <xf numFmtId="0" fontId="0" fillId="0" borderId="31" xfId="0" applyBorder="1" applyAlignment="1" applyProtection="1">
      <protection locked="0"/>
    </xf>
    <xf numFmtId="0" fontId="0" fillId="0" borderId="30" xfId="0" applyBorder="1" applyAlignment="1" applyProtection="1">
      <protection locked="0"/>
    </xf>
    <xf numFmtId="0" fontId="0" fillId="17" borderId="34" xfId="0" applyFill="1" applyBorder="1" applyAlignment="1" applyProtection="1">
      <protection locked="0"/>
    </xf>
    <xf numFmtId="0" fontId="0" fillId="17" borderId="31" xfId="0" applyFill="1" applyBorder="1" applyAlignment="1" applyProtection="1">
      <protection locked="0"/>
    </xf>
    <xf numFmtId="0" fontId="31" fillId="17" borderId="41" xfId="0" applyFont="1" applyFill="1" applyBorder="1" applyAlignment="1" applyProtection="1">
      <alignment vertical="center" wrapText="1"/>
    </xf>
    <xf numFmtId="0" fontId="28" fillId="18" borderId="30" xfId="0" applyFont="1" applyFill="1" applyBorder="1" applyAlignment="1" applyProtection="1">
      <alignment vertical="center" wrapText="1"/>
    </xf>
    <xf numFmtId="0" fontId="0" fillId="15" borderId="31" xfId="0" applyFill="1" applyBorder="1" applyAlignment="1" applyProtection="1">
      <protection locked="0"/>
    </xf>
    <xf numFmtId="0" fontId="0" fillId="15" borderId="30" xfId="0" applyFill="1" applyBorder="1" applyAlignment="1" applyProtection="1">
      <protection locked="0"/>
    </xf>
    <xf numFmtId="0" fontId="0" fillId="16" borderId="38" xfId="0" applyFill="1" applyBorder="1" applyAlignment="1" applyProtection="1"/>
    <xf numFmtId="0" fontId="0" fillId="16" borderId="0" xfId="0" applyFill="1" applyBorder="1" applyAlignment="1" applyProtection="1"/>
    <xf numFmtId="0" fontId="0" fillId="16" borderId="39" xfId="0" applyFill="1" applyBorder="1" applyAlignment="1" applyProtection="1"/>
    <xf numFmtId="0" fontId="4" fillId="16" borderId="0" xfId="0" applyFont="1" applyFill="1" applyAlignment="1" applyProtection="1">
      <alignment horizontal="center"/>
      <protection locked="0"/>
    </xf>
    <xf numFmtId="0" fontId="29" fillId="17" borderId="38" xfId="0" applyFont="1" applyFill="1" applyBorder="1" applyAlignment="1" applyProtection="1">
      <alignment vertical="center" wrapText="1"/>
    </xf>
    <xf numFmtId="0" fontId="29" fillId="17" borderId="0" xfId="0" applyFont="1" applyFill="1" applyBorder="1" applyAlignment="1" applyProtection="1">
      <alignment vertical="center" wrapText="1"/>
    </xf>
    <xf numFmtId="0" fontId="29" fillId="17" borderId="39" xfId="0" applyFont="1" applyFill="1" applyBorder="1" applyAlignment="1" applyProtection="1">
      <alignment vertical="center" wrapText="1"/>
    </xf>
    <xf numFmtId="0" fontId="30" fillId="0" borderId="31" xfId="0" applyFont="1" applyBorder="1" applyAlignment="1" applyProtection="1">
      <alignment vertical="center" wrapText="1"/>
      <protection locked="0"/>
    </xf>
    <xf numFmtId="0" fontId="30" fillId="0" borderId="30" xfId="0" applyFont="1" applyBorder="1" applyAlignment="1" applyProtection="1">
      <alignment vertical="center" wrapText="1"/>
      <protection locked="0"/>
    </xf>
    <xf numFmtId="0" fontId="11" fillId="16" borderId="36" xfId="0" applyFont="1" applyFill="1" applyBorder="1" applyAlignment="1" applyProtection="1">
      <protection locked="0"/>
    </xf>
    <xf numFmtId="0" fontId="11" fillId="16" borderId="37" xfId="0" applyFont="1" applyFill="1" applyBorder="1" applyAlignment="1" applyProtection="1">
      <protection locked="0"/>
    </xf>
    <xf numFmtId="0" fontId="28" fillId="15" borderId="38" xfId="0" applyFont="1" applyFill="1" applyBorder="1" applyAlignment="1" applyProtection="1">
      <alignment vertical="center" wrapText="1"/>
    </xf>
    <xf numFmtId="0" fontId="28" fillId="15" borderId="0" xfId="0" applyFont="1" applyFill="1" applyBorder="1" applyAlignment="1" applyProtection="1">
      <alignment vertical="center" wrapText="1"/>
    </xf>
    <xf numFmtId="0" fontId="28" fillId="15" borderId="39" xfId="0" applyFont="1" applyFill="1" applyBorder="1" applyAlignment="1" applyProtection="1">
      <alignment vertical="center" wrapText="1"/>
    </xf>
    <xf numFmtId="0" fontId="0" fillId="18" borderId="31" xfId="0" applyFill="1" applyBorder="1" applyAlignment="1" applyProtection="1">
      <protection locked="0"/>
    </xf>
    <xf numFmtId="0" fontId="0" fillId="18" borderId="30" xfId="0" applyFill="1" applyBorder="1" applyAlignment="1" applyProtection="1">
      <protection locked="0"/>
    </xf>
    <xf numFmtId="0" fontId="28" fillId="0" borderId="38" xfId="0" applyFont="1" applyFill="1" applyBorder="1" applyAlignment="1" applyProtection="1">
      <alignment vertical="center" wrapText="1"/>
    </xf>
    <xf numFmtId="0" fontId="28" fillId="0" borderId="0" xfId="0" applyFont="1" applyFill="1" applyBorder="1" applyAlignment="1" applyProtection="1">
      <alignment vertical="center" wrapText="1"/>
    </xf>
    <xf numFmtId="0" fontId="28" fillId="0" borderId="39" xfId="0" applyFont="1" applyFill="1" applyBorder="1" applyAlignment="1" applyProtection="1">
      <alignment vertical="center" wrapText="1"/>
    </xf>
    <xf numFmtId="0" fontId="0" fillId="0" borderId="33" xfId="0" applyBorder="1" applyAlignment="1" applyProtection="1">
      <protection locked="0"/>
    </xf>
    <xf numFmtId="0" fontId="0" fillId="0" borderId="40" xfId="0" applyBorder="1" applyAlignment="1" applyProtection="1">
      <protection locked="0"/>
    </xf>
    <xf numFmtId="0" fontId="31" fillId="17" borderId="38" xfId="0" applyFont="1" applyFill="1" applyBorder="1" applyAlignment="1" applyProtection="1">
      <alignment vertical="center" wrapText="1"/>
    </xf>
    <xf numFmtId="0" fontId="31" fillId="17" borderId="0" xfId="0" applyFont="1" applyFill="1" applyBorder="1" applyAlignment="1" applyProtection="1">
      <alignment vertical="center" wrapText="1"/>
    </xf>
    <xf numFmtId="0" fontId="31" fillId="17" borderId="39" xfId="0" applyFont="1" applyFill="1" applyBorder="1" applyAlignment="1" applyProtection="1">
      <alignment vertical="center" wrapText="1"/>
    </xf>
    <xf numFmtId="0" fontId="29" fillId="17" borderId="36" xfId="0" applyFont="1" applyFill="1" applyBorder="1" applyAlignment="1" applyProtection="1">
      <alignment vertical="center" wrapText="1"/>
    </xf>
    <xf numFmtId="0" fontId="29" fillId="17" borderId="29" xfId="0" applyFont="1" applyFill="1" applyBorder="1" applyAlignment="1" applyProtection="1">
      <alignment vertical="center" wrapText="1"/>
    </xf>
    <xf numFmtId="0" fontId="29" fillId="17" borderId="37" xfId="0" applyFont="1" applyFill="1" applyBorder="1" applyAlignment="1" applyProtection="1">
      <alignment vertical="center" wrapText="1"/>
    </xf>
    <xf numFmtId="0" fontId="28" fillId="15" borderId="30" xfId="0" applyFont="1" applyFill="1" applyBorder="1" applyAlignment="1" applyProtection="1">
      <alignment vertical="center" wrapText="1"/>
    </xf>
    <xf numFmtId="0" fontId="30" fillId="16" borderId="36" xfId="0" applyFont="1" applyFill="1" applyBorder="1" applyAlignment="1" applyProtection="1">
      <protection locked="0"/>
    </xf>
    <xf numFmtId="0" fontId="30" fillId="16" borderId="37" xfId="0" applyFont="1" applyFill="1" applyBorder="1" applyAlignment="1" applyProtection="1">
      <protection locked="0"/>
    </xf>
    <xf numFmtId="0" fontId="0" fillId="17" borderId="38" xfId="0" applyFill="1" applyBorder="1" applyAlignment="1" applyProtection="1">
      <alignment horizontal="center" wrapText="1"/>
    </xf>
    <xf numFmtId="0" fontId="0" fillId="17" borderId="0" xfId="0" applyFill="1" applyBorder="1" applyAlignment="1" applyProtection="1">
      <alignment horizontal="center" wrapText="1"/>
    </xf>
    <xf numFmtId="0" fontId="0" fillId="17" borderId="39" xfId="0" applyFill="1" applyBorder="1" applyAlignment="1" applyProtection="1">
      <alignment horizontal="center" wrapText="1"/>
    </xf>
    <xf numFmtId="0" fontId="0" fillId="15" borderId="38" xfId="0" applyFill="1" applyBorder="1" applyAlignment="1" applyProtection="1">
      <alignment vertical="center" wrapText="1"/>
    </xf>
    <xf numFmtId="0" fontId="0" fillId="15" borderId="0" xfId="0" applyFill="1" applyBorder="1" applyAlignment="1" applyProtection="1">
      <alignment vertical="center" wrapText="1"/>
    </xf>
    <xf numFmtId="0" fontId="0" fillId="15" borderId="39" xfId="0" applyFill="1" applyBorder="1" applyAlignment="1" applyProtection="1">
      <alignment vertical="center" wrapText="1"/>
    </xf>
    <xf numFmtId="0" fontId="0" fillId="0" borderId="38" xfId="0" applyBorder="1" applyAlignment="1" applyProtection="1">
      <alignment vertical="center" wrapText="1"/>
    </xf>
    <xf numFmtId="0" fontId="0" fillId="0" borderId="0" xfId="0" applyBorder="1" applyAlignment="1" applyProtection="1">
      <alignment vertical="center" wrapText="1"/>
    </xf>
    <xf numFmtId="0" fontId="0" fillId="0" borderId="39" xfId="0" applyBorder="1" applyAlignment="1" applyProtection="1">
      <alignment vertical="center" wrapText="1"/>
    </xf>
    <xf numFmtId="0" fontId="1" fillId="16" borderId="38" xfId="0" applyFont="1" applyFill="1" applyBorder="1" applyAlignment="1" applyProtection="1">
      <alignment horizontal="left" vertical="center" wrapText="1"/>
    </xf>
    <xf numFmtId="0" fontId="1" fillId="16" borderId="0" xfId="0" applyFont="1" applyFill="1" applyBorder="1" applyAlignment="1" applyProtection="1">
      <alignment horizontal="left" vertical="center"/>
    </xf>
    <xf numFmtId="0" fontId="1" fillId="16" borderId="39" xfId="0" applyFont="1" applyFill="1" applyBorder="1" applyAlignment="1" applyProtection="1">
      <alignment horizontal="left" vertical="center"/>
    </xf>
    <xf numFmtId="0" fontId="0" fillId="17" borderId="38" xfId="0" applyFill="1" applyBorder="1" applyAlignment="1" applyProtection="1"/>
    <xf numFmtId="0" fontId="0" fillId="17" borderId="0" xfId="0" applyFill="1" applyBorder="1" applyAlignment="1" applyProtection="1"/>
    <xf numFmtId="0" fontId="0" fillId="17" borderId="39" xfId="0" applyFill="1" applyBorder="1" applyAlignment="1" applyProtection="1"/>
    <xf numFmtId="0" fontId="27" fillId="17" borderId="30" xfId="0" applyFont="1" applyFill="1" applyBorder="1" applyAlignment="1" applyProtection="1">
      <alignment vertical="center" wrapText="1"/>
    </xf>
    <xf numFmtId="0" fontId="28" fillId="16" borderId="40" xfId="0" applyFont="1" applyFill="1" applyBorder="1" applyAlignment="1" applyProtection="1">
      <alignment vertical="center" wrapText="1"/>
    </xf>
    <xf numFmtId="0" fontId="27" fillId="16" borderId="30" xfId="0" applyFont="1" applyFill="1" applyBorder="1" applyAlignment="1" applyProtection="1">
      <alignment vertical="center" wrapText="1"/>
    </xf>
    <xf numFmtId="0" fontId="27" fillId="16" borderId="38" xfId="0" applyFont="1" applyFill="1" applyBorder="1" applyAlignment="1" applyProtection="1">
      <alignment vertical="center" wrapText="1"/>
    </xf>
    <xf numFmtId="0" fontId="27" fillId="16" borderId="0" xfId="0" applyFont="1" applyFill="1" applyBorder="1" applyAlignment="1" applyProtection="1">
      <alignment vertical="center" wrapText="1"/>
    </xf>
    <xf numFmtId="0" fontId="27" fillId="16" borderId="39" xfId="0" applyFont="1" applyFill="1" applyBorder="1" applyAlignment="1" applyProtection="1">
      <alignment vertical="center" wrapText="1"/>
    </xf>
    <xf numFmtId="0" fontId="4" fillId="16" borderId="0" xfId="0" applyFont="1" applyFill="1" applyAlignment="1" applyProtection="1">
      <alignment horizontal="center"/>
    </xf>
    <xf numFmtId="0" fontId="25" fillId="17" borderId="34" xfId="0" applyFont="1" applyFill="1" applyBorder="1" applyAlignment="1" applyProtection="1">
      <alignment vertical="center" wrapText="1"/>
    </xf>
    <xf numFmtId="0" fontId="25" fillId="17" borderId="35" xfId="0" applyFont="1" applyFill="1" applyBorder="1" applyAlignment="1" applyProtection="1">
      <alignment vertical="center" wrapText="1"/>
    </xf>
    <xf numFmtId="0" fontId="25" fillId="17" borderId="31" xfId="0" applyFont="1" applyFill="1" applyBorder="1" applyAlignment="1" applyProtection="1">
      <alignment vertical="center" wrapText="1"/>
    </xf>
    <xf numFmtId="0" fontId="21" fillId="0" borderId="31" xfId="0" applyFont="1" applyBorder="1" applyAlignment="1" applyProtection="1">
      <alignment vertical="center" wrapText="1"/>
    </xf>
    <xf numFmtId="0" fontId="21" fillId="0" borderId="30" xfId="0" applyFont="1" applyBorder="1" applyAlignment="1" applyProtection="1">
      <alignment vertical="center" wrapText="1"/>
    </xf>
    <xf numFmtId="0" fontId="0" fillId="16" borderId="36" xfId="0" applyFill="1" applyBorder="1" applyAlignment="1" applyProtection="1"/>
    <xf numFmtId="0" fontId="0" fillId="16" borderId="37" xfId="0" applyFill="1" applyBorder="1" applyAlignment="1" applyProtection="1"/>
    <xf numFmtId="0" fontId="0" fillId="15" borderId="99" xfId="0" applyFill="1" applyBorder="1" applyAlignment="1" applyProtection="1">
      <protection locked="0"/>
    </xf>
    <xf numFmtId="0" fontId="24" fillId="16" borderId="41" xfId="0" applyFont="1" applyFill="1" applyBorder="1" applyAlignment="1" applyProtection="1">
      <alignment vertical="center" wrapText="1"/>
    </xf>
    <xf numFmtId="0" fontId="4" fillId="16" borderId="37" xfId="0" applyFont="1" applyFill="1" applyBorder="1" applyAlignment="1" applyProtection="1">
      <alignment horizontal="center"/>
    </xf>
    <xf numFmtId="0" fontId="4" fillId="16" borderId="41" xfId="0" applyFont="1" applyFill="1" applyBorder="1" applyAlignment="1" applyProtection="1">
      <alignment horizontal="center"/>
    </xf>
    <xf numFmtId="0" fontId="0" fillId="0" borderId="96" xfId="0" applyBorder="1" applyAlignment="1" applyProtection="1">
      <alignment horizontal="center"/>
    </xf>
    <xf numFmtId="0" fontId="0" fillId="0" borderId="97" xfId="0" applyBorder="1" applyAlignment="1" applyProtection="1">
      <alignment horizontal="center"/>
    </xf>
    <xf numFmtId="0" fontId="0" fillId="0" borderId="98" xfId="0" applyBorder="1" applyAlignment="1" applyProtection="1">
      <alignment horizontal="center"/>
    </xf>
    <xf numFmtId="0" fontId="12" fillId="2" borderId="1" xfId="0" applyFont="1" applyFill="1" applyBorder="1" applyAlignment="1" applyProtection="1">
      <alignment vertical="center"/>
    </xf>
    <xf numFmtId="0" fontId="13" fillId="2" borderId="1" xfId="0" applyFont="1" applyFill="1" applyBorder="1" applyAlignment="1" applyProtection="1">
      <alignment horizontal="center" vertical="center"/>
    </xf>
    <xf numFmtId="0" fontId="0" fillId="0" borderId="1" xfId="0" applyBorder="1" applyAlignment="1" applyProtection="1">
      <alignment horizontal="right" vertical="center"/>
    </xf>
    <xf numFmtId="0" fontId="0" fillId="5" borderId="1" xfId="0" applyFill="1" applyBorder="1" applyAlignment="1" applyProtection="1">
      <alignment horizontal="left" vertical="center" wrapText="1"/>
    </xf>
    <xf numFmtId="0" fontId="14" fillId="7" borderId="1" xfId="0" applyFont="1" applyFill="1" applyBorder="1" applyAlignment="1" applyProtection="1">
      <alignment horizontal="left" wrapText="1"/>
    </xf>
    <xf numFmtId="0" fontId="0" fillId="0" borderId="96" xfId="0" applyBorder="1" applyAlignment="1" applyProtection="1">
      <alignment horizontal="center"/>
      <protection locked="0"/>
    </xf>
    <xf numFmtId="0" fontId="0" fillId="0" borderId="98" xfId="0" applyBorder="1" applyAlignment="1" applyProtection="1">
      <alignment horizontal="center"/>
      <protection locked="0"/>
    </xf>
    <xf numFmtId="0" fontId="10" fillId="4" borderId="1" xfId="0" applyFont="1" applyFill="1" applyBorder="1" applyAlignment="1" applyProtection="1">
      <alignment horizontal="center" vertical="center"/>
    </xf>
    <xf numFmtId="0" fontId="0" fillId="0" borderId="1" xfId="0" applyBorder="1" applyAlignment="1" applyProtection="1">
      <alignment horizontal="right"/>
    </xf>
    <xf numFmtId="0" fontId="0" fillId="0" borderId="97" xfId="0" applyBorder="1" applyAlignment="1" applyProtection="1">
      <alignment horizontal="center"/>
      <protection locked="0"/>
    </xf>
    <xf numFmtId="0" fontId="0" fillId="15" borderId="100" xfId="0" applyFill="1" applyBorder="1" applyAlignment="1" applyProtection="1">
      <protection locked="0"/>
    </xf>
    <xf numFmtId="0" fontId="0" fillId="15" borderId="91" xfId="0" applyFill="1" applyBorder="1" applyAlignment="1" applyProtection="1">
      <protection locked="0"/>
    </xf>
    <xf numFmtId="0" fontId="0" fillId="15" borderId="92" xfId="0" applyFill="1" applyBorder="1" applyAlignment="1" applyProtection="1">
      <protection locked="0"/>
    </xf>
    <xf numFmtId="0" fontId="4" fillId="16" borderId="78" xfId="0" applyFont="1" applyFill="1" applyBorder="1" applyAlignment="1" applyProtection="1">
      <alignment horizontal="center"/>
    </xf>
    <xf numFmtId="0" fontId="0" fillId="16" borderId="29" xfId="0" applyFill="1" applyBorder="1" applyAlignment="1" applyProtection="1"/>
    <xf numFmtId="0" fontId="21" fillId="0" borderId="93" xfId="0" applyFont="1" applyBorder="1" applyAlignment="1" applyProtection="1">
      <alignment vertical="center" wrapText="1"/>
    </xf>
    <xf numFmtId="0" fontId="4" fillId="16" borderId="0" xfId="0" applyFont="1" applyFill="1" applyBorder="1" applyAlignment="1" applyProtection="1">
      <alignment horizontal="center"/>
    </xf>
    <xf numFmtId="0" fontId="4" fillId="16" borderId="94" xfId="0" applyFont="1" applyFill="1" applyBorder="1" applyAlignment="1" applyProtection="1">
      <alignment horizontal="center"/>
    </xf>
    <xf numFmtId="0" fontId="0" fillId="0" borderId="93" xfId="0" applyBorder="1" applyAlignment="1" applyProtection="1">
      <protection locked="0"/>
    </xf>
    <xf numFmtId="0" fontId="4" fillId="16" borderId="38" xfId="0" applyFont="1" applyFill="1" applyBorder="1" applyAlignment="1" applyProtection="1">
      <alignment horizontal="center"/>
      <protection locked="0"/>
    </xf>
    <xf numFmtId="0" fontId="4" fillId="16" borderId="0" xfId="0" applyFont="1" applyFill="1" applyBorder="1" applyAlignment="1" applyProtection="1">
      <alignment horizontal="center"/>
      <protection locked="0"/>
    </xf>
    <xf numFmtId="0" fontId="4" fillId="16" borderId="94" xfId="0" applyFont="1" applyFill="1" applyBorder="1" applyAlignment="1" applyProtection="1">
      <alignment horizontal="center"/>
      <protection locked="0"/>
    </xf>
    <xf numFmtId="0" fontId="30" fillId="16" borderId="29" xfId="0" applyFont="1" applyFill="1" applyBorder="1" applyAlignment="1" applyProtection="1">
      <protection locked="0"/>
    </xf>
    <xf numFmtId="0" fontId="30" fillId="0" borderId="93" xfId="0" applyFont="1" applyBorder="1" applyAlignment="1" applyProtection="1">
      <alignment vertical="center" wrapText="1"/>
      <protection locked="0"/>
    </xf>
    <xf numFmtId="0" fontId="0" fillId="15" borderId="93" xfId="0" applyFill="1" applyBorder="1" applyAlignment="1" applyProtection="1">
      <protection locked="0"/>
    </xf>
    <xf numFmtId="0" fontId="0" fillId="0" borderId="95" xfId="0" applyBorder="1" applyAlignment="1" applyProtection="1">
      <protection locked="0"/>
    </xf>
    <xf numFmtId="0" fontId="0" fillId="17" borderId="35" xfId="0" applyFill="1" applyBorder="1" applyAlignment="1" applyProtection="1">
      <protection locked="0"/>
    </xf>
    <xf numFmtId="0" fontId="11" fillId="16" borderId="29" xfId="0" applyFont="1" applyFill="1" applyBorder="1" applyAlignment="1" applyProtection="1">
      <protection locked="0"/>
    </xf>
    <xf numFmtId="0" fontId="3" fillId="14" borderId="48" xfId="0" applyFont="1" applyFill="1" applyBorder="1" applyAlignment="1" applyProtection="1">
      <alignment horizontal="center" vertical="center" wrapText="1"/>
    </xf>
    <xf numFmtId="0" fontId="3" fillId="14" borderId="49" xfId="0" applyFont="1" applyFill="1" applyBorder="1" applyAlignment="1" applyProtection="1">
      <alignment horizontal="center" vertical="center" wrapText="1"/>
    </xf>
    <xf numFmtId="0" fontId="3" fillId="14" borderId="50" xfId="0" applyFont="1" applyFill="1" applyBorder="1" applyAlignment="1" applyProtection="1">
      <alignment horizontal="center" vertical="center" wrapText="1"/>
    </xf>
    <xf numFmtId="0" fontId="0" fillId="14" borderId="48" xfId="0" applyFill="1" applyBorder="1" applyAlignment="1" applyProtection="1">
      <alignment horizontal="center" vertical="center"/>
    </xf>
    <xf numFmtId="0" fontId="0" fillId="14" borderId="49" xfId="0" applyFill="1" applyBorder="1" applyAlignment="1" applyProtection="1">
      <alignment horizontal="center" vertical="center"/>
    </xf>
    <xf numFmtId="0" fontId="0" fillId="14" borderId="50" xfId="0" applyFill="1" applyBorder="1" applyAlignment="1" applyProtection="1">
      <alignment horizontal="center" vertical="center"/>
    </xf>
    <xf numFmtId="0" fontId="0" fillId="18" borderId="93" xfId="0" applyFill="1" applyBorder="1" applyAlignment="1" applyProtection="1">
      <protection locked="0"/>
    </xf>
    <xf numFmtId="0" fontId="12" fillId="2" borderId="6" xfId="0" applyFont="1" applyFill="1" applyBorder="1" applyAlignment="1" applyProtection="1">
      <alignment horizontal="right" vertical="center"/>
    </xf>
    <xf numFmtId="0" fontId="12" fillId="2" borderId="7" xfId="0" applyFont="1" applyFill="1" applyBorder="1" applyAlignment="1" applyProtection="1">
      <alignment horizontal="right" vertical="center"/>
    </xf>
    <xf numFmtId="0" fontId="12" fillId="2" borderId="8" xfId="0" applyFont="1" applyFill="1" applyBorder="1" applyAlignment="1" applyProtection="1">
      <alignment horizontal="right" vertical="center"/>
    </xf>
    <xf numFmtId="0" fontId="36" fillId="15" borderId="0" xfId="0" applyFont="1" applyFill="1" applyAlignment="1">
      <alignment vertical="center" wrapText="1"/>
    </xf>
    <xf numFmtId="0" fontId="36" fillId="7" borderId="0" xfId="0" applyFont="1" applyFill="1" applyAlignment="1">
      <alignment vertical="center" wrapText="1"/>
    </xf>
    <xf numFmtId="0" fontId="10" fillId="4" borderId="4" xfId="0" applyFont="1" applyFill="1" applyBorder="1" applyAlignment="1">
      <alignment horizontal="left"/>
    </xf>
    <xf numFmtId="0" fontId="10" fillId="4" borderId="3" xfId="0" applyFont="1" applyFill="1" applyBorder="1" applyAlignment="1">
      <alignment horizontal="left"/>
    </xf>
    <xf numFmtId="0" fontId="34" fillId="15" borderId="0" xfId="0" applyFont="1" applyFill="1" applyAlignment="1">
      <alignment vertical="center" wrapText="1"/>
    </xf>
    <xf numFmtId="0" fontId="35" fillId="15" borderId="0" xfId="0" applyFont="1" applyFill="1" applyAlignment="1">
      <alignment vertical="center" wrapText="1"/>
    </xf>
    <xf numFmtId="0" fontId="8" fillId="15" borderId="0" xfId="0" applyFont="1" applyFill="1" applyAlignment="1">
      <alignment vertical="center" wrapText="1"/>
    </xf>
    <xf numFmtId="0" fontId="0" fillId="5" borderId="1" xfId="0" applyFill="1" applyBorder="1" applyAlignment="1">
      <alignment horizontal="center"/>
    </xf>
    <xf numFmtId="0" fontId="0" fillId="6" borderId="1" xfId="0" applyFill="1" applyBorder="1" applyAlignment="1">
      <alignment horizontal="center"/>
    </xf>
    <xf numFmtId="0" fontId="36" fillId="5" borderId="1" xfId="0" applyFont="1" applyFill="1" applyBorder="1" applyAlignment="1">
      <alignment vertical="center" wrapText="1"/>
    </xf>
    <xf numFmtId="0" fontId="36" fillId="6" borderId="1" xfId="0" applyFont="1" applyFill="1" applyBorder="1" applyAlignment="1">
      <alignment vertical="center" wrapText="1"/>
    </xf>
    <xf numFmtId="0" fontId="36" fillId="6" borderId="0" xfId="0" applyFont="1" applyFill="1" applyAlignment="1">
      <alignment vertical="center" wrapText="1"/>
    </xf>
    <xf numFmtId="0" fontId="36" fillId="5" borderId="0" xfId="0" applyFont="1" applyFill="1" applyAlignment="1">
      <alignment vertical="center" wrapText="1"/>
    </xf>
    <xf numFmtId="164" fontId="0" fillId="5" borderId="1" xfId="0" applyNumberFormat="1" applyFill="1" applyBorder="1" applyAlignment="1" applyProtection="1">
      <alignment horizontal="center"/>
    </xf>
    <xf numFmtId="164" fontId="0" fillId="6" borderId="1" xfId="0" applyNumberFormat="1" applyFill="1" applyBorder="1" applyAlignment="1" applyProtection="1">
      <alignment horizontal="center"/>
    </xf>
    <xf numFmtId="0" fontId="36" fillId="28" borderId="1" xfId="0" applyFont="1" applyFill="1" applyBorder="1" applyAlignment="1">
      <alignment vertical="center" wrapText="1"/>
    </xf>
    <xf numFmtId="0" fontId="20" fillId="6" borderId="1" xfId="0" applyFont="1" applyFill="1" applyBorder="1" applyAlignment="1">
      <alignment horizontal="center" vertical="center" textRotation="90" wrapText="1"/>
    </xf>
    <xf numFmtId="0" fontId="20" fillId="5" borderId="1" xfId="0" applyFont="1" applyFill="1" applyBorder="1" applyAlignment="1">
      <alignment horizontal="center" vertical="center" textRotation="90" wrapText="1"/>
    </xf>
    <xf numFmtId="0" fontId="36" fillId="29" borderId="1" xfId="0" applyFont="1" applyFill="1" applyBorder="1" applyAlignment="1">
      <alignment vertical="center" wrapText="1"/>
    </xf>
    <xf numFmtId="0" fontId="22" fillId="13" borderId="15" xfId="0" applyFont="1" applyFill="1" applyBorder="1" applyAlignment="1" applyProtection="1">
      <alignment horizontal="left" vertical="top" wrapText="1"/>
    </xf>
    <xf numFmtId="0" fontId="22" fillId="20" borderId="11" xfId="0" applyFont="1" applyFill="1" applyBorder="1" applyAlignment="1" applyProtection="1">
      <alignment horizontal="left" vertical="top" wrapText="1"/>
    </xf>
    <xf numFmtId="0" fontId="22" fillId="19" borderId="15" xfId="0" applyFont="1" applyFill="1" applyBorder="1" applyAlignment="1" applyProtection="1">
      <alignment horizontal="center" wrapText="1"/>
    </xf>
    <xf numFmtId="0" fontId="22" fillId="13" borderId="1" xfId="0" applyFont="1" applyFill="1" applyBorder="1" applyAlignment="1" applyProtection="1">
      <alignment horizontal="left" vertical="top" wrapText="1"/>
    </xf>
    <xf numFmtId="0" fontId="22" fillId="13" borderId="113" xfId="0" applyFont="1" applyFill="1" applyBorder="1" applyAlignment="1" applyProtection="1">
      <alignment horizontal="left" vertical="top" wrapText="1"/>
    </xf>
    <xf numFmtId="0" fontId="22" fillId="13" borderId="35" xfId="0" applyFont="1" applyFill="1" applyBorder="1" applyAlignment="1" applyProtection="1">
      <alignment horizontal="left" vertical="top" wrapText="1"/>
    </xf>
    <xf numFmtId="0" fontId="22" fillId="13" borderId="114" xfId="0" applyFont="1" applyFill="1" applyBorder="1" applyAlignment="1" applyProtection="1">
      <alignment horizontal="left" vertical="top" wrapText="1"/>
    </xf>
    <xf numFmtId="0" fontId="22" fillId="20" borderId="113" xfId="0" applyFont="1" applyFill="1" applyBorder="1" applyAlignment="1" applyProtection="1">
      <alignment horizontal="left" vertical="top" wrapText="1"/>
    </xf>
    <xf numFmtId="0" fontId="22" fillId="20" borderId="35" xfId="0" applyFont="1" applyFill="1" applyBorder="1" applyAlignment="1" applyProtection="1">
      <alignment horizontal="left" vertical="top" wrapText="1"/>
    </xf>
    <xf numFmtId="0" fontId="22" fillId="20" borderId="114" xfId="0" applyFont="1" applyFill="1" applyBorder="1" applyAlignment="1" applyProtection="1">
      <alignment horizontal="left" vertical="top" wrapText="1"/>
    </xf>
    <xf numFmtId="0" fontId="22" fillId="13" borderId="89" xfId="0" applyFont="1" applyFill="1" applyBorder="1" applyAlignment="1" applyProtection="1">
      <alignment horizontal="left" vertical="top" wrapText="1"/>
    </xf>
    <xf numFmtId="0" fontId="22" fillId="13" borderId="108" xfId="0" applyFont="1" applyFill="1" applyBorder="1" applyAlignment="1" applyProtection="1">
      <alignment horizontal="left" vertical="top" wrapText="1"/>
    </xf>
    <xf numFmtId="0" fontId="22" fillId="13" borderId="84" xfId="0" applyFont="1" applyFill="1" applyBorder="1" applyAlignment="1" applyProtection="1">
      <alignment horizontal="left" vertical="top" wrapText="1"/>
    </xf>
    <xf numFmtId="0" fontId="22" fillId="20" borderId="1" xfId="0" applyFont="1" applyFill="1" applyBorder="1" applyAlignment="1" applyProtection="1">
      <alignment horizontal="left" vertical="top" wrapText="1"/>
    </xf>
    <xf numFmtId="0" fontId="22" fillId="4" borderId="53" xfId="0" applyFont="1" applyFill="1" applyBorder="1" applyAlignment="1">
      <alignment horizontal="center"/>
    </xf>
    <xf numFmtId="0" fontId="22" fillId="4" borderId="1" xfId="0" applyFont="1" applyFill="1" applyBorder="1" applyAlignment="1">
      <alignment horizontal="center"/>
    </xf>
    <xf numFmtId="0" fontId="0" fillId="6" borderId="1" xfId="0" applyFill="1" applyBorder="1" applyAlignment="1">
      <alignment horizontal="left"/>
    </xf>
    <xf numFmtId="0" fontId="0" fillId="4" borderId="15" xfId="0" applyFill="1" applyBorder="1" applyAlignment="1">
      <alignment horizontal="center"/>
    </xf>
    <xf numFmtId="0" fontId="0" fillId="4" borderId="6" xfId="0" applyFill="1" applyBorder="1" applyAlignment="1">
      <alignment horizontal="center"/>
    </xf>
    <xf numFmtId="0" fontId="0" fillId="6" borderId="4" xfId="0" applyFill="1" applyBorder="1" applyAlignment="1">
      <alignment horizontal="left"/>
    </xf>
    <xf numFmtId="0" fontId="0" fillId="6" borderId="3" xfId="0" applyFill="1" applyBorder="1" applyAlignment="1">
      <alignment horizontal="left"/>
    </xf>
    <xf numFmtId="0" fontId="0" fillId="6" borderId="2" xfId="0" applyFill="1" applyBorder="1" applyAlignment="1">
      <alignment horizontal="left"/>
    </xf>
    <xf numFmtId="0" fontId="0" fillId="4" borderId="6" xfId="0" applyFill="1" applyBorder="1" applyAlignment="1">
      <alignment horizontal="left"/>
    </xf>
    <xf numFmtId="0" fontId="0" fillId="4" borderId="7" xfId="0" applyFill="1" applyBorder="1" applyAlignment="1">
      <alignment horizontal="left"/>
    </xf>
    <xf numFmtId="0" fontId="0" fillId="4" borderId="8" xfId="0" applyFill="1" applyBorder="1" applyAlignment="1">
      <alignment horizontal="left"/>
    </xf>
    <xf numFmtId="0" fontId="0" fillId="4" borderId="8" xfId="0" applyFill="1" applyBorder="1" applyAlignment="1">
      <alignment horizontal="center"/>
    </xf>
    <xf numFmtId="0" fontId="1" fillId="9" borderId="53" xfId="0" applyFont="1" applyFill="1" applyBorder="1" applyAlignment="1">
      <alignment horizontal="center"/>
    </xf>
    <xf numFmtId="0" fontId="1" fillId="9" borderId="1" xfId="0" applyFont="1" applyFill="1" applyBorder="1" applyAlignment="1">
      <alignment horizontal="center"/>
    </xf>
    <xf numFmtId="0" fontId="0" fillId="4" borderId="1" xfId="0" applyFill="1" applyBorder="1" applyAlignment="1">
      <alignment horizontal="center"/>
    </xf>
    <xf numFmtId="0" fontId="4" fillId="9" borderId="1" xfId="0" applyFont="1" applyFill="1" applyBorder="1" applyAlignment="1">
      <alignment horizontal="center"/>
    </xf>
    <xf numFmtId="0" fontId="0" fillId="4" borderId="4" xfId="0" applyFill="1" applyBorder="1" applyAlignment="1">
      <alignment horizontal="center"/>
    </xf>
    <xf numFmtId="0" fontId="0" fillId="6" borderId="4" xfId="0" applyFill="1" applyBorder="1" applyAlignment="1">
      <alignment horizontal="center"/>
    </xf>
    <xf numFmtId="0" fontId="0" fillId="4" borderId="4" xfId="0" applyFill="1" applyBorder="1" applyAlignment="1">
      <alignment horizontal="left"/>
    </xf>
    <xf numFmtId="0" fontId="0" fillId="4" borderId="3" xfId="0" applyFill="1" applyBorder="1" applyAlignment="1">
      <alignment horizontal="left"/>
    </xf>
    <xf numFmtId="0" fontId="0" fillId="4" borderId="2" xfId="0" applyFill="1" applyBorder="1" applyAlignment="1">
      <alignment horizontal="left"/>
    </xf>
    <xf numFmtId="0" fontId="4" fillId="12" borderId="1" xfId="0" applyFont="1" applyFill="1" applyBorder="1" applyAlignment="1">
      <alignment horizontal="center"/>
    </xf>
    <xf numFmtId="0" fontId="14" fillId="6" borderId="52" xfId="0" applyFont="1" applyFill="1" applyBorder="1" applyAlignment="1">
      <alignment horizontal="right"/>
    </xf>
    <xf numFmtId="0" fontId="0" fillId="5" borderId="4" xfId="0" applyFill="1" applyBorder="1" applyAlignment="1">
      <alignment horizontal="left"/>
    </xf>
    <xf numFmtId="0" fontId="0" fillId="5" borderId="3" xfId="0" applyFill="1" applyBorder="1" applyAlignment="1">
      <alignment horizontal="left"/>
    </xf>
    <xf numFmtId="0" fontId="0" fillId="5" borderId="2" xfId="0" applyFill="1" applyBorder="1" applyAlignment="1">
      <alignment horizontal="left"/>
    </xf>
    <xf numFmtId="0" fontId="0" fillId="4" borderId="109" xfId="0" applyFill="1" applyBorder="1" applyAlignment="1">
      <alignment horizontal="left"/>
    </xf>
    <xf numFmtId="0" fontId="0" fillId="4" borderId="110" xfId="0" applyFill="1" applyBorder="1" applyAlignment="1">
      <alignment horizontal="left"/>
    </xf>
    <xf numFmtId="0" fontId="0" fillId="4" borderId="111" xfId="0" applyFill="1" applyBorder="1" applyAlignment="1">
      <alignment horizontal="left"/>
    </xf>
    <xf numFmtId="0" fontId="22" fillId="6" borderId="52" xfId="0" applyFont="1" applyFill="1" applyBorder="1" applyAlignment="1">
      <alignment horizontal="center"/>
    </xf>
    <xf numFmtId="0" fontId="22" fillId="5" borderId="53" xfId="0" applyFont="1" applyFill="1" applyBorder="1" applyAlignment="1">
      <alignment horizontal="center"/>
    </xf>
    <xf numFmtId="0" fontId="22" fillId="5" borderId="1" xfId="0" applyFont="1" applyFill="1" applyBorder="1" applyAlignment="1">
      <alignment horizontal="center"/>
    </xf>
    <xf numFmtId="0" fontId="22" fillId="6" borderId="53" xfId="0" applyFont="1" applyFill="1" applyBorder="1" applyAlignment="1">
      <alignment horizontal="center"/>
    </xf>
    <xf numFmtId="0" fontId="22" fillId="6" borderId="1" xfId="0" applyFont="1" applyFill="1" applyBorder="1" applyAlignment="1">
      <alignment horizontal="center"/>
    </xf>
    <xf numFmtId="0" fontId="0" fillId="5" borderId="4" xfId="0" applyFill="1" applyBorder="1" applyAlignment="1">
      <alignment horizontal="center"/>
    </xf>
    <xf numFmtId="0" fontId="4" fillId="9" borderId="4" xfId="0" applyFont="1" applyFill="1" applyBorder="1" applyAlignment="1">
      <alignment horizontal="center"/>
    </xf>
    <xf numFmtId="0" fontId="0" fillId="4" borderId="109" xfId="0" applyFill="1" applyBorder="1" applyAlignment="1">
      <alignment horizontal="center"/>
    </xf>
    <xf numFmtId="0" fontId="0" fillId="4" borderId="111" xfId="0" applyFill="1" applyBorder="1" applyAlignment="1">
      <alignment horizontal="center"/>
    </xf>
    <xf numFmtId="0" fontId="3" fillId="4" borderId="89" xfId="0" applyFont="1" applyFill="1" applyBorder="1" applyAlignment="1">
      <alignment horizontal="right"/>
    </xf>
    <xf numFmtId="0" fontId="3" fillId="4" borderId="108" xfId="0" applyFont="1" applyFill="1" applyBorder="1" applyAlignment="1">
      <alignment horizontal="right"/>
    </xf>
    <xf numFmtId="0" fontId="3" fillId="4" borderId="84" xfId="0" applyFont="1" applyFill="1" applyBorder="1" applyAlignment="1">
      <alignment horizontal="right"/>
    </xf>
    <xf numFmtId="0" fontId="4" fillId="12" borderId="4" xfId="0" applyFont="1" applyFill="1" applyBorder="1" applyAlignment="1">
      <alignment horizontal="center" wrapText="1"/>
    </xf>
    <xf numFmtId="0" fontId="4" fillId="12" borderId="2" xfId="0" applyFont="1" applyFill="1" applyBorder="1" applyAlignment="1">
      <alignment horizontal="center" wrapText="1"/>
    </xf>
    <xf numFmtId="0" fontId="0" fillId="4" borderId="2" xfId="0" applyFill="1" applyBorder="1" applyAlignment="1">
      <alignment horizontal="center"/>
    </xf>
    <xf numFmtId="0" fontId="0" fillId="6" borderId="2" xfId="0" applyFill="1" applyBorder="1" applyAlignment="1">
      <alignment horizontal="center"/>
    </xf>
    <xf numFmtId="0" fontId="0" fillId="6" borderId="6" xfId="0" applyFill="1" applyBorder="1" applyAlignment="1">
      <alignment horizontal="center"/>
    </xf>
    <xf numFmtId="0" fontId="0" fillId="6" borderId="8" xfId="0" applyFill="1" applyBorder="1" applyAlignment="1">
      <alignment horizontal="center"/>
    </xf>
    <xf numFmtId="0" fontId="0" fillId="4" borderId="89" xfId="0" applyFill="1" applyBorder="1" applyAlignment="1">
      <alignment horizontal="center"/>
    </xf>
    <xf numFmtId="0" fontId="0" fillId="4" borderId="84" xfId="0" applyFill="1" applyBorder="1" applyAlignment="1">
      <alignment horizontal="center"/>
    </xf>
    <xf numFmtId="0" fontId="0" fillId="6" borderId="6" xfId="0" applyFill="1" applyBorder="1" applyAlignment="1">
      <alignment horizontal="left"/>
    </xf>
    <xf numFmtId="0" fontId="0" fillId="6" borderId="7" xfId="0" applyFill="1" applyBorder="1" applyAlignment="1">
      <alignment horizontal="left"/>
    </xf>
    <xf numFmtId="0" fontId="0" fillId="6" borderId="8" xfId="0" applyFill="1" applyBorder="1" applyAlignment="1">
      <alignment horizontal="left"/>
    </xf>
    <xf numFmtId="0" fontId="3" fillId="4" borderId="52" xfId="0" applyFont="1" applyFill="1" applyBorder="1" applyAlignment="1">
      <alignment horizontal="right"/>
    </xf>
    <xf numFmtId="0" fontId="0" fillId="4" borderId="52" xfId="0" applyFill="1" applyBorder="1" applyAlignment="1">
      <alignment horizontal="center"/>
    </xf>
    <xf numFmtId="0" fontId="3" fillId="6" borderId="52" xfId="0" applyFont="1" applyFill="1" applyBorder="1" applyAlignment="1">
      <alignment horizontal="right"/>
    </xf>
    <xf numFmtId="0" fontId="0" fillId="6" borderId="52" xfId="0" applyFill="1" applyBorder="1" applyAlignment="1">
      <alignment horizontal="center"/>
    </xf>
    <xf numFmtId="0" fontId="0" fillId="4" borderId="1" xfId="0" applyFill="1" applyBorder="1" applyAlignment="1">
      <alignment horizontal="left"/>
    </xf>
    <xf numFmtId="0" fontId="0" fillId="6" borderId="15" xfId="0" applyFill="1" applyBorder="1" applyAlignment="1">
      <alignment horizontal="left"/>
    </xf>
    <xf numFmtId="0" fontId="0" fillId="6" borderId="15" xfId="0" applyFill="1" applyBorder="1" applyAlignment="1">
      <alignment horizontal="center"/>
    </xf>
    <xf numFmtId="0" fontId="0" fillId="4" borderId="15" xfId="0" applyFill="1" applyBorder="1" applyAlignment="1">
      <alignment horizontal="left"/>
    </xf>
    <xf numFmtId="0" fontId="4" fillId="12" borderId="1" xfId="0" applyFont="1" applyFill="1" applyBorder="1" applyAlignment="1">
      <alignment horizontal="center" wrapText="1"/>
    </xf>
    <xf numFmtId="0" fontId="4" fillId="12" borderId="4" xfId="0" applyFont="1" applyFill="1" applyBorder="1" applyAlignment="1">
      <alignment horizontal="center"/>
    </xf>
    <xf numFmtId="0" fontId="4" fillId="12" borderId="3" xfId="0" applyFont="1" applyFill="1" applyBorder="1" applyAlignment="1">
      <alignment horizontal="center"/>
    </xf>
    <xf numFmtId="0" fontId="4" fillId="12" borderId="2" xfId="0" applyFont="1" applyFill="1" applyBorder="1" applyAlignment="1">
      <alignment horizontal="center"/>
    </xf>
    <xf numFmtId="0" fontId="22" fillId="4" borderId="1" xfId="0" applyFont="1" applyFill="1" applyBorder="1" applyAlignment="1">
      <alignment horizontal="left"/>
    </xf>
    <xf numFmtId="0" fontId="0" fillId="0" borderId="4" xfId="0" applyFill="1" applyBorder="1" applyAlignment="1">
      <alignment horizontal="center"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5" borderId="4" xfId="0" applyFill="1" applyBorder="1" applyAlignment="1">
      <alignment horizontal="center" vertical="center"/>
    </xf>
    <xf numFmtId="0" fontId="0" fillId="5" borderId="3" xfId="0" applyFill="1" applyBorder="1" applyAlignment="1">
      <alignment horizontal="center" vertical="center"/>
    </xf>
    <xf numFmtId="0" fontId="0" fillId="5" borderId="2" xfId="0" applyFill="1" applyBorder="1" applyAlignment="1">
      <alignment horizontal="center" vertical="center"/>
    </xf>
    <xf numFmtId="0" fontId="3" fillId="6" borderId="4" xfId="0" applyFont="1" applyFill="1" applyBorder="1" applyAlignment="1">
      <alignment horizontal="right" vertical="center"/>
    </xf>
    <xf numFmtId="0" fontId="3" fillId="6" borderId="3" xfId="0" applyFont="1" applyFill="1" applyBorder="1" applyAlignment="1">
      <alignment horizontal="right" vertical="center"/>
    </xf>
    <xf numFmtId="0" fontId="3" fillId="6" borderId="2" xfId="0" applyFont="1" applyFill="1" applyBorder="1" applyAlignment="1">
      <alignment horizontal="right" vertical="center"/>
    </xf>
    <xf numFmtId="0" fontId="36" fillId="5" borderId="9" xfId="0" applyFont="1" applyFill="1" applyBorder="1" applyAlignment="1">
      <alignment horizontal="center" vertical="center" wrapText="1"/>
    </xf>
    <xf numFmtId="0" fontId="36" fillId="5" borderId="5" xfId="0" applyFont="1" applyFill="1" applyBorder="1" applyAlignment="1">
      <alignment horizontal="center" vertical="center" wrapText="1"/>
    </xf>
    <xf numFmtId="0" fontId="36" fillId="5" borderId="10" xfId="0" applyFont="1" applyFill="1" applyBorder="1" applyAlignment="1">
      <alignment horizontal="center" vertical="center" wrapText="1"/>
    </xf>
    <xf numFmtId="0" fontId="4" fillId="12" borderId="4" xfId="0" applyFont="1" applyFill="1" applyBorder="1" applyAlignment="1">
      <alignment horizontal="center" vertical="center"/>
    </xf>
    <xf numFmtId="0" fontId="4" fillId="12" borderId="3" xfId="0" applyFont="1" applyFill="1" applyBorder="1" applyAlignment="1">
      <alignment horizontal="center" vertical="center"/>
    </xf>
    <xf numFmtId="0" fontId="4" fillId="12" borderId="2" xfId="0" applyFont="1" applyFill="1" applyBorder="1" applyAlignment="1">
      <alignment horizontal="center" vertical="center"/>
    </xf>
    <xf numFmtId="0" fontId="0" fillId="5" borderId="9" xfId="0" applyFill="1" applyBorder="1" applyAlignment="1">
      <alignment horizontal="center" vertical="center" wrapText="1"/>
    </xf>
    <xf numFmtId="0" fontId="0" fillId="5" borderId="5" xfId="0" applyFill="1" applyBorder="1" applyAlignment="1">
      <alignment horizontal="center" vertical="center" wrapText="1"/>
    </xf>
    <xf numFmtId="0" fontId="0" fillId="5" borderId="10" xfId="0" applyFill="1" applyBorder="1" applyAlignment="1">
      <alignment horizontal="center" vertical="center" wrapText="1"/>
    </xf>
    <xf numFmtId="0" fontId="42" fillId="35" borderId="97" xfId="0" applyFont="1" applyFill="1" applyBorder="1" applyAlignment="1">
      <alignment vertical="center"/>
    </xf>
    <xf numFmtId="0" fontId="42" fillId="35" borderId="0" xfId="0" applyFont="1" applyFill="1" applyBorder="1" applyAlignment="1">
      <alignment vertical="center"/>
    </xf>
    <xf numFmtId="0" fontId="3" fillId="5" borderId="1" xfId="0" applyFont="1" applyFill="1" applyBorder="1" applyAlignment="1">
      <alignment horizontal="center" vertical="center" wrapText="1"/>
    </xf>
    <xf numFmtId="1" fontId="0" fillId="0" borderId="1" xfId="0" applyNumberFormat="1" applyBorder="1" applyAlignment="1">
      <alignment horizontal="center" vertical="center"/>
    </xf>
    <xf numFmtId="0" fontId="0" fillId="0" borderId="1" xfId="0" applyBorder="1" applyAlignment="1">
      <alignment horizontal="center" vertical="center"/>
    </xf>
    <xf numFmtId="0" fontId="13" fillId="2" borderId="4" xfId="0" applyFont="1" applyFill="1" applyBorder="1" applyAlignment="1" applyProtection="1">
      <alignment horizontal="center" vertical="center"/>
      <protection locked="0"/>
    </xf>
    <xf numFmtId="0" fontId="13" fillId="2" borderId="3" xfId="0" applyFont="1" applyFill="1" applyBorder="1" applyAlignment="1" applyProtection="1">
      <alignment horizontal="center" vertical="center"/>
      <protection locked="0"/>
    </xf>
    <xf numFmtId="0" fontId="13" fillId="2" borderId="2" xfId="0" applyFont="1" applyFill="1" applyBorder="1" applyAlignment="1" applyProtection="1">
      <alignment horizontal="center" vertical="center"/>
      <protection locked="0"/>
    </xf>
    <xf numFmtId="0" fontId="1" fillId="35" borderId="5" xfId="0" applyFont="1" applyFill="1" applyBorder="1" applyAlignment="1">
      <alignment horizontal="center"/>
    </xf>
    <xf numFmtId="0" fontId="1" fillId="39" borderId="12" xfId="0" applyFont="1" applyFill="1" applyBorder="1" applyAlignment="1">
      <alignment horizontal="center"/>
    </xf>
    <xf numFmtId="0" fontId="1" fillId="39" borderId="0" xfId="0" applyFont="1" applyFill="1" applyBorder="1" applyAlignment="1">
      <alignment horizontal="center"/>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32">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00FFFF"/>
      <color rgb="FF9933FF"/>
      <color rgb="FFCCCCFF"/>
      <color rgb="FF9999FF"/>
      <color rgb="FF9966FF"/>
      <color rgb="FF6600CC"/>
      <color rgb="FFFFFFFF"/>
      <color rgb="FFFFCCFF"/>
      <color rgb="FFFF99FF"/>
      <color rgb="FF99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vk12-my.sharepoint.com/Users/a123556/Desktop/ESMH/esmh%20reporting%20form%20backu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Leadership Team"/>
      <sheetName val="Tier 1 Prevention"/>
      <sheetName val="Tier 2 Prevention"/>
      <sheetName val="Tier 3 Intervention"/>
      <sheetName val="Staff Interactions"/>
      <sheetName val="Events"/>
      <sheetName val="MHPET"/>
      <sheetName val="CANS"/>
      <sheetName val="YSS"/>
      <sheetName val="Summary"/>
      <sheetName val="Pick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A3" t="str">
            <v>January</v>
          </cell>
          <cell r="B3">
            <v>2019</v>
          </cell>
          <cell r="D3" t="str">
            <v>American Indian</v>
          </cell>
          <cell r="E3" t="str">
            <v>Hispanic - Latino</v>
          </cell>
          <cell r="F3" t="str">
            <v>Pre-K</v>
          </cell>
          <cell r="G3" t="str">
            <v>Male</v>
          </cell>
          <cell r="H3" t="str">
            <v>Yes</v>
          </cell>
          <cell r="I3" t="str">
            <v>Yes</v>
          </cell>
          <cell r="J3" t="str">
            <v>Medicaid Only</v>
          </cell>
          <cell r="K3" t="str">
            <v>Yes</v>
          </cell>
          <cell r="L3" t="str">
            <v>Acute Hospital</v>
          </cell>
          <cell r="M3" t="str">
            <v>Yes</v>
          </cell>
          <cell r="N3" t="str">
            <v>Graduated</v>
          </cell>
          <cell r="O3" t="str">
            <v>Dropped out of treatment</v>
          </cell>
          <cell r="Q3" t="str">
            <v>Training Received</v>
          </cell>
          <cell r="S3" t="str">
            <v>Training Provided</v>
          </cell>
        </row>
        <row r="4">
          <cell r="A4" t="str">
            <v>February</v>
          </cell>
          <cell r="B4">
            <v>2020</v>
          </cell>
          <cell r="D4" t="str">
            <v>Asian</v>
          </cell>
          <cell r="E4" t="str">
            <v>Not Hispanic - Latino</v>
          </cell>
          <cell r="F4" t="str">
            <v>K</v>
          </cell>
          <cell r="G4" t="str">
            <v>Female</v>
          </cell>
          <cell r="H4" t="str">
            <v>No</v>
          </cell>
          <cell r="I4" t="str">
            <v>No</v>
          </cell>
          <cell r="J4" t="str">
            <v>Non-Medicaid Only</v>
          </cell>
          <cell r="K4" t="str">
            <v>No</v>
          </cell>
          <cell r="L4" t="str">
            <v>Friend</v>
          </cell>
          <cell r="M4" t="str">
            <v>No</v>
          </cell>
          <cell r="N4" t="str">
            <v>GED</v>
          </cell>
          <cell r="O4" t="str">
            <v>Graduated from school - refused to continue treatment</v>
          </cell>
          <cell r="Q4" t="str">
            <v>Consultation with school personnel</v>
          </cell>
          <cell r="S4" t="str">
            <v>Public Events</v>
          </cell>
        </row>
        <row r="5">
          <cell r="A5" t="str">
            <v>March</v>
          </cell>
          <cell r="B5">
            <v>2021</v>
          </cell>
          <cell r="D5" t="str">
            <v>Black or African American</v>
          </cell>
          <cell r="E5" t="str">
            <v>Origin Unknown</v>
          </cell>
          <cell r="F5">
            <v>1</v>
          </cell>
          <cell r="G5" t="str">
            <v>Other</v>
          </cell>
          <cell r="H5" t="str">
            <v>N/A</v>
          </cell>
          <cell r="J5" t="str">
            <v>Both</v>
          </cell>
          <cell r="L5" t="str">
            <v>Foster Home</v>
          </cell>
          <cell r="N5" t="str">
            <v>Graduated modified diploma</v>
          </cell>
          <cell r="O5" t="str">
            <v>Left this school</v>
          </cell>
          <cell r="Q5" t="str">
            <v>Quarterly Leadership Meeting</v>
          </cell>
          <cell r="S5" t="str">
            <v>Parent Meeting/Consultation</v>
          </cell>
        </row>
        <row r="6">
          <cell r="A6" t="str">
            <v>April</v>
          </cell>
          <cell r="B6">
            <v>2022</v>
          </cell>
          <cell r="D6" t="str">
            <v>More than one Race</v>
          </cell>
          <cell r="F6">
            <v>2</v>
          </cell>
          <cell r="J6" t="str">
            <v>Not Known</v>
          </cell>
          <cell r="L6" t="str">
            <v>Home w/parent or guardian</v>
          </cell>
          <cell r="N6" t="str">
            <v>Moved to next grade</v>
          </cell>
          <cell r="O6" t="str">
            <v>Placed in juvenile detention center</v>
          </cell>
          <cell r="Q6" t="str">
            <v>Other (specific in notes)</v>
          </cell>
          <cell r="S6" t="str">
            <v>Other (Specify in Notes)</v>
          </cell>
        </row>
        <row r="7">
          <cell r="A7" t="str">
            <v>May</v>
          </cell>
          <cell r="B7">
            <v>2023</v>
          </cell>
          <cell r="D7" t="str">
            <v>Native Hawaiian</v>
          </cell>
          <cell r="F7">
            <v>3</v>
          </cell>
          <cell r="L7" t="str">
            <v>Homeless</v>
          </cell>
          <cell r="N7" t="str">
            <v>Retained</v>
          </cell>
          <cell r="O7" t="str">
            <v>Successfully completed treatment</v>
          </cell>
        </row>
        <row r="8">
          <cell r="A8" t="str">
            <v>June</v>
          </cell>
          <cell r="B8">
            <v>2024</v>
          </cell>
          <cell r="D8" t="str">
            <v>White - Caucasian</v>
          </cell>
          <cell r="F8">
            <v>4</v>
          </cell>
          <cell r="L8" t="str">
            <v>Homeless Shelter</v>
          </cell>
          <cell r="N8" t="str">
            <v>Dropped out</v>
          </cell>
          <cell r="O8" t="str">
            <v>Transferred to another agency</v>
          </cell>
        </row>
        <row r="9">
          <cell r="A9" t="str">
            <v>July</v>
          </cell>
          <cell r="B9">
            <v>2025</v>
          </cell>
          <cell r="D9" t="str">
            <v>Unknown</v>
          </cell>
          <cell r="F9">
            <v>5</v>
          </cell>
          <cell r="L9" t="str">
            <v>Juvenile Detention Facility</v>
          </cell>
          <cell r="N9" t="str">
            <v>Transferred to another school</v>
          </cell>
          <cell r="O9" t="str">
            <v>Transferred to more intensive level of care</v>
          </cell>
        </row>
        <row r="10">
          <cell r="A10" t="str">
            <v>August</v>
          </cell>
          <cell r="F10">
            <v>6</v>
          </cell>
          <cell r="L10" t="str">
            <v>PRTF</v>
          </cell>
          <cell r="N10" t="str">
            <v>Unknown</v>
          </cell>
          <cell r="O10" t="str">
            <v>Parental Refusal</v>
          </cell>
        </row>
        <row r="11">
          <cell r="A11" t="str">
            <v>September</v>
          </cell>
          <cell r="F11">
            <v>7</v>
          </cell>
          <cell r="L11" t="str">
            <v>Relative</v>
          </cell>
        </row>
        <row r="12">
          <cell r="A12" t="str">
            <v>October</v>
          </cell>
          <cell r="F12">
            <v>8</v>
          </cell>
          <cell r="L12" t="str">
            <v>Residential Treatment Facility</v>
          </cell>
        </row>
        <row r="13">
          <cell r="A13" t="str">
            <v>November</v>
          </cell>
          <cell r="F13">
            <v>9</v>
          </cell>
          <cell r="L13" t="str">
            <v>Shelter</v>
          </cell>
        </row>
        <row r="14">
          <cell r="A14" t="str">
            <v>December</v>
          </cell>
          <cell r="F14">
            <v>10</v>
          </cell>
          <cell r="L14" t="str">
            <v>Other</v>
          </cell>
        </row>
        <row r="15">
          <cell r="F15">
            <v>11</v>
          </cell>
        </row>
        <row r="16">
          <cell r="F16">
            <v>12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P109"/>
  <sheetViews>
    <sheetView topLeftCell="A95" workbookViewId="0">
      <selection activeCell="A95" sqref="A95:G95"/>
    </sheetView>
  </sheetViews>
  <sheetFormatPr defaultRowHeight="15" x14ac:dyDescent="0.25"/>
  <cols>
    <col min="1" max="8" width="25.7109375" style="98" customWidth="1"/>
    <col min="9" max="16384" width="9.140625" style="98"/>
  </cols>
  <sheetData>
    <row r="1" spans="1:16" ht="15" customHeight="1" x14ac:dyDescent="0.25">
      <c r="A1" s="309" t="s">
        <v>0</v>
      </c>
      <c r="B1" s="310"/>
      <c r="C1" s="310"/>
      <c r="D1" s="310"/>
      <c r="E1" s="310"/>
      <c r="F1" s="310"/>
      <c r="G1" s="310"/>
      <c r="H1" s="311"/>
      <c r="I1" s="158"/>
      <c r="J1" s="158"/>
      <c r="K1" s="158"/>
      <c r="L1" s="158"/>
      <c r="M1" s="158"/>
      <c r="N1" s="158"/>
      <c r="O1" s="158"/>
      <c r="P1" s="158"/>
    </row>
    <row r="2" spans="1:16" ht="15" customHeight="1" x14ac:dyDescent="0.25">
      <c r="A2" s="312"/>
      <c r="B2" s="313"/>
      <c r="C2" s="313"/>
      <c r="D2" s="313"/>
      <c r="E2" s="313"/>
      <c r="F2" s="313"/>
      <c r="G2" s="313"/>
      <c r="H2" s="314"/>
      <c r="I2" s="158"/>
      <c r="J2" s="158"/>
      <c r="K2" s="158"/>
      <c r="L2" s="158"/>
      <c r="M2" s="158"/>
      <c r="N2" s="158"/>
      <c r="O2" s="158"/>
      <c r="P2" s="158"/>
    </row>
    <row r="3" spans="1:16" ht="15" customHeight="1" x14ac:dyDescent="0.25">
      <c r="A3" s="312"/>
      <c r="B3" s="313"/>
      <c r="C3" s="313"/>
      <c r="D3" s="313"/>
      <c r="E3" s="313"/>
      <c r="F3" s="313"/>
      <c r="G3" s="313"/>
      <c r="H3" s="314"/>
      <c r="I3" s="158"/>
      <c r="J3" s="158"/>
      <c r="K3" s="158"/>
      <c r="L3" s="158"/>
      <c r="M3" s="158"/>
      <c r="N3" s="158"/>
      <c r="O3" s="158"/>
      <c r="P3" s="158"/>
    </row>
    <row r="4" spans="1:16" ht="15" customHeight="1" thickBot="1" x14ac:dyDescent="0.3">
      <c r="A4" s="315"/>
      <c r="B4" s="316"/>
      <c r="C4" s="316"/>
      <c r="D4" s="316"/>
      <c r="E4" s="316"/>
      <c r="F4" s="316"/>
      <c r="G4" s="316"/>
      <c r="H4" s="317"/>
      <c r="I4" s="158"/>
      <c r="J4" s="158"/>
      <c r="K4" s="158"/>
      <c r="L4" s="158"/>
      <c r="M4" s="158"/>
      <c r="N4" s="158"/>
      <c r="O4" s="158"/>
      <c r="P4" s="158"/>
    </row>
    <row r="5" spans="1:16" ht="15" customHeight="1" x14ac:dyDescent="0.25">
      <c r="A5" s="320"/>
      <c r="B5" s="320"/>
      <c r="C5" s="320"/>
      <c r="D5" s="320"/>
      <c r="E5" s="320"/>
      <c r="F5" s="320"/>
      <c r="G5" s="320"/>
      <c r="H5" s="320"/>
      <c r="I5" s="158"/>
      <c r="J5" s="158"/>
      <c r="K5" s="158"/>
      <c r="L5" s="158"/>
      <c r="M5" s="158"/>
      <c r="N5" s="158"/>
      <c r="O5" s="158"/>
      <c r="P5" s="158"/>
    </row>
    <row r="6" spans="1:16" ht="15" customHeight="1" x14ac:dyDescent="0.25">
      <c r="A6" s="321"/>
      <c r="B6" s="321"/>
      <c r="C6" s="321"/>
      <c r="D6" s="321"/>
      <c r="E6" s="321"/>
      <c r="F6" s="321"/>
      <c r="G6" s="321"/>
      <c r="H6" s="321"/>
      <c r="I6" s="158"/>
      <c r="J6" s="158"/>
      <c r="K6" s="158"/>
      <c r="L6" s="158"/>
      <c r="M6" s="158"/>
      <c r="N6" s="158"/>
      <c r="O6" s="158"/>
      <c r="P6" s="158"/>
    </row>
    <row r="7" spans="1:16" ht="18.75" x14ac:dyDescent="0.3">
      <c r="A7" s="308" t="s">
        <v>1</v>
      </c>
      <c r="B7" s="308"/>
      <c r="C7" s="308"/>
      <c r="D7" s="308"/>
      <c r="E7" s="308"/>
      <c r="F7" s="308"/>
      <c r="G7" s="308"/>
      <c r="H7" s="308"/>
      <c r="I7" s="160"/>
      <c r="J7" s="160"/>
      <c r="K7" s="160"/>
      <c r="L7" s="160"/>
      <c r="M7" s="160"/>
      <c r="N7" s="160"/>
      <c r="O7" s="160"/>
      <c r="P7" s="160"/>
    </row>
    <row r="8" spans="1:16" x14ac:dyDescent="0.25">
      <c r="A8" s="159" t="s">
        <v>2</v>
      </c>
      <c r="B8" s="159" t="s">
        <v>3</v>
      </c>
      <c r="C8" s="159" t="s">
        <v>4</v>
      </c>
      <c r="D8" s="159" t="s">
        <v>5</v>
      </c>
      <c r="E8" s="159" t="s">
        <v>6</v>
      </c>
      <c r="F8" s="159" t="s">
        <v>7</v>
      </c>
      <c r="G8" s="159" t="s">
        <v>8</v>
      </c>
      <c r="H8" s="159" t="s">
        <v>9</v>
      </c>
    </row>
    <row r="9" spans="1:16" x14ac:dyDescent="0.25">
      <c r="A9" s="159" t="s">
        <v>10</v>
      </c>
      <c r="B9" s="159" t="s">
        <v>11</v>
      </c>
      <c r="C9" s="159" t="s">
        <v>12</v>
      </c>
      <c r="D9" s="159" t="s">
        <v>13</v>
      </c>
      <c r="E9" s="159" t="s">
        <v>14</v>
      </c>
      <c r="F9" s="159" t="s">
        <v>15</v>
      </c>
      <c r="G9" s="159" t="s">
        <v>16</v>
      </c>
      <c r="H9" s="159" t="s">
        <v>17</v>
      </c>
    </row>
    <row r="10" spans="1:16" x14ac:dyDescent="0.25">
      <c r="A10" s="159" t="s">
        <v>18</v>
      </c>
      <c r="B10" s="159" t="s">
        <v>19</v>
      </c>
      <c r="C10" s="159" t="s">
        <v>20</v>
      </c>
      <c r="D10" s="159" t="s">
        <v>21</v>
      </c>
      <c r="E10" s="159" t="s">
        <v>22</v>
      </c>
      <c r="F10" s="159" t="s">
        <v>23</v>
      </c>
      <c r="G10" s="159" t="s">
        <v>24</v>
      </c>
      <c r="H10" s="159" t="s">
        <v>25</v>
      </c>
    </row>
    <row r="11" spans="1:16" ht="19.5" thickBot="1" x14ac:dyDescent="0.35">
      <c r="A11" s="318" t="s">
        <v>26</v>
      </c>
      <c r="B11" s="318"/>
      <c r="C11" s="318"/>
      <c r="D11" s="318"/>
      <c r="E11" s="318"/>
      <c r="F11" s="318"/>
      <c r="G11" s="318"/>
      <c r="H11" s="318"/>
    </row>
    <row r="12" spans="1:16" x14ac:dyDescent="0.25">
      <c r="A12" s="298" t="s">
        <v>27</v>
      </c>
      <c r="B12" s="299"/>
      <c r="C12" s="299"/>
      <c r="D12" s="299"/>
      <c r="E12" s="299"/>
      <c r="F12" s="299"/>
      <c r="G12" s="299"/>
      <c r="H12" s="300"/>
    </row>
    <row r="13" spans="1:16" x14ac:dyDescent="0.25">
      <c r="A13" s="301"/>
      <c r="B13" s="302"/>
      <c r="C13" s="302"/>
      <c r="D13" s="302"/>
      <c r="E13" s="302"/>
      <c r="F13" s="302"/>
      <c r="G13" s="302"/>
      <c r="H13" s="303"/>
    </row>
    <row r="14" spans="1:16" ht="15.75" thickBot="1" x14ac:dyDescent="0.3">
      <c r="A14" s="304"/>
      <c r="B14" s="305"/>
      <c r="C14" s="305"/>
      <c r="D14" s="305"/>
      <c r="E14" s="305"/>
      <c r="F14" s="305"/>
      <c r="G14" s="305"/>
      <c r="H14" s="306"/>
    </row>
    <row r="15" spans="1:16" ht="18.75" x14ac:dyDescent="0.3">
      <c r="A15" s="307" t="s">
        <v>28</v>
      </c>
      <c r="B15" s="307"/>
      <c r="C15" s="307"/>
      <c r="D15" s="307"/>
      <c r="E15" s="307"/>
      <c r="F15" s="307"/>
      <c r="G15" s="307"/>
      <c r="H15" s="307"/>
    </row>
    <row r="16" spans="1:16" x14ac:dyDescent="0.25">
      <c r="A16" s="319" t="s">
        <v>29</v>
      </c>
      <c r="B16" s="319"/>
      <c r="C16" s="319"/>
      <c r="D16" s="319"/>
      <c r="E16" s="319"/>
      <c r="F16" s="319"/>
      <c r="G16" s="319"/>
      <c r="H16" s="319"/>
    </row>
    <row r="17" spans="1:8" x14ac:dyDescent="0.25">
      <c r="A17" s="319"/>
      <c r="B17" s="319"/>
      <c r="C17" s="319"/>
      <c r="D17" s="319"/>
      <c r="E17" s="319"/>
      <c r="F17" s="319"/>
      <c r="G17" s="319"/>
      <c r="H17" s="319"/>
    </row>
    <row r="18" spans="1:8" x14ac:dyDescent="0.25">
      <c r="A18" s="288" t="s">
        <v>30</v>
      </c>
      <c r="B18" s="288"/>
      <c r="C18" s="288"/>
      <c r="D18" s="288"/>
      <c r="E18" s="288"/>
    </row>
    <row r="19" spans="1:8" x14ac:dyDescent="0.25">
      <c r="A19" s="288" t="s">
        <v>31</v>
      </c>
      <c r="B19" s="288"/>
      <c r="C19" s="288"/>
      <c r="D19" s="288"/>
      <c r="E19" s="288"/>
    </row>
    <row r="20" spans="1:8" x14ac:dyDescent="0.25">
      <c r="A20" s="288" t="s">
        <v>32</v>
      </c>
      <c r="B20" s="288"/>
      <c r="C20" s="288"/>
      <c r="D20" s="288"/>
      <c r="E20" s="288"/>
    </row>
    <row r="21" spans="1:8" x14ac:dyDescent="0.25">
      <c r="A21" s="288" t="s">
        <v>33</v>
      </c>
      <c r="B21" s="288"/>
      <c r="C21" s="288"/>
      <c r="D21" s="288"/>
      <c r="E21" s="288"/>
    </row>
    <row r="22" spans="1:8" x14ac:dyDescent="0.25">
      <c r="A22" s="288" t="s">
        <v>34</v>
      </c>
      <c r="B22" s="288"/>
      <c r="C22" s="288"/>
      <c r="D22" s="288"/>
      <c r="E22" s="288"/>
    </row>
    <row r="23" spans="1:8" x14ac:dyDescent="0.25">
      <c r="A23" s="288" t="s">
        <v>35</v>
      </c>
      <c r="B23" s="288"/>
      <c r="C23" s="288"/>
      <c r="D23" s="288"/>
      <c r="E23" s="288"/>
    </row>
    <row r="24" spans="1:8" x14ac:dyDescent="0.25">
      <c r="A24" s="288" t="s">
        <v>36</v>
      </c>
      <c r="B24" s="288"/>
      <c r="C24" s="288"/>
      <c r="D24" s="288"/>
      <c r="E24" s="288"/>
    </row>
    <row r="25" spans="1:8" x14ac:dyDescent="0.25">
      <c r="A25" s="288" t="s">
        <v>37</v>
      </c>
      <c r="B25" s="288"/>
      <c r="C25" s="288"/>
      <c r="D25" s="288"/>
      <c r="E25" s="288"/>
    </row>
    <row r="26" spans="1:8" x14ac:dyDescent="0.25">
      <c r="A26" s="288" t="s">
        <v>38</v>
      </c>
      <c r="B26" s="288"/>
      <c r="C26" s="288"/>
      <c r="D26" s="288"/>
      <c r="E26" s="288"/>
    </row>
    <row r="27" spans="1:8" x14ac:dyDescent="0.25">
      <c r="A27" s="288" t="s">
        <v>39</v>
      </c>
      <c r="B27" s="288"/>
      <c r="C27" s="288"/>
      <c r="D27" s="288"/>
      <c r="E27" s="288"/>
    </row>
    <row r="28" spans="1:8" x14ac:dyDescent="0.25">
      <c r="A28" s="288" t="s">
        <v>40</v>
      </c>
      <c r="B28" s="288"/>
      <c r="C28" s="288"/>
      <c r="D28" s="288"/>
      <c r="E28" s="288"/>
    </row>
    <row r="29" spans="1:8" x14ac:dyDescent="0.25">
      <c r="A29" s="288" t="s">
        <v>41</v>
      </c>
      <c r="B29" s="288"/>
      <c r="C29" s="288"/>
      <c r="D29" s="288"/>
      <c r="E29" s="288"/>
    </row>
    <row r="30" spans="1:8" x14ac:dyDescent="0.25">
      <c r="A30" s="288" t="s">
        <v>42</v>
      </c>
      <c r="B30" s="288"/>
      <c r="C30" s="288"/>
      <c r="D30" s="288"/>
      <c r="E30" s="288"/>
    </row>
    <row r="31" spans="1:8" x14ac:dyDescent="0.25">
      <c r="A31" s="288" t="s">
        <v>43</v>
      </c>
      <c r="B31" s="288"/>
      <c r="C31" s="288"/>
      <c r="D31" s="288"/>
      <c r="E31" s="288"/>
    </row>
    <row r="32" spans="1:8" x14ac:dyDescent="0.25">
      <c r="A32" s="288" t="s">
        <v>44</v>
      </c>
      <c r="B32" s="288"/>
      <c r="C32" s="288"/>
      <c r="D32" s="288"/>
      <c r="E32" s="288"/>
    </row>
    <row r="33" spans="1:8" x14ac:dyDescent="0.25">
      <c r="A33" s="288" t="s">
        <v>45</v>
      </c>
      <c r="B33" s="288"/>
      <c r="C33" s="288"/>
      <c r="D33" s="288"/>
      <c r="E33" s="288"/>
    </row>
    <row r="34" spans="1:8" x14ac:dyDescent="0.25">
      <c r="A34" s="288" t="s">
        <v>46</v>
      </c>
      <c r="B34" s="288"/>
      <c r="C34" s="288"/>
      <c r="D34" s="288"/>
      <c r="E34" s="288"/>
    </row>
    <row r="35" spans="1:8" x14ac:dyDescent="0.25">
      <c r="A35" s="288" t="s">
        <v>47</v>
      </c>
      <c r="B35" s="288"/>
      <c r="C35" s="288"/>
      <c r="D35" s="288"/>
      <c r="E35" s="288"/>
    </row>
    <row r="37" spans="1:8" x14ac:dyDescent="0.25">
      <c r="A37" s="288" t="s">
        <v>48</v>
      </c>
      <c r="B37" s="288"/>
      <c r="C37" s="288"/>
      <c r="D37" s="288"/>
      <c r="E37" s="288"/>
    </row>
    <row r="38" spans="1:8" x14ac:dyDescent="0.25">
      <c r="A38" s="288" t="s">
        <v>49</v>
      </c>
      <c r="B38" s="288"/>
      <c r="C38" s="288"/>
      <c r="D38" s="288"/>
      <c r="E38" s="288"/>
    </row>
    <row r="39" spans="1:8" x14ac:dyDescent="0.25">
      <c r="A39" s="288" t="s">
        <v>50</v>
      </c>
      <c r="B39" s="288"/>
      <c r="C39" s="288"/>
      <c r="D39" s="288"/>
      <c r="E39" s="288"/>
    </row>
    <row r="41" spans="1:8" ht="18.75" x14ac:dyDescent="0.3">
      <c r="A41" s="297" t="s">
        <v>51</v>
      </c>
      <c r="B41" s="297"/>
      <c r="C41" s="297"/>
      <c r="D41" s="297"/>
      <c r="E41" s="297"/>
      <c r="F41" s="297"/>
      <c r="G41" s="297"/>
      <c r="H41" s="297"/>
    </row>
    <row r="42" spans="1:8" x14ac:dyDescent="0.25">
      <c r="A42" s="288" t="s">
        <v>52</v>
      </c>
      <c r="B42" s="288"/>
      <c r="C42" s="288"/>
      <c r="D42" s="288"/>
    </row>
    <row r="43" spans="1:8" x14ac:dyDescent="0.25">
      <c r="A43" s="288" t="s">
        <v>53</v>
      </c>
      <c r="B43" s="288"/>
      <c r="C43" s="288"/>
      <c r="D43" s="288"/>
    </row>
    <row r="44" spans="1:8" x14ac:dyDescent="0.25">
      <c r="A44" s="288" t="s">
        <v>54</v>
      </c>
      <c r="B44" s="288"/>
      <c r="C44" s="288"/>
      <c r="D44" s="288"/>
    </row>
    <row r="45" spans="1:8" x14ac:dyDescent="0.25">
      <c r="A45" s="288" t="s">
        <v>55</v>
      </c>
      <c r="B45" s="288"/>
      <c r="C45" s="288"/>
      <c r="D45" s="288"/>
      <c r="E45" s="288"/>
    </row>
    <row r="47" spans="1:8" ht="18.75" x14ac:dyDescent="0.3">
      <c r="A47" s="296" t="s">
        <v>56</v>
      </c>
      <c r="B47" s="296"/>
      <c r="C47" s="296"/>
      <c r="D47" s="296"/>
      <c r="E47" s="296"/>
      <c r="F47" s="296"/>
      <c r="G47" s="296"/>
      <c r="H47" s="296"/>
    </row>
    <row r="48" spans="1:8" x14ac:dyDescent="0.25">
      <c r="A48" s="288" t="s">
        <v>57</v>
      </c>
      <c r="B48" s="288"/>
      <c r="C48" s="288"/>
      <c r="D48" s="288"/>
      <c r="E48" s="288"/>
      <c r="F48" s="288"/>
      <c r="G48" s="288"/>
      <c r="H48" s="288"/>
    </row>
    <row r="49" spans="1:8" x14ac:dyDescent="0.25">
      <c r="A49" s="288" t="s">
        <v>58</v>
      </c>
      <c r="B49" s="288"/>
      <c r="C49" s="288"/>
      <c r="D49" s="288"/>
      <c r="E49" s="288"/>
      <c r="F49" s="288"/>
      <c r="G49" s="288"/>
      <c r="H49" s="288"/>
    </row>
    <row r="50" spans="1:8" x14ac:dyDescent="0.25">
      <c r="A50" s="288" t="s">
        <v>59</v>
      </c>
      <c r="B50" s="288"/>
      <c r="C50" s="288"/>
      <c r="D50" s="288"/>
      <c r="E50" s="288"/>
      <c r="F50" s="288"/>
      <c r="G50" s="288"/>
      <c r="H50" s="288"/>
    </row>
    <row r="51" spans="1:8" x14ac:dyDescent="0.25">
      <c r="A51" s="288" t="s">
        <v>60</v>
      </c>
      <c r="B51" s="288"/>
      <c r="C51" s="288"/>
      <c r="D51" s="288"/>
      <c r="E51" s="288"/>
      <c r="F51" s="288"/>
      <c r="G51" s="288"/>
    </row>
    <row r="53" spans="1:8" ht="18.75" x14ac:dyDescent="0.3">
      <c r="A53" s="295" t="s">
        <v>61</v>
      </c>
      <c r="B53" s="295"/>
      <c r="C53" s="295"/>
      <c r="D53" s="295"/>
      <c r="E53" s="295"/>
      <c r="F53" s="295"/>
      <c r="G53" s="295"/>
      <c r="H53" s="295"/>
    </row>
    <row r="54" spans="1:8" x14ac:dyDescent="0.25">
      <c r="A54" s="288" t="s">
        <v>57</v>
      </c>
      <c r="B54" s="288"/>
      <c r="C54" s="288"/>
      <c r="D54" s="288"/>
      <c r="E54" s="288"/>
      <c r="F54" s="288"/>
    </row>
    <row r="55" spans="1:8" x14ac:dyDescent="0.25">
      <c r="A55" s="288" t="s">
        <v>58</v>
      </c>
      <c r="B55" s="288"/>
      <c r="C55" s="288"/>
      <c r="D55" s="288"/>
      <c r="E55" s="288"/>
      <c r="F55" s="288"/>
    </row>
    <row r="56" spans="1:8" x14ac:dyDescent="0.25">
      <c r="A56" s="288" t="s">
        <v>59</v>
      </c>
      <c r="B56" s="288"/>
      <c r="C56" s="288"/>
      <c r="D56" s="288"/>
      <c r="E56" s="288"/>
      <c r="F56" s="288"/>
    </row>
    <row r="57" spans="1:8" x14ac:dyDescent="0.25">
      <c r="A57" s="288" t="s">
        <v>60</v>
      </c>
      <c r="B57" s="288"/>
      <c r="C57" s="288"/>
      <c r="D57" s="288"/>
      <c r="E57" s="288"/>
      <c r="F57" s="288"/>
    </row>
    <row r="59" spans="1:8" ht="18.75" x14ac:dyDescent="0.3">
      <c r="A59" s="294" t="s">
        <v>62</v>
      </c>
      <c r="B59" s="294"/>
      <c r="C59" s="294"/>
      <c r="D59" s="294"/>
      <c r="E59" s="294"/>
      <c r="F59" s="294"/>
      <c r="G59" s="294"/>
      <c r="H59" s="294"/>
    </row>
    <row r="60" spans="1:8" x14ac:dyDescent="0.25">
      <c r="A60" s="288" t="s">
        <v>63</v>
      </c>
      <c r="B60" s="288"/>
      <c r="C60" s="288"/>
      <c r="D60" s="288"/>
      <c r="E60" s="288"/>
      <c r="F60" s="288"/>
      <c r="G60" s="288"/>
      <c r="H60" s="288"/>
    </row>
    <row r="61" spans="1:8" x14ac:dyDescent="0.25">
      <c r="A61" s="288" t="s">
        <v>64</v>
      </c>
      <c r="B61" s="288"/>
      <c r="C61" s="288"/>
      <c r="D61" s="288"/>
      <c r="E61" s="283"/>
      <c r="F61" s="283"/>
      <c r="G61" s="283"/>
      <c r="H61" s="283"/>
    </row>
    <row r="62" spans="1:8" x14ac:dyDescent="0.25">
      <c r="A62" s="288" t="s">
        <v>65</v>
      </c>
      <c r="B62" s="288"/>
    </row>
    <row r="63" spans="1:8" x14ac:dyDescent="0.25">
      <c r="A63" s="288" t="s">
        <v>66</v>
      </c>
      <c r="B63" s="288"/>
    </row>
    <row r="64" spans="1:8" x14ac:dyDescent="0.25">
      <c r="A64" s="293" t="s">
        <v>67</v>
      </c>
      <c r="B64" s="288"/>
    </row>
    <row r="65" spans="1:8" x14ac:dyDescent="0.25">
      <c r="A65" s="288" t="s">
        <v>68</v>
      </c>
      <c r="B65" s="288"/>
    </row>
    <row r="66" spans="1:8" x14ac:dyDescent="0.25">
      <c r="A66" s="288" t="s">
        <v>69</v>
      </c>
      <c r="B66" s="288"/>
      <c r="C66" s="288"/>
    </row>
    <row r="67" spans="1:8" x14ac:dyDescent="0.25">
      <c r="A67" s="288" t="s">
        <v>70</v>
      </c>
      <c r="B67" s="288"/>
      <c r="C67" s="288"/>
    </row>
    <row r="68" spans="1:8" x14ac:dyDescent="0.25">
      <c r="A68" s="288" t="s">
        <v>71</v>
      </c>
      <c r="B68" s="288"/>
      <c r="C68" s="288"/>
      <c r="D68" s="288"/>
    </row>
    <row r="69" spans="1:8" x14ac:dyDescent="0.25">
      <c r="A69" s="288" t="s">
        <v>72</v>
      </c>
      <c r="B69" s="288"/>
      <c r="C69" s="288"/>
    </row>
    <row r="70" spans="1:8" x14ac:dyDescent="0.25">
      <c r="A70" s="288" t="s">
        <v>73</v>
      </c>
      <c r="B70" s="288"/>
      <c r="C70" s="288"/>
    </row>
    <row r="71" spans="1:8" x14ac:dyDescent="0.25">
      <c r="A71" s="288" t="s">
        <v>74</v>
      </c>
      <c r="B71" s="288"/>
      <c r="C71" s="288"/>
    </row>
    <row r="72" spans="1:8" x14ac:dyDescent="0.25">
      <c r="A72" s="288" t="s">
        <v>75</v>
      </c>
      <c r="B72" s="288"/>
      <c r="C72" s="288"/>
    </row>
    <row r="73" spans="1:8" x14ac:dyDescent="0.25">
      <c r="A73" s="288" t="s">
        <v>76</v>
      </c>
      <c r="B73" s="288"/>
      <c r="C73" s="288"/>
    </row>
    <row r="74" spans="1:8" x14ac:dyDescent="0.25">
      <c r="A74" s="288" t="s">
        <v>77</v>
      </c>
      <c r="B74" s="288"/>
      <c r="C74" s="288"/>
      <c r="D74" s="288"/>
    </row>
    <row r="75" spans="1:8" x14ac:dyDescent="0.25">
      <c r="A75" s="288" t="s">
        <v>78</v>
      </c>
      <c r="B75" s="288"/>
      <c r="C75" s="288"/>
      <c r="D75" s="288"/>
    </row>
    <row r="76" spans="1:8" x14ac:dyDescent="0.25">
      <c r="A76" s="288" t="s">
        <v>79</v>
      </c>
      <c r="B76" s="288"/>
      <c r="C76" s="288"/>
      <c r="D76" s="288"/>
    </row>
    <row r="77" spans="1:8" x14ac:dyDescent="0.25">
      <c r="A77" s="288" t="s">
        <v>80</v>
      </c>
      <c r="B77" s="288"/>
      <c r="C77" s="288"/>
      <c r="D77" s="288"/>
      <c r="E77" s="288"/>
      <c r="F77" s="288"/>
      <c r="G77" s="288"/>
      <c r="H77" s="288"/>
    </row>
    <row r="78" spans="1:8" x14ac:dyDescent="0.25">
      <c r="A78" s="288" t="s">
        <v>81</v>
      </c>
      <c r="B78" s="288"/>
      <c r="C78" s="288"/>
      <c r="D78" s="288"/>
      <c r="E78" s="288"/>
    </row>
    <row r="79" spans="1:8" x14ac:dyDescent="0.25">
      <c r="A79" s="288" t="s">
        <v>82</v>
      </c>
      <c r="B79" s="288"/>
      <c r="C79" s="288"/>
      <c r="D79" s="288"/>
      <c r="E79" s="288"/>
    </row>
    <row r="80" spans="1:8" x14ac:dyDescent="0.25">
      <c r="A80" s="288" t="s">
        <v>83</v>
      </c>
      <c r="B80" s="288"/>
      <c r="C80" s="288"/>
      <c r="D80" s="288"/>
    </row>
    <row r="81" spans="1:8" x14ac:dyDescent="0.25">
      <c r="A81" s="288" t="s">
        <v>84</v>
      </c>
      <c r="B81" s="288"/>
      <c r="C81" s="288"/>
      <c r="D81" s="288"/>
    </row>
    <row r="82" spans="1:8" x14ac:dyDescent="0.25">
      <c r="A82" s="288" t="s">
        <v>85</v>
      </c>
      <c r="B82" s="288"/>
      <c r="C82" s="288"/>
      <c r="D82" s="288"/>
      <c r="E82" s="288"/>
      <c r="F82" s="288"/>
    </row>
    <row r="83" spans="1:8" x14ac:dyDescent="0.25">
      <c r="A83" s="288" t="s">
        <v>86</v>
      </c>
      <c r="B83" s="288"/>
      <c r="C83" s="283"/>
      <c r="D83" s="283"/>
      <c r="E83" s="283"/>
      <c r="F83" s="283"/>
    </row>
    <row r="85" spans="1:8" ht="34.5" customHeight="1" x14ac:dyDescent="0.3">
      <c r="A85" s="291" t="s">
        <v>87</v>
      </c>
      <c r="B85" s="291"/>
      <c r="C85" s="291"/>
      <c r="D85" s="291"/>
      <c r="E85" s="291"/>
      <c r="F85" s="291"/>
      <c r="G85" s="291"/>
      <c r="H85" s="291"/>
    </row>
    <row r="86" spans="1:8" x14ac:dyDescent="0.25">
      <c r="A86" s="288" t="s">
        <v>88</v>
      </c>
      <c r="B86" s="288"/>
      <c r="C86" s="288"/>
      <c r="D86" s="288"/>
      <c r="E86" s="288"/>
      <c r="F86" s="288"/>
      <c r="G86" s="288"/>
      <c r="H86" s="288"/>
    </row>
    <row r="87" spans="1:8" x14ac:dyDescent="0.25">
      <c r="A87" s="288" t="s">
        <v>89</v>
      </c>
      <c r="B87" s="288"/>
      <c r="C87" s="288"/>
      <c r="D87" s="288"/>
      <c r="E87" s="288"/>
      <c r="F87" s="288"/>
      <c r="G87" s="288"/>
      <c r="H87" s="288"/>
    </row>
    <row r="88" spans="1:8" x14ac:dyDescent="0.25">
      <c r="A88" s="288" t="s">
        <v>90</v>
      </c>
      <c r="B88" s="288"/>
      <c r="C88" s="288"/>
      <c r="D88" s="288"/>
      <c r="E88" s="288"/>
      <c r="F88" s="288"/>
      <c r="G88" s="288"/>
    </row>
    <row r="89" spans="1:8" x14ac:dyDescent="0.25">
      <c r="A89" s="288" t="s">
        <v>91</v>
      </c>
      <c r="B89" s="288"/>
      <c r="C89" s="288"/>
      <c r="D89" s="288"/>
      <c r="E89" s="288"/>
      <c r="F89" s="288"/>
      <c r="G89" s="288"/>
      <c r="H89" s="288"/>
    </row>
    <row r="91" spans="1:8" ht="18.75" x14ac:dyDescent="0.3">
      <c r="A91" s="292" t="s">
        <v>92</v>
      </c>
      <c r="B91" s="292"/>
      <c r="C91" s="292"/>
      <c r="D91" s="292"/>
      <c r="E91" s="292"/>
      <c r="F91" s="292"/>
      <c r="G91" s="292"/>
      <c r="H91" s="292"/>
    </row>
    <row r="92" spans="1:8" x14ac:dyDescent="0.25">
      <c r="A92" s="288" t="s">
        <v>93</v>
      </c>
      <c r="B92" s="288"/>
      <c r="C92" s="288"/>
    </row>
    <row r="93" spans="1:8" x14ac:dyDescent="0.25">
      <c r="A93" s="288" t="s">
        <v>94</v>
      </c>
      <c r="B93" s="288"/>
      <c r="C93" s="288"/>
      <c r="D93" s="288"/>
      <c r="E93" s="288"/>
    </row>
    <row r="94" spans="1:8" x14ac:dyDescent="0.25">
      <c r="A94" s="288" t="s">
        <v>95</v>
      </c>
      <c r="B94" s="288"/>
      <c r="C94" s="288"/>
      <c r="D94" s="288"/>
      <c r="E94" s="288"/>
    </row>
    <row r="95" spans="1:8" x14ac:dyDescent="0.25">
      <c r="A95" s="288" t="s">
        <v>96</v>
      </c>
      <c r="B95" s="288"/>
      <c r="C95" s="288"/>
      <c r="D95" s="288"/>
      <c r="E95" s="288"/>
      <c r="F95" s="288"/>
      <c r="G95" s="288"/>
    </row>
    <row r="96" spans="1:8" x14ac:dyDescent="0.25">
      <c r="A96" s="288" t="s">
        <v>97</v>
      </c>
      <c r="B96" s="288"/>
      <c r="C96" s="288"/>
      <c r="D96" s="288"/>
      <c r="E96" s="288"/>
      <c r="F96" s="288"/>
    </row>
    <row r="97" spans="1:8" x14ac:dyDescent="0.25">
      <c r="A97" s="288" t="s">
        <v>91</v>
      </c>
      <c r="B97" s="288"/>
      <c r="C97" s="288"/>
      <c r="D97" s="288"/>
    </row>
    <row r="99" spans="1:8" ht="18.75" x14ac:dyDescent="0.3">
      <c r="A99" s="289" t="s">
        <v>98</v>
      </c>
      <c r="B99" s="289"/>
      <c r="C99" s="289"/>
      <c r="D99" s="289"/>
      <c r="E99" s="289"/>
      <c r="F99" s="289"/>
      <c r="G99" s="289"/>
      <c r="H99" s="289"/>
    </row>
    <row r="100" spans="1:8" x14ac:dyDescent="0.25">
      <c r="A100" s="288" t="s">
        <v>99</v>
      </c>
      <c r="B100" s="288"/>
      <c r="C100" s="288"/>
      <c r="D100" s="288"/>
      <c r="E100" s="288"/>
      <c r="F100" s="288"/>
      <c r="G100" s="288"/>
    </row>
    <row r="102" spans="1:8" ht="18.75" x14ac:dyDescent="0.3">
      <c r="A102" s="290" t="s">
        <v>100</v>
      </c>
      <c r="B102" s="290"/>
      <c r="C102" s="290"/>
      <c r="D102" s="290"/>
      <c r="E102" s="290"/>
      <c r="F102" s="290"/>
      <c r="G102" s="290"/>
      <c r="H102" s="290"/>
    </row>
    <row r="103" spans="1:8" x14ac:dyDescent="0.25">
      <c r="A103" s="288" t="s">
        <v>101</v>
      </c>
      <c r="B103" s="288"/>
      <c r="C103" s="288"/>
      <c r="D103" s="288"/>
      <c r="E103" s="288"/>
    </row>
    <row r="104" spans="1:8" x14ac:dyDescent="0.25">
      <c r="A104" s="288" t="s">
        <v>102</v>
      </c>
      <c r="B104" s="288"/>
      <c r="C104" s="288"/>
      <c r="D104" s="288"/>
      <c r="E104" s="288"/>
      <c r="F104" s="288"/>
    </row>
    <row r="105" spans="1:8" x14ac:dyDescent="0.25">
      <c r="A105" s="283" t="s">
        <v>103</v>
      </c>
      <c r="B105" s="283"/>
      <c r="C105" s="283"/>
      <c r="D105" s="283"/>
      <c r="E105" s="283"/>
      <c r="F105" s="283"/>
      <c r="G105" s="283"/>
      <c r="H105" s="283"/>
    </row>
    <row r="106" spans="1:8" x14ac:dyDescent="0.25">
      <c r="A106" s="283"/>
      <c r="B106" s="283"/>
      <c r="C106" s="283"/>
      <c r="D106" s="283"/>
      <c r="E106" s="283"/>
      <c r="F106" s="283"/>
      <c r="G106" s="283"/>
      <c r="H106" s="283"/>
    </row>
    <row r="107" spans="1:8" ht="18.75" x14ac:dyDescent="0.3">
      <c r="A107" s="286" t="s">
        <v>104</v>
      </c>
      <c r="B107" s="286"/>
      <c r="C107" s="286"/>
      <c r="D107" s="286"/>
      <c r="E107" s="286"/>
      <c r="F107" s="286"/>
      <c r="G107" s="286"/>
      <c r="H107" s="286"/>
    </row>
    <row r="109" spans="1:8" ht="18.75" x14ac:dyDescent="0.3">
      <c r="A109" s="287" t="s">
        <v>105</v>
      </c>
      <c r="B109" s="287"/>
      <c r="C109" s="287"/>
      <c r="D109" s="287"/>
      <c r="E109" s="287"/>
      <c r="F109" s="287"/>
      <c r="G109" s="287"/>
      <c r="H109" s="287"/>
    </row>
  </sheetData>
  <sheetProtection algorithmName="SHA-512" hashValue="JrH3aoqKR/4RmrKeT94xeDUzXbpajT+6rV3A56GmUsaBI3GRzHj6SBXFGANu7o/jlcgvbXEW2XG57hG/oQx9TQ==" saltValue="gdpvBk1+K7dfToTXx3MxkA==" spinCount="100000" sheet="1" objects="1" scenarios="1" selectLockedCells="1" selectUnlockedCells="1"/>
  <mergeCells count="87">
    <mergeCell ref="A18:E18"/>
    <mergeCell ref="A12:H14"/>
    <mergeCell ref="A15:H15"/>
    <mergeCell ref="A7:H7"/>
    <mergeCell ref="A1:H4"/>
    <mergeCell ref="A11:H11"/>
    <mergeCell ref="A16:H17"/>
    <mergeCell ref="A5:H6"/>
    <mergeCell ref="A19:E19"/>
    <mergeCell ref="A20:E20"/>
    <mergeCell ref="A21:E21"/>
    <mergeCell ref="A22:E22"/>
    <mergeCell ref="A26:E26"/>
    <mergeCell ref="A23:E23"/>
    <mergeCell ref="A24:E24"/>
    <mergeCell ref="A25:E25"/>
    <mergeCell ref="A27:E27"/>
    <mergeCell ref="A28:E28"/>
    <mergeCell ref="A29:E29"/>
    <mergeCell ref="A30:E30"/>
    <mergeCell ref="A41:H41"/>
    <mergeCell ref="A31:E31"/>
    <mergeCell ref="A33:E33"/>
    <mergeCell ref="A32:E32"/>
    <mergeCell ref="A37:E37"/>
    <mergeCell ref="A38:E38"/>
    <mergeCell ref="A39:E39"/>
    <mergeCell ref="A34:E34"/>
    <mergeCell ref="A35:E35"/>
    <mergeCell ref="A42:D42"/>
    <mergeCell ref="A43:D43"/>
    <mergeCell ref="A44:D44"/>
    <mergeCell ref="A50:H50"/>
    <mergeCell ref="A70:C70"/>
    <mergeCell ref="A53:H53"/>
    <mergeCell ref="A68:D68"/>
    <mergeCell ref="A48:H48"/>
    <mergeCell ref="A49:H49"/>
    <mergeCell ref="A45:E45"/>
    <mergeCell ref="A47:H47"/>
    <mergeCell ref="A51:G51"/>
    <mergeCell ref="A61:D61"/>
    <mergeCell ref="A71:C71"/>
    <mergeCell ref="A72:C72"/>
    <mergeCell ref="A73:C73"/>
    <mergeCell ref="A54:F54"/>
    <mergeCell ref="A69:C69"/>
    <mergeCell ref="A56:F56"/>
    <mergeCell ref="A57:F57"/>
    <mergeCell ref="A60:H60"/>
    <mergeCell ref="A62:B62"/>
    <mergeCell ref="A63:B63"/>
    <mergeCell ref="A64:B64"/>
    <mergeCell ref="A59:H59"/>
    <mergeCell ref="A55:F55"/>
    <mergeCell ref="A65:B65"/>
    <mergeCell ref="A66:C66"/>
    <mergeCell ref="A67:C67"/>
    <mergeCell ref="A93:E93"/>
    <mergeCell ref="A75:D75"/>
    <mergeCell ref="A76:D76"/>
    <mergeCell ref="A77:H77"/>
    <mergeCell ref="A78:E78"/>
    <mergeCell ref="A79:E79"/>
    <mergeCell ref="A81:D81"/>
    <mergeCell ref="A85:H85"/>
    <mergeCell ref="A91:H91"/>
    <mergeCell ref="A88:G88"/>
    <mergeCell ref="A83:B83"/>
    <mergeCell ref="A74:D74"/>
    <mergeCell ref="A89:H89"/>
    <mergeCell ref="A92:C92"/>
    <mergeCell ref="A80:D80"/>
    <mergeCell ref="A82:F82"/>
    <mergeCell ref="A86:H86"/>
    <mergeCell ref="A87:H87"/>
    <mergeCell ref="A107:H107"/>
    <mergeCell ref="A109:H109"/>
    <mergeCell ref="A94:E94"/>
    <mergeCell ref="A104:F104"/>
    <mergeCell ref="A96:F96"/>
    <mergeCell ref="A97:D97"/>
    <mergeCell ref="A100:G100"/>
    <mergeCell ref="A103:E103"/>
    <mergeCell ref="A95:G95"/>
    <mergeCell ref="A99:H99"/>
    <mergeCell ref="A102:H10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FFFF"/>
    <pageSetUpPr fitToPage="1"/>
  </sheetPr>
  <dimension ref="A1:GD278"/>
  <sheetViews>
    <sheetView zoomScale="80" zoomScaleNormal="80" workbookViewId="0">
      <pane xSplit="7" ySplit="9" topLeftCell="H10" activePane="bottomRight" state="frozen"/>
      <selection pane="topRight" activeCell="D19" sqref="D19:K22"/>
      <selection pane="bottomLeft" activeCell="D19" sqref="D19:K22"/>
      <selection pane="bottomRight" activeCell="H22" sqref="H22:K53"/>
    </sheetView>
  </sheetViews>
  <sheetFormatPr defaultRowHeight="15" x14ac:dyDescent="0.25"/>
  <cols>
    <col min="1" max="1" width="7.28515625" customWidth="1"/>
    <col min="2" max="7" width="5.28515625" customWidth="1"/>
    <col min="8" max="9" width="5.7109375" customWidth="1"/>
    <col min="10" max="27" width="6.28515625" customWidth="1"/>
    <col min="28" max="186" width="5.7109375" customWidth="1"/>
  </cols>
  <sheetData>
    <row r="1" spans="1:186" ht="18.75" customHeight="1" x14ac:dyDescent="0.25">
      <c r="A1" s="365" t="s">
        <v>106</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row>
    <row r="2" spans="1:186" x14ac:dyDescent="0.25">
      <c r="A2" s="365"/>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c r="EY2" s="98"/>
      <c r="EZ2" s="98"/>
      <c r="FA2" s="98"/>
      <c r="FB2" s="98"/>
      <c r="FC2" s="98"/>
      <c r="FD2" s="98"/>
      <c r="FE2" s="98"/>
      <c r="FF2" s="98"/>
      <c r="FG2" s="98"/>
      <c r="FH2" s="98"/>
      <c r="FI2" s="98"/>
      <c r="FJ2" s="98"/>
      <c r="FK2" s="98"/>
      <c r="FL2" s="98"/>
      <c r="FM2" s="98"/>
      <c r="FN2" s="98"/>
      <c r="FO2" s="98"/>
      <c r="FP2" s="98"/>
      <c r="FQ2" s="98"/>
      <c r="FR2" s="98"/>
      <c r="FS2" s="98"/>
      <c r="FT2" s="98"/>
      <c r="FU2" s="98"/>
      <c r="FV2" s="98"/>
      <c r="FW2" s="98"/>
      <c r="FX2" s="98"/>
      <c r="FY2" s="98"/>
      <c r="FZ2" s="98"/>
      <c r="GA2" s="98"/>
      <c r="GB2" s="98"/>
      <c r="GC2" s="98"/>
      <c r="GD2" s="98"/>
    </row>
    <row r="3" spans="1:186" x14ac:dyDescent="0.25">
      <c r="A3" s="366" t="s">
        <v>107</v>
      </c>
      <c r="B3" s="367"/>
      <c r="C3" s="367"/>
      <c r="D3" s="367"/>
      <c r="E3" s="367"/>
      <c r="F3" s="368"/>
      <c r="G3" s="436" t="str">
        <f>Setup!G3</f>
        <v>Expanded School Mental Health</v>
      </c>
      <c r="H3" s="437"/>
      <c r="I3" s="437"/>
      <c r="J3" s="437"/>
      <c r="K3" s="437"/>
      <c r="L3" s="437"/>
      <c r="M3" s="437"/>
      <c r="N3" s="437"/>
      <c r="O3" s="437"/>
      <c r="P3" s="438"/>
      <c r="Q3" s="157"/>
      <c r="R3" s="366" t="s">
        <v>109</v>
      </c>
      <c r="S3" s="367"/>
      <c r="T3" s="368"/>
      <c r="U3" s="439">
        <f>Setup!U3</f>
        <v>0</v>
      </c>
      <c r="V3" s="439"/>
      <c r="W3" s="439"/>
      <c r="X3" s="439"/>
      <c r="Y3" s="439"/>
      <c r="Z3" s="439"/>
      <c r="AA3" s="439"/>
      <c r="AB3" s="439"/>
      <c r="AC3" s="439"/>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c r="EY3" s="98"/>
      <c r="EZ3" s="98"/>
      <c r="FA3" s="98"/>
      <c r="FB3" s="98"/>
      <c r="FC3" s="98"/>
      <c r="FD3" s="98"/>
      <c r="FE3" s="98"/>
      <c r="FF3" s="98"/>
      <c r="FG3" s="98"/>
      <c r="FH3" s="98"/>
      <c r="FI3" s="98"/>
      <c r="FJ3" s="98"/>
      <c r="FK3" s="98"/>
      <c r="FL3" s="98"/>
      <c r="FM3" s="98"/>
      <c r="FN3" s="98"/>
      <c r="FO3" s="98"/>
      <c r="FP3" s="98"/>
      <c r="FQ3" s="98"/>
      <c r="FR3" s="98"/>
      <c r="FS3" s="98"/>
      <c r="FT3" s="98"/>
      <c r="FU3" s="98"/>
      <c r="FV3" s="98"/>
      <c r="FW3" s="98"/>
      <c r="FX3" s="98"/>
      <c r="FY3" s="98"/>
      <c r="FZ3" s="98"/>
      <c r="GA3" s="98"/>
      <c r="GB3" s="98"/>
      <c r="GC3" s="98"/>
      <c r="GD3" s="98"/>
    </row>
    <row r="4" spans="1:186" x14ac:dyDescent="0.25">
      <c r="A4" s="366" t="s">
        <v>110</v>
      </c>
      <c r="B4" s="367"/>
      <c r="C4" s="367"/>
      <c r="D4" s="367"/>
      <c r="E4" s="367"/>
      <c r="F4" s="368"/>
      <c r="G4" s="440">
        <f>Setup!G4</f>
        <v>0</v>
      </c>
      <c r="H4" s="441"/>
      <c r="I4" s="441"/>
      <c r="J4" s="441"/>
      <c r="K4" s="441"/>
      <c r="L4" s="441"/>
      <c r="M4" s="441"/>
      <c r="N4" s="441"/>
      <c r="O4" s="441"/>
      <c r="P4" s="442"/>
      <c r="Q4" s="157"/>
      <c r="R4" s="366" t="s">
        <v>114</v>
      </c>
      <c r="S4" s="367"/>
      <c r="T4" s="368"/>
      <c r="U4" s="440">
        <f>Setup!U6</f>
        <v>0</v>
      </c>
      <c r="V4" s="441"/>
      <c r="W4" s="441"/>
      <c r="X4" s="441"/>
      <c r="Y4" s="441"/>
      <c r="Z4" s="441"/>
      <c r="AA4" s="441"/>
      <c r="AB4" s="441"/>
      <c r="AC4" s="442"/>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row>
    <row r="5" spans="1:186" ht="30" customHeight="1" x14ac:dyDescent="0.25">
      <c r="A5" s="745" t="s">
        <v>115</v>
      </c>
      <c r="B5" s="746"/>
      <c r="C5" s="746"/>
      <c r="D5" s="746"/>
      <c r="E5" s="746"/>
      <c r="F5" s="747"/>
      <c r="G5" s="420">
        <f>Setup!G7</f>
        <v>0</v>
      </c>
      <c r="H5" s="421"/>
      <c r="I5" s="421"/>
      <c r="J5" s="421"/>
      <c r="K5" s="422"/>
      <c r="L5" s="420">
        <f>Setup!L7</f>
        <v>0</v>
      </c>
      <c r="M5" s="421"/>
      <c r="N5" s="421"/>
      <c r="O5" s="421"/>
      <c r="P5" s="422"/>
      <c r="Q5" s="157"/>
      <c r="R5" s="343" t="s">
        <v>118</v>
      </c>
      <c r="S5" s="344"/>
      <c r="T5" s="345"/>
      <c r="U5" s="426">
        <f>Setup!U7</f>
        <v>0</v>
      </c>
      <c r="V5" s="427"/>
      <c r="W5" s="427"/>
      <c r="X5" s="427"/>
      <c r="Y5" s="427"/>
      <c r="Z5" s="427"/>
      <c r="AA5" s="427"/>
      <c r="AB5" s="427"/>
      <c r="AC5" s="42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c r="EH5" s="98"/>
      <c r="EI5" s="98"/>
      <c r="EJ5" s="98"/>
      <c r="EK5" s="98"/>
      <c r="EL5" s="98"/>
      <c r="EM5" s="98"/>
      <c r="EN5" s="98"/>
      <c r="EO5" s="98"/>
      <c r="EP5" s="98"/>
      <c r="EQ5" s="98"/>
      <c r="ER5" s="98"/>
      <c r="ES5" s="98"/>
      <c r="ET5" s="98"/>
      <c r="EU5" s="98"/>
      <c r="EV5" s="98"/>
      <c r="EW5" s="98"/>
      <c r="EX5" s="98"/>
      <c r="EY5" s="98"/>
      <c r="EZ5" s="98"/>
      <c r="FA5" s="98"/>
      <c r="FB5" s="98"/>
      <c r="FC5" s="98"/>
      <c r="FD5" s="98"/>
      <c r="FE5" s="98"/>
      <c r="FF5" s="98"/>
      <c r="FG5" s="98"/>
      <c r="FH5" s="98"/>
      <c r="FI5" s="98"/>
      <c r="FJ5" s="98"/>
      <c r="FK5" s="98"/>
      <c r="FL5" s="98"/>
      <c r="FM5" s="98"/>
      <c r="FN5" s="98"/>
      <c r="FO5" s="98"/>
      <c r="FP5" s="98"/>
      <c r="FQ5" s="98"/>
      <c r="FR5" s="98"/>
      <c r="FS5" s="98"/>
      <c r="FT5" s="98"/>
      <c r="FU5" s="98"/>
      <c r="FV5" s="98"/>
      <c r="FW5" s="98"/>
      <c r="FX5" s="98"/>
      <c r="FY5" s="98"/>
      <c r="FZ5" s="98"/>
      <c r="GA5" s="98"/>
      <c r="GB5" s="98"/>
      <c r="GC5" s="98"/>
      <c r="GD5" s="98"/>
    </row>
    <row r="6" spans="1:186" ht="18.75" customHeight="1" x14ac:dyDescent="0.25">
      <c r="A6" s="352" t="s">
        <v>119</v>
      </c>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4"/>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row>
    <row r="7" spans="1:186" ht="18.75" x14ac:dyDescent="0.3">
      <c r="A7" s="750" t="s">
        <v>579</v>
      </c>
      <c r="B7" s="751"/>
      <c r="C7" s="751"/>
      <c r="D7" s="751"/>
      <c r="E7" s="751"/>
      <c r="F7" s="751"/>
      <c r="G7" s="751"/>
      <c r="H7" s="751"/>
      <c r="I7" s="751"/>
      <c r="J7" s="751"/>
      <c r="K7" s="751"/>
      <c r="L7" s="169" t="s">
        <v>580</v>
      </c>
      <c r="M7" s="169">
        <v>3</v>
      </c>
      <c r="N7" s="169">
        <v>6</v>
      </c>
      <c r="O7" s="169">
        <v>9</v>
      </c>
      <c r="P7" s="169">
        <v>1</v>
      </c>
      <c r="Q7" s="169" t="s">
        <v>581</v>
      </c>
      <c r="R7" s="169" t="s">
        <v>582</v>
      </c>
      <c r="S7" s="169" t="s">
        <v>583</v>
      </c>
      <c r="T7" s="169" t="s">
        <v>584</v>
      </c>
      <c r="U7" s="169" t="s">
        <v>585</v>
      </c>
      <c r="V7" s="169" t="s">
        <v>586</v>
      </c>
      <c r="W7" s="169" t="s">
        <v>587</v>
      </c>
      <c r="X7" s="169" t="s">
        <v>588</v>
      </c>
      <c r="Y7" s="169" t="s">
        <v>589</v>
      </c>
      <c r="Z7" s="169" t="s">
        <v>590</v>
      </c>
      <c r="AA7" s="169" t="s">
        <v>591</v>
      </c>
      <c r="AB7" s="169" t="s">
        <v>592</v>
      </c>
      <c r="AC7" s="169" t="s">
        <v>593</v>
      </c>
      <c r="AD7" s="169" t="s">
        <v>594</v>
      </c>
      <c r="AE7" s="169" t="s">
        <v>595</v>
      </c>
      <c r="AF7" s="169" t="s">
        <v>596</v>
      </c>
      <c r="AG7" s="169" t="s">
        <v>597</v>
      </c>
      <c r="AH7" s="169" t="s">
        <v>598</v>
      </c>
      <c r="AI7" s="169" t="s">
        <v>599</v>
      </c>
      <c r="AJ7" s="169" t="s">
        <v>600</v>
      </c>
      <c r="AK7" s="169" t="s">
        <v>601</v>
      </c>
      <c r="AL7" s="169" t="s">
        <v>602</v>
      </c>
      <c r="AM7" s="169" t="s">
        <v>603</v>
      </c>
      <c r="AN7" s="169" t="s">
        <v>604</v>
      </c>
      <c r="AO7" s="169" t="s">
        <v>605</v>
      </c>
      <c r="AP7" s="169" t="s">
        <v>606</v>
      </c>
      <c r="AQ7" s="169" t="s">
        <v>607</v>
      </c>
      <c r="AR7" s="169" t="s">
        <v>608</v>
      </c>
      <c r="AS7" s="169" t="s">
        <v>609</v>
      </c>
      <c r="AT7" s="169" t="s">
        <v>610</v>
      </c>
      <c r="AU7" s="169" t="s">
        <v>611</v>
      </c>
      <c r="AV7" s="169" t="s">
        <v>612</v>
      </c>
      <c r="AW7" s="169" t="s">
        <v>613</v>
      </c>
      <c r="AX7" s="169" t="s">
        <v>614</v>
      </c>
      <c r="AY7" s="169" t="s">
        <v>615</v>
      </c>
      <c r="AZ7" s="169" t="s">
        <v>616</v>
      </c>
      <c r="BA7" s="169" t="s">
        <v>617</v>
      </c>
      <c r="BB7" s="169" t="s">
        <v>618</v>
      </c>
      <c r="BC7" s="169" t="s">
        <v>619</v>
      </c>
      <c r="BD7" s="169" t="s">
        <v>620</v>
      </c>
      <c r="BE7" s="169" t="s">
        <v>621</v>
      </c>
      <c r="BF7" s="169" t="s">
        <v>622</v>
      </c>
      <c r="BG7" s="169" t="s">
        <v>623</v>
      </c>
      <c r="BH7" s="169" t="s">
        <v>624</v>
      </c>
      <c r="BI7" s="169" t="s">
        <v>625</v>
      </c>
      <c r="BJ7" s="169" t="s">
        <v>626</v>
      </c>
      <c r="BK7" s="169" t="s">
        <v>627</v>
      </c>
      <c r="BL7" s="169" t="s">
        <v>628</v>
      </c>
      <c r="BM7" s="169" t="s">
        <v>629</v>
      </c>
      <c r="BN7" s="169" t="s">
        <v>630</v>
      </c>
      <c r="BO7" s="169" t="s">
        <v>631</v>
      </c>
      <c r="BP7" s="169" t="s">
        <v>632</v>
      </c>
      <c r="BQ7" s="169" t="s">
        <v>633</v>
      </c>
      <c r="BR7" s="169" t="s">
        <v>634</v>
      </c>
      <c r="BS7" s="169" t="s">
        <v>635</v>
      </c>
      <c r="BT7" s="169" t="s">
        <v>636</v>
      </c>
      <c r="BU7" s="169" t="s">
        <v>637</v>
      </c>
      <c r="BV7" s="169" t="s">
        <v>638</v>
      </c>
      <c r="BW7" s="169" t="s">
        <v>639</v>
      </c>
      <c r="BX7" s="169" t="s">
        <v>640</v>
      </c>
      <c r="BY7" s="169" t="s">
        <v>641</v>
      </c>
      <c r="BZ7" s="169" t="s">
        <v>642</v>
      </c>
      <c r="CA7" s="169" t="s">
        <v>643</v>
      </c>
      <c r="CB7" s="169" t="s">
        <v>644</v>
      </c>
      <c r="CC7" s="169" t="s">
        <v>645</v>
      </c>
      <c r="CD7" s="169" t="s">
        <v>646</v>
      </c>
      <c r="CE7" s="169" t="s">
        <v>647</v>
      </c>
      <c r="CF7" s="169" t="s">
        <v>648</v>
      </c>
      <c r="CG7" s="169" t="s">
        <v>649</v>
      </c>
      <c r="CH7" s="169" t="s">
        <v>650</v>
      </c>
      <c r="CI7" s="169" t="s">
        <v>651</v>
      </c>
      <c r="CJ7" s="169" t="s">
        <v>652</v>
      </c>
      <c r="CK7" s="169" t="s">
        <v>653</v>
      </c>
      <c r="CL7" s="169" t="s">
        <v>654</v>
      </c>
      <c r="CM7" s="169" t="s">
        <v>655</v>
      </c>
      <c r="CN7" s="169" t="s">
        <v>656</v>
      </c>
      <c r="CO7" s="169" t="s">
        <v>657</v>
      </c>
      <c r="CP7" s="169" t="s">
        <v>658</v>
      </c>
      <c r="CQ7" s="169" t="s">
        <v>659</v>
      </c>
      <c r="CR7" s="169" t="s">
        <v>660</v>
      </c>
      <c r="CS7" s="169" t="s">
        <v>661</v>
      </c>
      <c r="CT7" s="169" t="s">
        <v>662</v>
      </c>
      <c r="CU7" s="169" t="s">
        <v>663</v>
      </c>
      <c r="CV7" s="169" t="s">
        <v>664</v>
      </c>
      <c r="CW7" s="169" t="s">
        <v>665</v>
      </c>
      <c r="CX7" s="169" t="s">
        <v>666</v>
      </c>
      <c r="CY7" s="169" t="s">
        <v>667</v>
      </c>
      <c r="CZ7" s="169" t="s">
        <v>668</v>
      </c>
      <c r="DA7" s="169" t="s">
        <v>669</v>
      </c>
      <c r="DB7" s="169" t="s">
        <v>670</v>
      </c>
      <c r="DC7" s="169" t="s">
        <v>671</v>
      </c>
      <c r="DD7" s="169" t="s">
        <v>672</v>
      </c>
      <c r="DE7" s="169" t="s">
        <v>673</v>
      </c>
      <c r="DF7" s="169" t="s">
        <v>674</v>
      </c>
      <c r="DG7" s="169" t="s">
        <v>675</v>
      </c>
      <c r="DH7" s="169" t="s">
        <v>676</v>
      </c>
      <c r="DI7" s="169" t="s">
        <v>677</v>
      </c>
      <c r="DJ7" s="169" t="s">
        <v>678</v>
      </c>
      <c r="DK7" s="169" t="s">
        <v>679</v>
      </c>
      <c r="DL7" s="169" t="s">
        <v>680</v>
      </c>
      <c r="DM7" s="169" t="s">
        <v>681</v>
      </c>
      <c r="DN7" s="169" t="s">
        <v>682</v>
      </c>
      <c r="DO7" s="169" t="s">
        <v>683</v>
      </c>
      <c r="DP7" s="169" t="s">
        <v>684</v>
      </c>
      <c r="DQ7" s="169" t="s">
        <v>685</v>
      </c>
      <c r="DR7" s="169" t="s">
        <v>686</v>
      </c>
      <c r="DS7" s="169" t="s">
        <v>687</v>
      </c>
      <c r="DT7" s="169" t="s">
        <v>688</v>
      </c>
      <c r="DU7" s="169" t="s">
        <v>689</v>
      </c>
      <c r="DV7" s="169" t="s">
        <v>690</v>
      </c>
      <c r="DW7" s="169" t="s">
        <v>691</v>
      </c>
      <c r="DX7" s="169" t="s">
        <v>692</v>
      </c>
      <c r="DY7" s="169" t="s">
        <v>693</v>
      </c>
      <c r="DZ7" s="169" t="s">
        <v>694</v>
      </c>
      <c r="EA7" s="169" t="s">
        <v>695</v>
      </c>
      <c r="EB7" s="169" t="s">
        <v>696</v>
      </c>
      <c r="EC7" s="169" t="s">
        <v>697</v>
      </c>
      <c r="ED7" s="169" t="s">
        <v>698</v>
      </c>
      <c r="EE7" s="169" t="s">
        <v>699</v>
      </c>
      <c r="EF7" s="169" t="s">
        <v>700</v>
      </c>
      <c r="EG7" s="169" t="s">
        <v>701</v>
      </c>
      <c r="EH7" s="169" t="s">
        <v>702</v>
      </c>
      <c r="EI7" s="169" t="s">
        <v>703</v>
      </c>
      <c r="EJ7" s="169" t="s">
        <v>704</v>
      </c>
      <c r="EK7" s="169" t="s">
        <v>705</v>
      </c>
      <c r="EL7" s="169" t="s">
        <v>706</v>
      </c>
      <c r="EM7" s="169" t="s">
        <v>707</v>
      </c>
      <c r="EN7" s="169" t="s">
        <v>708</v>
      </c>
      <c r="EO7" s="169" t="s">
        <v>709</v>
      </c>
      <c r="EP7" s="169" t="s">
        <v>710</v>
      </c>
      <c r="EQ7" s="169" t="s">
        <v>711</v>
      </c>
      <c r="ER7" s="169" t="s">
        <v>712</v>
      </c>
      <c r="ES7" s="169" t="s">
        <v>713</v>
      </c>
      <c r="ET7" s="169" t="s">
        <v>714</v>
      </c>
      <c r="EU7" s="169" t="s">
        <v>715</v>
      </c>
      <c r="EV7" s="169" t="s">
        <v>646</v>
      </c>
      <c r="EW7" s="169" t="s">
        <v>647</v>
      </c>
      <c r="EX7" s="169" t="s">
        <v>648</v>
      </c>
      <c r="EY7" s="169" t="s">
        <v>649</v>
      </c>
      <c r="EZ7" s="169" t="s">
        <v>650</v>
      </c>
      <c r="FA7" s="169" t="s">
        <v>716</v>
      </c>
      <c r="FB7" s="169" t="s">
        <v>717</v>
      </c>
      <c r="FC7" s="169" t="s">
        <v>718</v>
      </c>
      <c r="FD7" s="169" t="s">
        <v>719</v>
      </c>
      <c r="FE7" s="169" t="s">
        <v>720</v>
      </c>
      <c r="FF7" s="169" t="s">
        <v>721</v>
      </c>
      <c r="FG7" s="169" t="s">
        <v>722</v>
      </c>
      <c r="FH7" s="169" t="s">
        <v>723</v>
      </c>
      <c r="FI7" s="169" t="s">
        <v>724</v>
      </c>
      <c r="FJ7" s="169" t="s">
        <v>725</v>
      </c>
      <c r="FK7" s="169" t="s">
        <v>726</v>
      </c>
      <c r="FL7" s="169" t="s">
        <v>727</v>
      </c>
      <c r="FM7" s="169" t="s">
        <v>728</v>
      </c>
      <c r="FN7" s="169" t="s">
        <v>729</v>
      </c>
      <c r="FO7" s="169" t="s">
        <v>730</v>
      </c>
      <c r="FP7" s="169" t="s">
        <v>731</v>
      </c>
      <c r="FQ7" s="169" t="s">
        <v>732</v>
      </c>
      <c r="FR7" s="169" t="s">
        <v>733</v>
      </c>
      <c r="FS7" s="169" t="s">
        <v>734</v>
      </c>
      <c r="FT7" s="169" t="s">
        <v>735</v>
      </c>
      <c r="FU7" s="169" t="s">
        <v>736</v>
      </c>
      <c r="FV7" s="169" t="s">
        <v>737</v>
      </c>
      <c r="FW7" s="169" t="s">
        <v>738</v>
      </c>
      <c r="FX7" s="169" t="s">
        <v>739</v>
      </c>
      <c r="FY7" s="169" t="s">
        <v>740</v>
      </c>
      <c r="FZ7" s="169" t="s">
        <v>741</v>
      </c>
      <c r="GA7" s="169" t="s">
        <v>742</v>
      </c>
      <c r="GB7" s="169" t="s">
        <v>743</v>
      </c>
      <c r="GC7" s="169" t="s">
        <v>744</v>
      </c>
      <c r="GD7" s="169" t="s">
        <v>745</v>
      </c>
    </row>
    <row r="8" spans="1:186" ht="125.1" customHeight="1" x14ac:dyDescent="0.25">
      <c r="A8" s="755" t="s">
        <v>199</v>
      </c>
      <c r="B8" s="756" t="s">
        <v>746</v>
      </c>
      <c r="C8" s="756"/>
      <c r="D8" s="756"/>
      <c r="E8" s="756"/>
      <c r="F8" s="756"/>
      <c r="G8" s="756"/>
      <c r="H8" s="765" t="s">
        <v>747</v>
      </c>
      <c r="I8" s="765"/>
      <c r="J8" s="764" t="s">
        <v>748</v>
      </c>
      <c r="K8" s="764"/>
      <c r="L8" s="752" t="s">
        <v>749</v>
      </c>
      <c r="M8" s="753"/>
      <c r="N8" s="753"/>
      <c r="O8" s="753"/>
      <c r="P8" s="753"/>
      <c r="Q8" s="749" t="s">
        <v>750</v>
      </c>
      <c r="R8" s="749"/>
      <c r="S8" s="749"/>
      <c r="T8" s="749"/>
      <c r="U8" s="749"/>
      <c r="V8" s="754" t="s">
        <v>751</v>
      </c>
      <c r="W8" s="754"/>
      <c r="X8" s="754"/>
      <c r="Y8" s="754"/>
      <c r="Z8" s="754"/>
      <c r="AA8" s="749" t="s">
        <v>752</v>
      </c>
      <c r="AB8" s="749"/>
      <c r="AC8" s="749"/>
      <c r="AD8" s="749"/>
      <c r="AE8" s="749"/>
      <c r="AF8" s="748" t="s">
        <v>753</v>
      </c>
      <c r="AG8" s="748"/>
      <c r="AH8" s="748"/>
      <c r="AI8" s="748"/>
      <c r="AJ8" s="748"/>
      <c r="AK8" s="749" t="s">
        <v>754</v>
      </c>
      <c r="AL8" s="749"/>
      <c r="AM8" s="749"/>
      <c r="AN8" s="749"/>
      <c r="AO8" s="749"/>
      <c r="AP8" s="748" t="s">
        <v>755</v>
      </c>
      <c r="AQ8" s="748"/>
      <c r="AR8" s="748"/>
      <c r="AS8" s="748"/>
      <c r="AT8" s="748"/>
      <c r="AU8" s="749" t="s">
        <v>756</v>
      </c>
      <c r="AV8" s="749"/>
      <c r="AW8" s="749"/>
      <c r="AX8" s="749"/>
      <c r="AY8" s="749"/>
      <c r="AZ8" s="748" t="s">
        <v>757</v>
      </c>
      <c r="BA8" s="748"/>
      <c r="BB8" s="748"/>
      <c r="BC8" s="748"/>
      <c r="BD8" s="748"/>
      <c r="BE8" s="749" t="s">
        <v>758</v>
      </c>
      <c r="BF8" s="749"/>
      <c r="BG8" s="749"/>
      <c r="BH8" s="749"/>
      <c r="BI8" s="749"/>
      <c r="BJ8" s="748" t="s">
        <v>759</v>
      </c>
      <c r="BK8" s="748"/>
      <c r="BL8" s="748"/>
      <c r="BM8" s="748"/>
      <c r="BN8" s="748"/>
      <c r="BO8" s="749" t="s">
        <v>760</v>
      </c>
      <c r="BP8" s="749"/>
      <c r="BQ8" s="749"/>
      <c r="BR8" s="749"/>
      <c r="BS8" s="749"/>
      <c r="BT8" s="748" t="s">
        <v>761</v>
      </c>
      <c r="BU8" s="748"/>
      <c r="BV8" s="748"/>
      <c r="BW8" s="748"/>
      <c r="BX8" s="748"/>
      <c r="BY8" s="749" t="s">
        <v>762</v>
      </c>
      <c r="BZ8" s="749"/>
      <c r="CA8" s="749"/>
      <c r="CB8" s="749"/>
      <c r="CC8" s="749"/>
      <c r="CD8" s="759" t="s">
        <v>763</v>
      </c>
      <c r="CE8" s="759"/>
      <c r="CF8" s="759"/>
      <c r="CG8" s="759"/>
      <c r="CH8" s="759"/>
      <c r="CI8" s="760" t="s">
        <v>764</v>
      </c>
      <c r="CJ8" s="760"/>
      <c r="CK8" s="760"/>
      <c r="CL8" s="760"/>
      <c r="CM8" s="760"/>
      <c r="CN8" s="758" t="s">
        <v>765</v>
      </c>
      <c r="CO8" s="758"/>
      <c r="CP8" s="758"/>
      <c r="CQ8" s="758"/>
      <c r="CR8" s="758"/>
      <c r="CS8" s="757" t="s">
        <v>766</v>
      </c>
      <c r="CT8" s="757"/>
      <c r="CU8" s="757"/>
      <c r="CV8" s="757"/>
      <c r="CW8" s="757"/>
      <c r="CX8" s="758" t="s">
        <v>767</v>
      </c>
      <c r="CY8" s="758"/>
      <c r="CZ8" s="758"/>
      <c r="DA8" s="758"/>
      <c r="DB8" s="758"/>
      <c r="DC8" s="757" t="s">
        <v>768</v>
      </c>
      <c r="DD8" s="757"/>
      <c r="DE8" s="757"/>
      <c r="DF8" s="757"/>
      <c r="DG8" s="757"/>
      <c r="DH8" s="758" t="s">
        <v>769</v>
      </c>
      <c r="DI8" s="758"/>
      <c r="DJ8" s="758"/>
      <c r="DK8" s="758"/>
      <c r="DL8" s="758"/>
      <c r="DM8" s="757" t="s">
        <v>770</v>
      </c>
      <c r="DN8" s="757"/>
      <c r="DO8" s="757"/>
      <c r="DP8" s="757"/>
      <c r="DQ8" s="757"/>
      <c r="DR8" s="758" t="s">
        <v>771</v>
      </c>
      <c r="DS8" s="758"/>
      <c r="DT8" s="758"/>
      <c r="DU8" s="758"/>
      <c r="DV8" s="758"/>
      <c r="DW8" s="757" t="s">
        <v>772</v>
      </c>
      <c r="DX8" s="757"/>
      <c r="DY8" s="757"/>
      <c r="DZ8" s="757"/>
      <c r="EA8" s="757"/>
      <c r="EB8" s="763" t="s">
        <v>773</v>
      </c>
      <c r="EC8" s="763"/>
      <c r="ED8" s="763"/>
      <c r="EE8" s="763"/>
      <c r="EF8" s="763"/>
      <c r="EG8" s="766" t="s">
        <v>774</v>
      </c>
      <c r="EH8" s="766"/>
      <c r="EI8" s="766"/>
      <c r="EJ8" s="766"/>
      <c r="EK8" s="766"/>
      <c r="EL8" s="763" t="s">
        <v>775</v>
      </c>
      <c r="EM8" s="763"/>
      <c r="EN8" s="763"/>
      <c r="EO8" s="763"/>
      <c r="EP8" s="763"/>
      <c r="EQ8" s="766" t="s">
        <v>776</v>
      </c>
      <c r="ER8" s="766"/>
      <c r="ES8" s="766"/>
      <c r="ET8" s="766"/>
      <c r="EU8" s="766"/>
      <c r="EV8" s="763" t="s">
        <v>777</v>
      </c>
      <c r="EW8" s="763"/>
      <c r="EX8" s="763"/>
      <c r="EY8" s="763"/>
      <c r="EZ8" s="763"/>
      <c r="FA8" s="766" t="s">
        <v>778</v>
      </c>
      <c r="FB8" s="766"/>
      <c r="FC8" s="766"/>
      <c r="FD8" s="766"/>
      <c r="FE8" s="766"/>
      <c r="FF8" s="763" t="s">
        <v>779</v>
      </c>
      <c r="FG8" s="763"/>
      <c r="FH8" s="763"/>
      <c r="FI8" s="763"/>
      <c r="FJ8" s="763"/>
      <c r="FK8" s="766" t="s">
        <v>780</v>
      </c>
      <c r="FL8" s="766"/>
      <c r="FM8" s="766"/>
      <c r="FN8" s="766"/>
      <c r="FO8" s="766"/>
      <c r="FP8" s="763" t="s">
        <v>781</v>
      </c>
      <c r="FQ8" s="763"/>
      <c r="FR8" s="763"/>
      <c r="FS8" s="763"/>
      <c r="FT8" s="763"/>
      <c r="FU8" s="766" t="s">
        <v>782</v>
      </c>
      <c r="FV8" s="766"/>
      <c r="FW8" s="766"/>
      <c r="FX8" s="766"/>
      <c r="FY8" s="766"/>
      <c r="FZ8" s="763" t="s">
        <v>783</v>
      </c>
      <c r="GA8" s="763"/>
      <c r="GB8" s="763"/>
      <c r="GC8" s="763"/>
      <c r="GD8" s="763"/>
    </row>
    <row r="9" spans="1:186" ht="54.75" customHeight="1" x14ac:dyDescent="0.25">
      <c r="A9" s="755"/>
      <c r="B9" s="756"/>
      <c r="C9" s="756"/>
      <c r="D9" s="756"/>
      <c r="E9" s="756"/>
      <c r="F9" s="756"/>
      <c r="G9" s="756"/>
      <c r="H9" s="765"/>
      <c r="I9" s="765"/>
      <c r="J9" s="764"/>
      <c r="K9" s="764"/>
      <c r="L9" s="33" t="s">
        <v>580</v>
      </c>
      <c r="M9" s="34" t="s">
        <v>784</v>
      </c>
      <c r="N9" s="34" t="s">
        <v>785</v>
      </c>
      <c r="O9" s="34" t="s">
        <v>786</v>
      </c>
      <c r="P9" s="48" t="s">
        <v>787</v>
      </c>
      <c r="Q9" s="35" t="s">
        <v>580</v>
      </c>
      <c r="R9" s="36" t="s">
        <v>784</v>
      </c>
      <c r="S9" s="36" t="s">
        <v>785</v>
      </c>
      <c r="T9" s="36" t="s">
        <v>786</v>
      </c>
      <c r="U9" s="36" t="s">
        <v>787</v>
      </c>
      <c r="V9" s="37" t="s">
        <v>580</v>
      </c>
      <c r="W9" s="34" t="s">
        <v>784</v>
      </c>
      <c r="X9" s="34" t="s">
        <v>785</v>
      </c>
      <c r="Y9" s="34" t="s">
        <v>786</v>
      </c>
      <c r="Z9" s="34" t="s">
        <v>787</v>
      </c>
      <c r="AA9" s="35" t="s">
        <v>580</v>
      </c>
      <c r="AB9" s="36" t="s">
        <v>784</v>
      </c>
      <c r="AC9" s="36" t="s">
        <v>785</v>
      </c>
      <c r="AD9" s="36" t="s">
        <v>786</v>
      </c>
      <c r="AE9" s="36" t="s">
        <v>787</v>
      </c>
      <c r="AF9" s="37" t="s">
        <v>580</v>
      </c>
      <c r="AG9" s="34" t="s">
        <v>784</v>
      </c>
      <c r="AH9" s="34" t="s">
        <v>785</v>
      </c>
      <c r="AI9" s="34" t="s">
        <v>786</v>
      </c>
      <c r="AJ9" s="34" t="s">
        <v>787</v>
      </c>
      <c r="AK9" s="35" t="s">
        <v>580</v>
      </c>
      <c r="AL9" s="36" t="s">
        <v>784</v>
      </c>
      <c r="AM9" s="36" t="s">
        <v>785</v>
      </c>
      <c r="AN9" s="36" t="s">
        <v>786</v>
      </c>
      <c r="AO9" s="36" t="s">
        <v>787</v>
      </c>
      <c r="AP9" s="37" t="s">
        <v>580</v>
      </c>
      <c r="AQ9" s="34" t="s">
        <v>784</v>
      </c>
      <c r="AR9" s="34" t="s">
        <v>785</v>
      </c>
      <c r="AS9" s="34" t="s">
        <v>786</v>
      </c>
      <c r="AT9" s="34" t="s">
        <v>787</v>
      </c>
      <c r="AU9" s="35" t="s">
        <v>580</v>
      </c>
      <c r="AV9" s="36" t="s">
        <v>784</v>
      </c>
      <c r="AW9" s="36" t="s">
        <v>785</v>
      </c>
      <c r="AX9" s="36" t="s">
        <v>786</v>
      </c>
      <c r="AY9" s="36" t="s">
        <v>787</v>
      </c>
      <c r="AZ9" s="37" t="s">
        <v>580</v>
      </c>
      <c r="BA9" s="34" t="s">
        <v>784</v>
      </c>
      <c r="BB9" s="34" t="s">
        <v>785</v>
      </c>
      <c r="BC9" s="34" t="s">
        <v>786</v>
      </c>
      <c r="BD9" s="34" t="s">
        <v>787</v>
      </c>
      <c r="BE9" s="35" t="s">
        <v>580</v>
      </c>
      <c r="BF9" s="36" t="s">
        <v>784</v>
      </c>
      <c r="BG9" s="36" t="s">
        <v>785</v>
      </c>
      <c r="BH9" s="36" t="s">
        <v>786</v>
      </c>
      <c r="BI9" s="36" t="s">
        <v>787</v>
      </c>
      <c r="BJ9" s="37" t="s">
        <v>580</v>
      </c>
      <c r="BK9" s="34" t="s">
        <v>784</v>
      </c>
      <c r="BL9" s="34" t="s">
        <v>785</v>
      </c>
      <c r="BM9" s="34" t="s">
        <v>786</v>
      </c>
      <c r="BN9" s="34" t="s">
        <v>787</v>
      </c>
      <c r="BO9" s="35" t="s">
        <v>580</v>
      </c>
      <c r="BP9" s="36" t="s">
        <v>784</v>
      </c>
      <c r="BQ9" s="36" t="s">
        <v>785</v>
      </c>
      <c r="BR9" s="36" t="s">
        <v>786</v>
      </c>
      <c r="BS9" s="36" t="s">
        <v>787</v>
      </c>
      <c r="BT9" s="37" t="s">
        <v>580</v>
      </c>
      <c r="BU9" s="34" t="s">
        <v>784</v>
      </c>
      <c r="BV9" s="34" t="s">
        <v>785</v>
      </c>
      <c r="BW9" s="34" t="s">
        <v>786</v>
      </c>
      <c r="BX9" s="34" t="s">
        <v>787</v>
      </c>
      <c r="BY9" s="35" t="s">
        <v>580</v>
      </c>
      <c r="BZ9" s="36" t="s">
        <v>784</v>
      </c>
      <c r="CA9" s="36" t="s">
        <v>785</v>
      </c>
      <c r="CB9" s="36" t="s">
        <v>786</v>
      </c>
      <c r="CC9" s="36" t="s">
        <v>787</v>
      </c>
      <c r="CD9" s="38" t="s">
        <v>580</v>
      </c>
      <c r="CE9" s="39" t="s">
        <v>784</v>
      </c>
      <c r="CF9" s="39" t="s">
        <v>785</v>
      </c>
      <c r="CG9" s="39" t="s">
        <v>786</v>
      </c>
      <c r="CH9" s="39" t="s">
        <v>787</v>
      </c>
      <c r="CI9" s="40" t="s">
        <v>580</v>
      </c>
      <c r="CJ9" s="41" t="s">
        <v>784</v>
      </c>
      <c r="CK9" s="41" t="s">
        <v>785</v>
      </c>
      <c r="CL9" s="41" t="s">
        <v>786</v>
      </c>
      <c r="CM9" s="41" t="s">
        <v>787</v>
      </c>
      <c r="CN9" s="38" t="s">
        <v>580</v>
      </c>
      <c r="CO9" s="39" t="s">
        <v>784</v>
      </c>
      <c r="CP9" s="39" t="s">
        <v>785</v>
      </c>
      <c r="CQ9" s="39" t="s">
        <v>786</v>
      </c>
      <c r="CR9" s="39" t="s">
        <v>787</v>
      </c>
      <c r="CS9" s="40" t="s">
        <v>580</v>
      </c>
      <c r="CT9" s="41" t="s">
        <v>784</v>
      </c>
      <c r="CU9" s="41" t="s">
        <v>785</v>
      </c>
      <c r="CV9" s="41" t="s">
        <v>786</v>
      </c>
      <c r="CW9" s="41" t="s">
        <v>787</v>
      </c>
      <c r="CX9" s="38" t="s">
        <v>580</v>
      </c>
      <c r="CY9" s="39" t="s">
        <v>784</v>
      </c>
      <c r="CZ9" s="39" t="s">
        <v>785</v>
      </c>
      <c r="DA9" s="39" t="s">
        <v>786</v>
      </c>
      <c r="DB9" s="39" t="s">
        <v>787</v>
      </c>
      <c r="DC9" s="40" t="s">
        <v>580</v>
      </c>
      <c r="DD9" s="41" t="s">
        <v>784</v>
      </c>
      <c r="DE9" s="41" t="s">
        <v>785</v>
      </c>
      <c r="DF9" s="41" t="s">
        <v>786</v>
      </c>
      <c r="DG9" s="41" t="s">
        <v>787</v>
      </c>
      <c r="DH9" s="38" t="s">
        <v>580</v>
      </c>
      <c r="DI9" s="39" t="s">
        <v>784</v>
      </c>
      <c r="DJ9" s="39" t="s">
        <v>785</v>
      </c>
      <c r="DK9" s="39" t="s">
        <v>786</v>
      </c>
      <c r="DL9" s="39" t="s">
        <v>787</v>
      </c>
      <c r="DM9" s="40" t="s">
        <v>580</v>
      </c>
      <c r="DN9" s="41" t="s">
        <v>784</v>
      </c>
      <c r="DO9" s="41" t="s">
        <v>785</v>
      </c>
      <c r="DP9" s="41" t="s">
        <v>786</v>
      </c>
      <c r="DQ9" s="41" t="s">
        <v>787</v>
      </c>
      <c r="DR9" s="38" t="s">
        <v>580</v>
      </c>
      <c r="DS9" s="39" t="s">
        <v>784</v>
      </c>
      <c r="DT9" s="39" t="s">
        <v>785</v>
      </c>
      <c r="DU9" s="39" t="s">
        <v>786</v>
      </c>
      <c r="DV9" s="39" t="s">
        <v>787</v>
      </c>
      <c r="DW9" s="40" t="s">
        <v>580</v>
      </c>
      <c r="DX9" s="41" t="s">
        <v>784</v>
      </c>
      <c r="DY9" s="41" t="s">
        <v>785</v>
      </c>
      <c r="DZ9" s="41" t="s">
        <v>786</v>
      </c>
      <c r="EA9" s="41" t="s">
        <v>787</v>
      </c>
      <c r="EB9" s="42" t="s">
        <v>580</v>
      </c>
      <c r="EC9" s="43" t="s">
        <v>784</v>
      </c>
      <c r="ED9" s="43" t="s">
        <v>785</v>
      </c>
      <c r="EE9" s="43" t="s">
        <v>786</v>
      </c>
      <c r="EF9" s="43" t="s">
        <v>787</v>
      </c>
      <c r="EG9" s="44" t="s">
        <v>580</v>
      </c>
      <c r="EH9" s="45" t="s">
        <v>784</v>
      </c>
      <c r="EI9" s="45" t="s">
        <v>785</v>
      </c>
      <c r="EJ9" s="45" t="s">
        <v>786</v>
      </c>
      <c r="EK9" s="45" t="s">
        <v>787</v>
      </c>
      <c r="EL9" s="42" t="s">
        <v>580</v>
      </c>
      <c r="EM9" s="43" t="s">
        <v>784</v>
      </c>
      <c r="EN9" s="43" t="s">
        <v>785</v>
      </c>
      <c r="EO9" s="43" t="s">
        <v>786</v>
      </c>
      <c r="EP9" s="43" t="s">
        <v>787</v>
      </c>
      <c r="EQ9" s="44" t="s">
        <v>580</v>
      </c>
      <c r="ER9" s="45" t="s">
        <v>784</v>
      </c>
      <c r="ES9" s="45" t="s">
        <v>785</v>
      </c>
      <c r="ET9" s="45" t="s">
        <v>786</v>
      </c>
      <c r="EU9" s="45" t="s">
        <v>787</v>
      </c>
      <c r="EV9" s="42" t="s">
        <v>580</v>
      </c>
      <c r="EW9" s="43" t="s">
        <v>784</v>
      </c>
      <c r="EX9" s="43" t="s">
        <v>785</v>
      </c>
      <c r="EY9" s="43" t="s">
        <v>786</v>
      </c>
      <c r="EZ9" s="43" t="s">
        <v>787</v>
      </c>
      <c r="FA9" s="44" t="s">
        <v>580</v>
      </c>
      <c r="FB9" s="45" t="s">
        <v>784</v>
      </c>
      <c r="FC9" s="45" t="s">
        <v>785</v>
      </c>
      <c r="FD9" s="45" t="s">
        <v>786</v>
      </c>
      <c r="FE9" s="45" t="s">
        <v>787</v>
      </c>
      <c r="FF9" s="42" t="s">
        <v>580</v>
      </c>
      <c r="FG9" s="43" t="s">
        <v>784</v>
      </c>
      <c r="FH9" s="43" t="s">
        <v>785</v>
      </c>
      <c r="FI9" s="43" t="s">
        <v>786</v>
      </c>
      <c r="FJ9" s="43" t="s">
        <v>787</v>
      </c>
      <c r="FK9" s="44" t="s">
        <v>580</v>
      </c>
      <c r="FL9" s="45" t="s">
        <v>784</v>
      </c>
      <c r="FM9" s="45" t="s">
        <v>785</v>
      </c>
      <c r="FN9" s="45" t="s">
        <v>786</v>
      </c>
      <c r="FO9" s="45" t="s">
        <v>787</v>
      </c>
      <c r="FP9" s="42" t="s">
        <v>580</v>
      </c>
      <c r="FQ9" s="43" t="s">
        <v>784</v>
      </c>
      <c r="FR9" s="43" t="s">
        <v>785</v>
      </c>
      <c r="FS9" s="43" t="s">
        <v>786</v>
      </c>
      <c r="FT9" s="43" t="s">
        <v>787</v>
      </c>
      <c r="FU9" s="44" t="s">
        <v>580</v>
      </c>
      <c r="FV9" s="45" t="s">
        <v>784</v>
      </c>
      <c r="FW9" s="45" t="s">
        <v>785</v>
      </c>
      <c r="FX9" s="45" t="s">
        <v>786</v>
      </c>
      <c r="FY9" s="45" t="s">
        <v>787</v>
      </c>
      <c r="FZ9" s="42" t="s">
        <v>580</v>
      </c>
      <c r="GA9" s="43" t="s">
        <v>784</v>
      </c>
      <c r="GB9" s="43" t="s">
        <v>785</v>
      </c>
      <c r="GC9" s="43" t="s">
        <v>786</v>
      </c>
      <c r="GD9" s="43" t="s">
        <v>787</v>
      </c>
    </row>
    <row r="10" spans="1:186" ht="50.1" customHeight="1" x14ac:dyDescent="0.25">
      <c r="A10" s="156">
        <v>1</v>
      </c>
      <c r="B10" s="395">
        <f>'Tier 3 Intervention'!B11</f>
        <v>0</v>
      </c>
      <c r="C10" s="395"/>
      <c r="D10" s="395"/>
      <c r="E10" s="395"/>
      <c r="F10" s="395"/>
      <c r="G10" s="395"/>
      <c r="H10" s="761" t="e">
        <f>'Tier 3 Intervention'!AA11+30</f>
        <v>#VALUE!</v>
      </c>
      <c r="I10" s="761"/>
      <c r="J10" s="762" t="e">
        <f>H10+90</f>
        <v>#VALUE!</v>
      </c>
      <c r="K10" s="395"/>
      <c r="L10" s="47" t="s">
        <v>788</v>
      </c>
      <c r="M10" s="46"/>
      <c r="N10" s="46"/>
      <c r="O10" s="46"/>
      <c r="P10" s="49"/>
      <c r="Q10" s="19"/>
      <c r="R10" s="20"/>
      <c r="S10" s="20"/>
      <c r="T10" s="20"/>
      <c r="U10" s="20"/>
      <c r="V10" s="21"/>
      <c r="W10" s="22"/>
      <c r="X10" s="22"/>
      <c r="Y10" s="22"/>
      <c r="Z10" s="22"/>
      <c r="AA10" s="19"/>
      <c r="AB10" s="20"/>
      <c r="AC10" s="20"/>
      <c r="AD10" s="20"/>
      <c r="AE10" s="20"/>
      <c r="AF10" s="21"/>
      <c r="AG10" s="22"/>
      <c r="AH10" s="22"/>
      <c r="AI10" s="22"/>
      <c r="AJ10" s="22"/>
      <c r="AK10" s="19"/>
      <c r="AL10" s="20"/>
      <c r="AM10" s="20"/>
      <c r="AN10" s="20"/>
      <c r="AO10" s="20"/>
      <c r="AP10" s="21"/>
      <c r="AQ10" s="22"/>
      <c r="AR10" s="22"/>
      <c r="AS10" s="22"/>
      <c r="AT10" s="22"/>
      <c r="AU10" s="19"/>
      <c r="AV10" s="20"/>
      <c r="AW10" s="20"/>
      <c r="AX10" s="20"/>
      <c r="AY10" s="20"/>
      <c r="AZ10" s="21"/>
      <c r="BA10" s="22"/>
      <c r="BB10" s="22"/>
      <c r="BC10" s="22"/>
      <c r="BD10" s="22"/>
      <c r="BE10" s="19"/>
      <c r="BF10" s="20"/>
      <c r="BG10" s="20"/>
      <c r="BH10" s="20"/>
      <c r="BI10" s="20"/>
      <c r="BJ10" s="21"/>
      <c r="BK10" s="22"/>
      <c r="BL10" s="22"/>
      <c r="BM10" s="22"/>
      <c r="BN10" s="22"/>
      <c r="BO10" s="19"/>
      <c r="BP10" s="20"/>
      <c r="BQ10" s="20"/>
      <c r="BR10" s="20"/>
      <c r="BS10" s="20"/>
      <c r="BT10" s="21"/>
      <c r="BU10" s="22"/>
      <c r="BV10" s="22"/>
      <c r="BW10" s="22"/>
      <c r="BX10" s="22"/>
      <c r="BY10" s="23"/>
      <c r="BZ10" s="24"/>
      <c r="CA10" s="24"/>
      <c r="CB10" s="24"/>
      <c r="CC10" s="24"/>
      <c r="CD10" s="25"/>
      <c r="CE10" s="26"/>
      <c r="CF10" s="26"/>
      <c r="CG10" s="26"/>
      <c r="CH10" s="26"/>
      <c r="CI10" s="27"/>
      <c r="CJ10" s="28"/>
      <c r="CK10" s="28"/>
      <c r="CL10" s="28"/>
      <c r="CM10" s="28"/>
      <c r="CN10" s="25"/>
      <c r="CO10" s="26"/>
      <c r="CP10" s="26"/>
      <c r="CQ10" s="26"/>
      <c r="CR10" s="26"/>
      <c r="CS10" s="27"/>
      <c r="CT10" s="28"/>
      <c r="CU10" s="28"/>
      <c r="CV10" s="28"/>
      <c r="CW10" s="28"/>
      <c r="CX10" s="25"/>
      <c r="CY10" s="26"/>
      <c r="CZ10" s="26"/>
      <c r="DA10" s="26"/>
      <c r="DB10" s="26"/>
      <c r="DC10" s="27"/>
      <c r="DD10" s="28"/>
      <c r="DE10" s="28"/>
      <c r="DF10" s="28"/>
      <c r="DG10" s="28"/>
      <c r="DH10" s="25"/>
      <c r="DI10" s="26"/>
      <c r="DJ10" s="26"/>
      <c r="DK10" s="26"/>
      <c r="DL10" s="26"/>
      <c r="DM10" s="27"/>
      <c r="DN10" s="28"/>
      <c r="DO10" s="28"/>
      <c r="DP10" s="28"/>
      <c r="DQ10" s="28"/>
      <c r="DR10" s="25"/>
      <c r="DS10" s="26"/>
      <c r="DT10" s="26"/>
      <c r="DU10" s="26"/>
      <c r="DV10" s="26"/>
      <c r="DW10" s="27"/>
      <c r="DX10" s="28"/>
      <c r="DY10" s="28"/>
      <c r="DZ10" s="28"/>
      <c r="EA10" s="28"/>
      <c r="EB10" s="29"/>
      <c r="EC10" s="30"/>
      <c r="ED10" s="30"/>
      <c r="EE10" s="30"/>
      <c r="EF10" s="30"/>
      <c r="EG10" s="31"/>
      <c r="EH10" s="32"/>
      <c r="EI10" s="32"/>
      <c r="EJ10" s="32"/>
      <c r="EK10" s="32"/>
      <c r="EL10" s="29"/>
      <c r="EM10" s="30"/>
      <c r="EN10" s="30"/>
      <c r="EO10" s="30"/>
      <c r="EP10" s="30"/>
      <c r="EQ10" s="31"/>
      <c r="ER10" s="32"/>
      <c r="ES10" s="32"/>
      <c r="ET10" s="32"/>
      <c r="EU10" s="32"/>
      <c r="EV10" s="29"/>
      <c r="EW10" s="30"/>
      <c r="EX10" s="30"/>
      <c r="EY10" s="30"/>
      <c r="EZ10" s="30"/>
      <c r="FA10" s="31"/>
      <c r="FB10" s="32"/>
      <c r="FC10" s="32"/>
      <c r="FD10" s="32"/>
      <c r="FE10" s="32"/>
      <c r="FF10" s="29"/>
      <c r="FG10" s="30"/>
      <c r="FH10" s="30"/>
      <c r="FI10" s="30"/>
      <c r="FJ10" s="30"/>
      <c r="FK10" s="31"/>
      <c r="FL10" s="32"/>
      <c r="FM10" s="32"/>
      <c r="FN10" s="32"/>
      <c r="FO10" s="32"/>
      <c r="FP10" s="29"/>
      <c r="FQ10" s="30"/>
      <c r="FR10" s="30"/>
      <c r="FS10" s="30"/>
      <c r="FT10" s="30"/>
      <c r="FU10" s="31"/>
      <c r="FV10" s="32"/>
      <c r="FW10" s="32"/>
      <c r="FX10" s="32"/>
      <c r="FY10" s="32"/>
      <c r="FZ10" s="29"/>
      <c r="GA10" s="30"/>
      <c r="GB10" s="30"/>
      <c r="GC10" s="30"/>
      <c r="GD10" s="30"/>
    </row>
    <row r="11" spans="1:186" ht="48" x14ac:dyDescent="0.25">
      <c r="A11" s="156">
        <v>2</v>
      </c>
      <c r="B11" s="395">
        <f>'Tier 3 Intervention'!B15</f>
        <v>0</v>
      </c>
      <c r="C11" s="395"/>
      <c r="D11" s="395"/>
      <c r="E11" s="395"/>
      <c r="F11" s="395"/>
      <c r="G11" s="395"/>
      <c r="H11" s="761" t="e">
        <f>'Tier 3 Intervention'!AA15+30</f>
        <v>#VALUE!</v>
      </c>
      <c r="I11" s="761"/>
      <c r="J11" s="762" t="e">
        <f t="shared" ref="J11:J13" si="0">H11+90</f>
        <v>#VALUE!</v>
      </c>
      <c r="K11" s="395"/>
      <c r="L11" s="47" t="s">
        <v>789</v>
      </c>
      <c r="M11" s="46"/>
      <c r="N11" s="46"/>
      <c r="O11" s="46"/>
      <c r="P11" s="49"/>
      <c r="Q11" s="19"/>
      <c r="R11" s="20"/>
      <c r="S11" s="20"/>
      <c r="T11" s="20"/>
      <c r="U11" s="20"/>
      <c r="V11" s="21"/>
      <c r="W11" s="22"/>
      <c r="X11" s="22"/>
      <c r="Y11" s="22"/>
      <c r="Z11" s="22"/>
      <c r="AA11" s="19"/>
      <c r="AB11" s="20"/>
      <c r="AC11" s="20"/>
      <c r="AD11" s="20"/>
      <c r="AE11" s="20"/>
      <c r="AF11" s="21"/>
      <c r="AG11" s="22"/>
      <c r="AH11" s="22"/>
      <c r="AI11" s="22"/>
      <c r="AJ11" s="22"/>
      <c r="AK11" s="19"/>
      <c r="AL11" s="20"/>
      <c r="AM11" s="20"/>
      <c r="AN11" s="20"/>
      <c r="AO11" s="20"/>
      <c r="AP11" s="21"/>
      <c r="AQ11" s="22"/>
      <c r="AR11" s="22"/>
      <c r="AS11" s="22"/>
      <c r="AT11" s="22"/>
      <c r="AU11" s="19"/>
      <c r="AV11" s="20"/>
      <c r="AW11" s="20"/>
      <c r="AX11" s="20"/>
      <c r="AY11" s="20"/>
      <c r="AZ11" s="21"/>
      <c r="BA11" s="22"/>
      <c r="BB11" s="22"/>
      <c r="BC11" s="22"/>
      <c r="BD11" s="22"/>
      <c r="BE11" s="19"/>
      <c r="BF11" s="20"/>
      <c r="BG11" s="20"/>
      <c r="BH11" s="20"/>
      <c r="BI11" s="20"/>
      <c r="BJ11" s="21"/>
      <c r="BK11" s="22"/>
      <c r="BL11" s="22"/>
      <c r="BM11" s="22"/>
      <c r="BN11" s="22"/>
      <c r="BO11" s="19"/>
      <c r="BP11" s="20"/>
      <c r="BQ11" s="20"/>
      <c r="BR11" s="20"/>
      <c r="BS11" s="20"/>
      <c r="BT11" s="21"/>
      <c r="BU11" s="22"/>
      <c r="BV11" s="22"/>
      <c r="BW11" s="22"/>
      <c r="BX11" s="22"/>
      <c r="BY11" s="23"/>
      <c r="BZ11" s="24"/>
      <c r="CA11" s="24"/>
      <c r="CB11" s="24"/>
      <c r="CC11" s="24"/>
      <c r="CD11" s="25"/>
      <c r="CE11" s="26"/>
      <c r="CF11" s="26"/>
      <c r="CG11" s="26"/>
      <c r="CH11" s="26"/>
      <c r="CI11" s="27"/>
      <c r="CJ11" s="28"/>
      <c r="CK11" s="28"/>
      <c r="CL11" s="28"/>
      <c r="CM11" s="28"/>
      <c r="CN11" s="25"/>
      <c r="CO11" s="26"/>
      <c r="CP11" s="26"/>
      <c r="CQ11" s="26"/>
      <c r="CR11" s="26"/>
      <c r="CS11" s="27"/>
      <c r="CT11" s="28"/>
      <c r="CU11" s="28"/>
      <c r="CV11" s="28"/>
      <c r="CW11" s="28"/>
      <c r="CX11" s="25"/>
      <c r="CY11" s="26"/>
      <c r="CZ11" s="26"/>
      <c r="DA11" s="26"/>
      <c r="DB11" s="26"/>
      <c r="DC11" s="27"/>
      <c r="DD11" s="28"/>
      <c r="DE11" s="28"/>
      <c r="DF11" s="28"/>
      <c r="DG11" s="28"/>
      <c r="DH11" s="25"/>
      <c r="DI11" s="26"/>
      <c r="DJ11" s="26"/>
      <c r="DK11" s="26"/>
      <c r="DL11" s="26"/>
      <c r="DM11" s="27"/>
      <c r="DN11" s="28"/>
      <c r="DO11" s="28"/>
      <c r="DP11" s="28"/>
      <c r="DQ11" s="28"/>
      <c r="DR11" s="25"/>
      <c r="DS11" s="26"/>
      <c r="DT11" s="26"/>
      <c r="DU11" s="26"/>
      <c r="DV11" s="26"/>
      <c r="DW11" s="27"/>
      <c r="DX11" s="28"/>
      <c r="DY11" s="28"/>
      <c r="DZ11" s="28"/>
      <c r="EA11" s="28"/>
      <c r="EB11" s="29"/>
      <c r="EC11" s="30"/>
      <c r="ED11" s="30"/>
      <c r="EE11" s="30"/>
      <c r="EF11" s="30"/>
      <c r="EG11" s="31"/>
      <c r="EH11" s="32"/>
      <c r="EI11" s="32"/>
      <c r="EJ11" s="32"/>
      <c r="EK11" s="32"/>
      <c r="EL11" s="29"/>
      <c r="EM11" s="30"/>
      <c r="EN11" s="30"/>
      <c r="EO11" s="30"/>
      <c r="EP11" s="30"/>
      <c r="EQ11" s="31"/>
      <c r="ER11" s="32"/>
      <c r="ES11" s="32"/>
      <c r="ET11" s="32"/>
      <c r="EU11" s="32"/>
      <c r="EV11" s="29"/>
      <c r="EW11" s="30"/>
      <c r="EX11" s="30"/>
      <c r="EY11" s="30"/>
      <c r="EZ11" s="30"/>
      <c r="FA11" s="31"/>
      <c r="FB11" s="32"/>
      <c r="FC11" s="32"/>
      <c r="FD11" s="32"/>
      <c r="FE11" s="32"/>
      <c r="FF11" s="29"/>
      <c r="FG11" s="30"/>
      <c r="FH11" s="30"/>
      <c r="FI11" s="30"/>
      <c r="FJ11" s="30"/>
      <c r="FK11" s="31"/>
      <c r="FL11" s="32"/>
      <c r="FM11" s="32"/>
      <c r="FN11" s="32"/>
      <c r="FO11" s="32"/>
      <c r="FP11" s="29"/>
      <c r="FQ11" s="30"/>
      <c r="FR11" s="30"/>
      <c r="FS11" s="30"/>
      <c r="FT11" s="30"/>
      <c r="FU11" s="31"/>
      <c r="FV11" s="32"/>
      <c r="FW11" s="32"/>
      <c r="FX11" s="32"/>
      <c r="FY11" s="32"/>
      <c r="FZ11" s="29"/>
      <c r="GA11" s="30"/>
      <c r="GB11" s="30"/>
      <c r="GC11" s="30"/>
      <c r="GD11" s="30"/>
    </row>
    <row r="12" spans="1:186" ht="48" x14ac:dyDescent="0.25">
      <c r="A12" s="156">
        <v>3</v>
      </c>
      <c r="B12" s="395">
        <f>'Tier 3 Intervention'!B19</f>
        <v>0</v>
      </c>
      <c r="C12" s="395"/>
      <c r="D12" s="395"/>
      <c r="E12" s="395"/>
      <c r="F12" s="395"/>
      <c r="G12" s="395"/>
      <c r="H12" s="761" t="e">
        <f>'Tier 3 Intervention'!AA19+30</f>
        <v>#VALUE!</v>
      </c>
      <c r="I12" s="761"/>
      <c r="J12" s="762" t="e">
        <f t="shared" si="0"/>
        <v>#VALUE!</v>
      </c>
      <c r="K12" s="395"/>
      <c r="L12" s="47" t="s">
        <v>790</v>
      </c>
      <c r="M12" s="46"/>
      <c r="N12" s="46"/>
      <c r="O12" s="46"/>
      <c r="P12" s="49"/>
      <c r="Q12" s="19"/>
      <c r="R12" s="20"/>
      <c r="S12" s="20"/>
      <c r="T12" s="20"/>
      <c r="U12" s="20"/>
      <c r="V12" s="21"/>
      <c r="W12" s="22"/>
      <c r="X12" s="22"/>
      <c r="Y12" s="22"/>
      <c r="Z12" s="22"/>
      <c r="AA12" s="19"/>
      <c r="AB12" s="20"/>
      <c r="AC12" s="20"/>
      <c r="AD12" s="20"/>
      <c r="AE12" s="20"/>
      <c r="AF12" s="21"/>
      <c r="AG12" s="22"/>
      <c r="AH12" s="22"/>
      <c r="AI12" s="22"/>
      <c r="AJ12" s="22"/>
      <c r="AK12" s="19"/>
      <c r="AL12" s="20"/>
      <c r="AM12" s="20"/>
      <c r="AN12" s="20"/>
      <c r="AO12" s="20"/>
      <c r="AP12" s="21"/>
      <c r="AQ12" s="22"/>
      <c r="AR12" s="22"/>
      <c r="AS12" s="22"/>
      <c r="AT12" s="22"/>
      <c r="AU12" s="19"/>
      <c r="AV12" s="20"/>
      <c r="AW12" s="20"/>
      <c r="AX12" s="20"/>
      <c r="AY12" s="20"/>
      <c r="AZ12" s="21"/>
      <c r="BA12" s="22"/>
      <c r="BB12" s="22"/>
      <c r="BC12" s="22"/>
      <c r="BD12" s="22"/>
      <c r="BE12" s="19"/>
      <c r="BF12" s="20"/>
      <c r="BG12" s="20"/>
      <c r="BH12" s="20"/>
      <c r="BI12" s="20"/>
      <c r="BJ12" s="21"/>
      <c r="BK12" s="22"/>
      <c r="BL12" s="22"/>
      <c r="BM12" s="22"/>
      <c r="BN12" s="22"/>
      <c r="BO12" s="19"/>
      <c r="BP12" s="20"/>
      <c r="BQ12" s="20"/>
      <c r="BR12" s="20"/>
      <c r="BS12" s="20"/>
      <c r="BT12" s="21"/>
      <c r="BU12" s="22"/>
      <c r="BV12" s="22"/>
      <c r="BW12" s="22"/>
      <c r="BX12" s="22"/>
      <c r="BY12" s="23"/>
      <c r="BZ12" s="24"/>
      <c r="CA12" s="24"/>
      <c r="CB12" s="24"/>
      <c r="CC12" s="24"/>
      <c r="CD12" s="25"/>
      <c r="CE12" s="26"/>
      <c r="CF12" s="26"/>
      <c r="CG12" s="26"/>
      <c r="CH12" s="26"/>
      <c r="CI12" s="27"/>
      <c r="CJ12" s="28"/>
      <c r="CK12" s="28"/>
      <c r="CL12" s="28"/>
      <c r="CM12" s="28"/>
      <c r="CN12" s="25"/>
      <c r="CO12" s="26"/>
      <c r="CP12" s="26"/>
      <c r="CQ12" s="26"/>
      <c r="CR12" s="26"/>
      <c r="CS12" s="27"/>
      <c r="CT12" s="28"/>
      <c r="CU12" s="28"/>
      <c r="CV12" s="28"/>
      <c r="CW12" s="28"/>
      <c r="CX12" s="25"/>
      <c r="CY12" s="26"/>
      <c r="CZ12" s="26"/>
      <c r="DA12" s="26"/>
      <c r="DB12" s="26"/>
      <c r="DC12" s="27"/>
      <c r="DD12" s="28"/>
      <c r="DE12" s="28"/>
      <c r="DF12" s="28"/>
      <c r="DG12" s="28"/>
      <c r="DH12" s="25"/>
      <c r="DI12" s="26"/>
      <c r="DJ12" s="26"/>
      <c r="DK12" s="26"/>
      <c r="DL12" s="26"/>
      <c r="DM12" s="27"/>
      <c r="DN12" s="28"/>
      <c r="DO12" s="28"/>
      <c r="DP12" s="28"/>
      <c r="DQ12" s="28"/>
      <c r="DR12" s="25"/>
      <c r="DS12" s="26"/>
      <c r="DT12" s="26"/>
      <c r="DU12" s="26"/>
      <c r="DV12" s="26"/>
      <c r="DW12" s="27"/>
      <c r="DX12" s="28"/>
      <c r="DY12" s="28"/>
      <c r="DZ12" s="28"/>
      <c r="EA12" s="28"/>
      <c r="EB12" s="29"/>
      <c r="EC12" s="30"/>
      <c r="ED12" s="30"/>
      <c r="EE12" s="30"/>
      <c r="EF12" s="30"/>
      <c r="EG12" s="31"/>
      <c r="EH12" s="32"/>
      <c r="EI12" s="32"/>
      <c r="EJ12" s="32"/>
      <c r="EK12" s="32"/>
      <c r="EL12" s="29"/>
      <c r="EM12" s="30"/>
      <c r="EN12" s="30"/>
      <c r="EO12" s="30"/>
      <c r="EP12" s="30"/>
      <c r="EQ12" s="31"/>
      <c r="ER12" s="32"/>
      <c r="ES12" s="32"/>
      <c r="ET12" s="32"/>
      <c r="EU12" s="32"/>
      <c r="EV12" s="29"/>
      <c r="EW12" s="30"/>
      <c r="EX12" s="30"/>
      <c r="EY12" s="30"/>
      <c r="EZ12" s="30"/>
      <c r="FA12" s="31"/>
      <c r="FB12" s="32"/>
      <c r="FC12" s="32"/>
      <c r="FD12" s="32"/>
      <c r="FE12" s="32"/>
      <c r="FF12" s="29"/>
      <c r="FG12" s="30"/>
      <c r="FH12" s="30"/>
      <c r="FI12" s="30"/>
      <c r="FJ12" s="30"/>
      <c r="FK12" s="31"/>
      <c r="FL12" s="32"/>
      <c r="FM12" s="32"/>
      <c r="FN12" s="32"/>
      <c r="FO12" s="32"/>
      <c r="FP12" s="29"/>
      <c r="FQ12" s="30"/>
      <c r="FR12" s="30"/>
      <c r="FS12" s="30"/>
      <c r="FT12" s="30"/>
      <c r="FU12" s="31"/>
      <c r="FV12" s="32"/>
      <c r="FW12" s="32"/>
      <c r="FX12" s="32"/>
      <c r="FY12" s="32"/>
      <c r="FZ12" s="29"/>
      <c r="GA12" s="30"/>
      <c r="GB12" s="30"/>
      <c r="GC12" s="30"/>
      <c r="GD12" s="30"/>
    </row>
    <row r="13" spans="1:186" ht="48" x14ac:dyDescent="0.25">
      <c r="A13" s="156">
        <v>4</v>
      </c>
      <c r="B13" s="395">
        <f>'Tier 3 Intervention'!B23</f>
        <v>0</v>
      </c>
      <c r="C13" s="395"/>
      <c r="D13" s="395"/>
      <c r="E13" s="395"/>
      <c r="F13" s="395"/>
      <c r="G13" s="395"/>
      <c r="H13" s="761">
        <f>'Tier 3 Intervention'!AA23+30</f>
        <v>30</v>
      </c>
      <c r="I13" s="761"/>
      <c r="J13" s="762">
        <f t="shared" si="0"/>
        <v>120</v>
      </c>
      <c r="K13" s="395"/>
      <c r="L13" s="47" t="s">
        <v>791</v>
      </c>
      <c r="M13" s="46"/>
      <c r="N13" s="46"/>
      <c r="O13" s="46"/>
      <c r="P13" s="49"/>
      <c r="Q13" s="19"/>
      <c r="R13" s="20"/>
      <c r="S13" s="20"/>
      <c r="T13" s="20"/>
      <c r="U13" s="20"/>
      <c r="V13" s="21"/>
      <c r="W13" s="22"/>
      <c r="X13" s="22"/>
      <c r="Y13" s="22"/>
      <c r="Z13" s="22"/>
      <c r="AA13" s="19"/>
      <c r="AB13" s="20"/>
      <c r="AC13" s="20"/>
      <c r="AD13" s="20"/>
      <c r="AE13" s="20"/>
      <c r="AF13" s="21"/>
      <c r="AG13" s="22"/>
      <c r="AH13" s="22"/>
      <c r="AI13" s="22"/>
      <c r="AJ13" s="22"/>
      <c r="AK13" s="19"/>
      <c r="AL13" s="20"/>
      <c r="AM13" s="20"/>
      <c r="AN13" s="20"/>
      <c r="AO13" s="20"/>
      <c r="AP13" s="21"/>
      <c r="AQ13" s="22"/>
      <c r="AR13" s="22"/>
      <c r="AS13" s="22"/>
      <c r="AT13" s="22"/>
      <c r="AU13" s="19"/>
      <c r="AV13" s="20"/>
      <c r="AW13" s="20"/>
      <c r="AX13" s="20"/>
      <c r="AY13" s="20"/>
      <c r="AZ13" s="21"/>
      <c r="BA13" s="22"/>
      <c r="BB13" s="22"/>
      <c r="BC13" s="22"/>
      <c r="BD13" s="22"/>
      <c r="BE13" s="19"/>
      <c r="BF13" s="20"/>
      <c r="BG13" s="20"/>
      <c r="BH13" s="20"/>
      <c r="BI13" s="20"/>
      <c r="BJ13" s="21"/>
      <c r="BK13" s="22"/>
      <c r="BL13" s="22"/>
      <c r="BM13" s="22"/>
      <c r="BN13" s="22"/>
      <c r="BO13" s="19"/>
      <c r="BP13" s="20"/>
      <c r="BQ13" s="20"/>
      <c r="BR13" s="20"/>
      <c r="BS13" s="20"/>
      <c r="BT13" s="21"/>
      <c r="BU13" s="22"/>
      <c r="BV13" s="22"/>
      <c r="BW13" s="22"/>
      <c r="BX13" s="22"/>
      <c r="BY13" s="23"/>
      <c r="BZ13" s="24"/>
      <c r="CA13" s="24"/>
      <c r="CB13" s="24"/>
      <c r="CC13" s="24"/>
      <c r="CD13" s="25"/>
      <c r="CE13" s="26"/>
      <c r="CF13" s="26"/>
      <c r="CG13" s="26"/>
      <c r="CH13" s="26"/>
      <c r="CI13" s="27"/>
      <c r="CJ13" s="28"/>
      <c r="CK13" s="28"/>
      <c r="CL13" s="28"/>
      <c r="CM13" s="28"/>
      <c r="CN13" s="25"/>
      <c r="CO13" s="26"/>
      <c r="CP13" s="26"/>
      <c r="CQ13" s="26"/>
      <c r="CR13" s="26"/>
      <c r="CS13" s="27"/>
      <c r="CT13" s="28"/>
      <c r="CU13" s="28"/>
      <c r="CV13" s="28"/>
      <c r="CW13" s="28"/>
      <c r="CX13" s="25"/>
      <c r="CY13" s="26"/>
      <c r="CZ13" s="26"/>
      <c r="DA13" s="26"/>
      <c r="DB13" s="26"/>
      <c r="DC13" s="27"/>
      <c r="DD13" s="28"/>
      <c r="DE13" s="28"/>
      <c r="DF13" s="28"/>
      <c r="DG13" s="28"/>
      <c r="DH13" s="25"/>
      <c r="DI13" s="26"/>
      <c r="DJ13" s="26"/>
      <c r="DK13" s="26"/>
      <c r="DL13" s="26"/>
      <c r="DM13" s="27"/>
      <c r="DN13" s="28"/>
      <c r="DO13" s="28"/>
      <c r="DP13" s="28"/>
      <c r="DQ13" s="28"/>
      <c r="DR13" s="25"/>
      <c r="DS13" s="26"/>
      <c r="DT13" s="26"/>
      <c r="DU13" s="26"/>
      <c r="DV13" s="26"/>
      <c r="DW13" s="27"/>
      <c r="DX13" s="28"/>
      <c r="DY13" s="28"/>
      <c r="DZ13" s="28"/>
      <c r="EA13" s="28"/>
      <c r="EB13" s="29"/>
      <c r="EC13" s="30"/>
      <c r="ED13" s="30"/>
      <c r="EE13" s="30"/>
      <c r="EF13" s="30"/>
      <c r="EG13" s="31"/>
      <c r="EH13" s="32"/>
      <c r="EI13" s="32"/>
      <c r="EJ13" s="32"/>
      <c r="EK13" s="32"/>
      <c r="EL13" s="29"/>
      <c r="EM13" s="30"/>
      <c r="EN13" s="30"/>
      <c r="EO13" s="30"/>
      <c r="EP13" s="30"/>
      <c r="EQ13" s="31"/>
      <c r="ER13" s="32"/>
      <c r="ES13" s="32"/>
      <c r="ET13" s="32"/>
      <c r="EU13" s="32"/>
      <c r="EV13" s="29"/>
      <c r="EW13" s="30"/>
      <c r="EX13" s="30"/>
      <c r="EY13" s="30"/>
      <c r="EZ13" s="30"/>
      <c r="FA13" s="31"/>
      <c r="FB13" s="32"/>
      <c r="FC13" s="32"/>
      <c r="FD13" s="32"/>
      <c r="FE13" s="32"/>
      <c r="FF13" s="29"/>
      <c r="FG13" s="30"/>
      <c r="FH13" s="30"/>
      <c r="FI13" s="30"/>
      <c r="FJ13" s="30"/>
      <c r="FK13" s="31"/>
      <c r="FL13" s="32"/>
      <c r="FM13" s="32"/>
      <c r="FN13" s="32"/>
      <c r="FO13" s="32"/>
      <c r="FP13" s="29"/>
      <c r="FQ13" s="30"/>
      <c r="FR13" s="30"/>
      <c r="FS13" s="30"/>
      <c r="FT13" s="30"/>
      <c r="FU13" s="31"/>
      <c r="FV13" s="32"/>
      <c r="FW13" s="32"/>
      <c r="FX13" s="32"/>
      <c r="FY13" s="32"/>
      <c r="FZ13" s="29"/>
      <c r="GA13" s="30"/>
      <c r="GB13" s="30"/>
      <c r="GC13" s="30"/>
      <c r="GD13" s="30"/>
    </row>
    <row r="14" spans="1:186" ht="48" x14ac:dyDescent="0.25">
      <c r="A14" s="156">
        <v>5</v>
      </c>
      <c r="B14" s="395">
        <f>'Tier 3 Intervention'!B27</f>
        <v>0</v>
      </c>
      <c r="C14" s="395"/>
      <c r="D14" s="395"/>
      <c r="E14" s="395"/>
      <c r="F14" s="395"/>
      <c r="G14" s="395"/>
      <c r="H14" s="761">
        <f>'Tier 3 Intervention'!AA27+30</f>
        <v>44129</v>
      </c>
      <c r="I14" s="761"/>
      <c r="J14" s="762">
        <f t="shared" ref="J14:J77" si="1">H14+90</f>
        <v>44219</v>
      </c>
      <c r="K14" s="395"/>
      <c r="L14" s="47" t="s">
        <v>792</v>
      </c>
      <c r="M14" s="46"/>
      <c r="N14" s="46"/>
      <c r="O14" s="46"/>
      <c r="P14" s="49"/>
      <c r="Q14" s="19"/>
      <c r="R14" s="20"/>
      <c r="S14" s="20"/>
      <c r="T14" s="20"/>
      <c r="U14" s="20"/>
      <c r="V14" s="21"/>
      <c r="W14" s="22"/>
      <c r="X14" s="22"/>
      <c r="Y14" s="22"/>
      <c r="Z14" s="22"/>
      <c r="AA14" s="19"/>
      <c r="AB14" s="20"/>
      <c r="AC14" s="20"/>
      <c r="AD14" s="20"/>
      <c r="AE14" s="20"/>
      <c r="AF14" s="21"/>
      <c r="AG14" s="22"/>
      <c r="AH14" s="22"/>
      <c r="AI14" s="22"/>
      <c r="AJ14" s="22"/>
      <c r="AK14" s="19"/>
      <c r="AL14" s="20"/>
      <c r="AM14" s="20"/>
      <c r="AN14" s="20"/>
      <c r="AO14" s="20"/>
      <c r="AP14" s="21"/>
      <c r="AQ14" s="22"/>
      <c r="AR14" s="22"/>
      <c r="AS14" s="22"/>
      <c r="AT14" s="22"/>
      <c r="AU14" s="19"/>
      <c r="AV14" s="20"/>
      <c r="AW14" s="20"/>
      <c r="AX14" s="20"/>
      <c r="AY14" s="20"/>
      <c r="AZ14" s="21"/>
      <c r="BA14" s="22"/>
      <c r="BB14" s="22"/>
      <c r="BC14" s="22"/>
      <c r="BD14" s="22"/>
      <c r="BE14" s="19"/>
      <c r="BF14" s="20"/>
      <c r="BG14" s="20"/>
      <c r="BH14" s="20"/>
      <c r="BI14" s="20"/>
      <c r="BJ14" s="21"/>
      <c r="BK14" s="22"/>
      <c r="BL14" s="22"/>
      <c r="BM14" s="22"/>
      <c r="BN14" s="22"/>
      <c r="BO14" s="19"/>
      <c r="BP14" s="20"/>
      <c r="BQ14" s="20"/>
      <c r="BR14" s="20"/>
      <c r="BS14" s="20"/>
      <c r="BT14" s="21"/>
      <c r="BU14" s="22"/>
      <c r="BV14" s="22"/>
      <c r="BW14" s="22"/>
      <c r="BX14" s="22"/>
      <c r="BY14" s="23"/>
      <c r="BZ14" s="24"/>
      <c r="CA14" s="24"/>
      <c r="CB14" s="24"/>
      <c r="CC14" s="24"/>
      <c r="CD14" s="25"/>
      <c r="CE14" s="26"/>
      <c r="CF14" s="26"/>
      <c r="CG14" s="26"/>
      <c r="CH14" s="26"/>
      <c r="CI14" s="27"/>
      <c r="CJ14" s="28"/>
      <c r="CK14" s="28"/>
      <c r="CL14" s="28"/>
      <c r="CM14" s="28"/>
      <c r="CN14" s="25"/>
      <c r="CO14" s="26"/>
      <c r="CP14" s="26"/>
      <c r="CQ14" s="26"/>
      <c r="CR14" s="26"/>
      <c r="CS14" s="27"/>
      <c r="CT14" s="28"/>
      <c r="CU14" s="28"/>
      <c r="CV14" s="28"/>
      <c r="CW14" s="28"/>
      <c r="CX14" s="25"/>
      <c r="CY14" s="26"/>
      <c r="CZ14" s="26"/>
      <c r="DA14" s="26"/>
      <c r="DB14" s="26"/>
      <c r="DC14" s="27"/>
      <c r="DD14" s="28"/>
      <c r="DE14" s="28"/>
      <c r="DF14" s="28"/>
      <c r="DG14" s="28"/>
      <c r="DH14" s="25"/>
      <c r="DI14" s="26"/>
      <c r="DJ14" s="26"/>
      <c r="DK14" s="26"/>
      <c r="DL14" s="26"/>
      <c r="DM14" s="27"/>
      <c r="DN14" s="28"/>
      <c r="DO14" s="28"/>
      <c r="DP14" s="28"/>
      <c r="DQ14" s="28"/>
      <c r="DR14" s="25"/>
      <c r="DS14" s="26"/>
      <c r="DT14" s="26"/>
      <c r="DU14" s="26"/>
      <c r="DV14" s="26"/>
      <c r="DW14" s="27"/>
      <c r="DX14" s="28"/>
      <c r="DY14" s="28"/>
      <c r="DZ14" s="28"/>
      <c r="EA14" s="28"/>
      <c r="EB14" s="29"/>
      <c r="EC14" s="30"/>
      <c r="ED14" s="30"/>
      <c r="EE14" s="30"/>
      <c r="EF14" s="30"/>
      <c r="EG14" s="31"/>
      <c r="EH14" s="32"/>
      <c r="EI14" s="32"/>
      <c r="EJ14" s="32"/>
      <c r="EK14" s="32"/>
      <c r="EL14" s="29"/>
      <c r="EM14" s="30"/>
      <c r="EN14" s="30"/>
      <c r="EO14" s="30"/>
      <c r="EP14" s="30"/>
      <c r="EQ14" s="31"/>
      <c r="ER14" s="32"/>
      <c r="ES14" s="32"/>
      <c r="ET14" s="32"/>
      <c r="EU14" s="32"/>
      <c r="EV14" s="29"/>
      <c r="EW14" s="30"/>
      <c r="EX14" s="30"/>
      <c r="EY14" s="30"/>
      <c r="EZ14" s="30"/>
      <c r="FA14" s="31"/>
      <c r="FB14" s="32"/>
      <c r="FC14" s="32"/>
      <c r="FD14" s="32"/>
      <c r="FE14" s="32"/>
      <c r="FF14" s="29"/>
      <c r="FG14" s="30"/>
      <c r="FH14" s="30"/>
      <c r="FI14" s="30"/>
      <c r="FJ14" s="30"/>
      <c r="FK14" s="31"/>
      <c r="FL14" s="32"/>
      <c r="FM14" s="32"/>
      <c r="FN14" s="32"/>
      <c r="FO14" s="32"/>
      <c r="FP14" s="29"/>
      <c r="FQ14" s="30"/>
      <c r="FR14" s="30"/>
      <c r="FS14" s="30"/>
      <c r="FT14" s="30"/>
      <c r="FU14" s="31"/>
      <c r="FV14" s="32"/>
      <c r="FW14" s="32"/>
      <c r="FX14" s="32"/>
      <c r="FY14" s="32"/>
      <c r="FZ14" s="29"/>
      <c r="GA14" s="30"/>
      <c r="GB14" s="30"/>
      <c r="GC14" s="30"/>
      <c r="GD14" s="30"/>
    </row>
    <row r="15" spans="1:186" ht="48" x14ac:dyDescent="0.25">
      <c r="A15" s="156">
        <v>6</v>
      </c>
      <c r="B15" s="395">
        <f>'Tier 3 Intervention'!B31</f>
        <v>0</v>
      </c>
      <c r="C15" s="395"/>
      <c r="D15" s="395"/>
      <c r="E15" s="395"/>
      <c r="F15" s="395"/>
      <c r="G15" s="395"/>
      <c r="H15" s="761">
        <f>'Tier 3 Intervention'!AA31+30</f>
        <v>44129</v>
      </c>
      <c r="I15" s="761"/>
      <c r="J15" s="762">
        <f t="shared" si="1"/>
        <v>44219</v>
      </c>
      <c r="K15" s="395"/>
      <c r="L15" s="47" t="s">
        <v>793</v>
      </c>
      <c r="M15" s="46"/>
      <c r="N15" s="46"/>
      <c r="O15" s="46"/>
      <c r="P15" s="49"/>
      <c r="Q15" s="19"/>
      <c r="R15" s="20"/>
      <c r="S15" s="20"/>
      <c r="T15" s="20"/>
      <c r="U15" s="20"/>
      <c r="V15" s="21"/>
      <c r="W15" s="22"/>
      <c r="X15" s="22"/>
      <c r="Y15" s="22"/>
      <c r="Z15" s="22"/>
      <c r="AA15" s="19"/>
      <c r="AB15" s="20"/>
      <c r="AC15" s="20"/>
      <c r="AD15" s="20"/>
      <c r="AE15" s="20"/>
      <c r="AF15" s="21"/>
      <c r="AG15" s="22"/>
      <c r="AH15" s="22"/>
      <c r="AI15" s="22"/>
      <c r="AJ15" s="22"/>
      <c r="AK15" s="19"/>
      <c r="AL15" s="20"/>
      <c r="AM15" s="20"/>
      <c r="AN15" s="20"/>
      <c r="AO15" s="20"/>
      <c r="AP15" s="21"/>
      <c r="AQ15" s="22"/>
      <c r="AR15" s="22"/>
      <c r="AS15" s="22"/>
      <c r="AT15" s="22"/>
      <c r="AU15" s="19"/>
      <c r="AV15" s="20"/>
      <c r="AW15" s="20"/>
      <c r="AX15" s="20"/>
      <c r="AY15" s="20"/>
      <c r="AZ15" s="21"/>
      <c r="BA15" s="22"/>
      <c r="BB15" s="22"/>
      <c r="BC15" s="22"/>
      <c r="BD15" s="22"/>
      <c r="BE15" s="19"/>
      <c r="BF15" s="20"/>
      <c r="BG15" s="20"/>
      <c r="BH15" s="20"/>
      <c r="BI15" s="20"/>
      <c r="BJ15" s="21"/>
      <c r="BK15" s="22"/>
      <c r="BL15" s="22"/>
      <c r="BM15" s="22"/>
      <c r="BN15" s="22"/>
      <c r="BO15" s="19"/>
      <c r="BP15" s="20"/>
      <c r="BQ15" s="20"/>
      <c r="BR15" s="20"/>
      <c r="BS15" s="20"/>
      <c r="BT15" s="21"/>
      <c r="BU15" s="22"/>
      <c r="BV15" s="22"/>
      <c r="BW15" s="22"/>
      <c r="BX15" s="22"/>
      <c r="BY15" s="23"/>
      <c r="BZ15" s="24"/>
      <c r="CA15" s="24"/>
      <c r="CB15" s="24"/>
      <c r="CC15" s="24"/>
      <c r="CD15" s="25"/>
      <c r="CE15" s="26"/>
      <c r="CF15" s="26"/>
      <c r="CG15" s="26"/>
      <c r="CH15" s="26"/>
      <c r="CI15" s="27"/>
      <c r="CJ15" s="28"/>
      <c r="CK15" s="28"/>
      <c r="CL15" s="28"/>
      <c r="CM15" s="28"/>
      <c r="CN15" s="25"/>
      <c r="CO15" s="26"/>
      <c r="CP15" s="26"/>
      <c r="CQ15" s="26"/>
      <c r="CR15" s="26"/>
      <c r="CS15" s="27"/>
      <c r="CT15" s="28"/>
      <c r="CU15" s="28"/>
      <c r="CV15" s="28"/>
      <c r="CW15" s="28"/>
      <c r="CX15" s="25"/>
      <c r="CY15" s="26"/>
      <c r="CZ15" s="26"/>
      <c r="DA15" s="26"/>
      <c r="DB15" s="26"/>
      <c r="DC15" s="27"/>
      <c r="DD15" s="28"/>
      <c r="DE15" s="28"/>
      <c r="DF15" s="28"/>
      <c r="DG15" s="28"/>
      <c r="DH15" s="25"/>
      <c r="DI15" s="26"/>
      <c r="DJ15" s="26"/>
      <c r="DK15" s="26"/>
      <c r="DL15" s="26"/>
      <c r="DM15" s="27"/>
      <c r="DN15" s="28"/>
      <c r="DO15" s="28"/>
      <c r="DP15" s="28"/>
      <c r="DQ15" s="28"/>
      <c r="DR15" s="25"/>
      <c r="DS15" s="26"/>
      <c r="DT15" s="26"/>
      <c r="DU15" s="26"/>
      <c r="DV15" s="26"/>
      <c r="DW15" s="27"/>
      <c r="DX15" s="28"/>
      <c r="DY15" s="28"/>
      <c r="DZ15" s="28"/>
      <c r="EA15" s="28"/>
      <c r="EB15" s="29"/>
      <c r="EC15" s="30"/>
      <c r="ED15" s="30"/>
      <c r="EE15" s="30"/>
      <c r="EF15" s="30"/>
      <c r="EG15" s="31"/>
      <c r="EH15" s="32"/>
      <c r="EI15" s="32"/>
      <c r="EJ15" s="32"/>
      <c r="EK15" s="32"/>
      <c r="EL15" s="29"/>
      <c r="EM15" s="30"/>
      <c r="EN15" s="30"/>
      <c r="EO15" s="30"/>
      <c r="EP15" s="30"/>
      <c r="EQ15" s="31"/>
      <c r="ER15" s="32"/>
      <c r="ES15" s="32"/>
      <c r="ET15" s="32"/>
      <c r="EU15" s="32"/>
      <c r="EV15" s="29"/>
      <c r="EW15" s="30"/>
      <c r="EX15" s="30"/>
      <c r="EY15" s="30"/>
      <c r="EZ15" s="30"/>
      <c r="FA15" s="31"/>
      <c r="FB15" s="32"/>
      <c r="FC15" s="32"/>
      <c r="FD15" s="32"/>
      <c r="FE15" s="32"/>
      <c r="FF15" s="29"/>
      <c r="FG15" s="30"/>
      <c r="FH15" s="30"/>
      <c r="FI15" s="30"/>
      <c r="FJ15" s="30"/>
      <c r="FK15" s="31"/>
      <c r="FL15" s="32"/>
      <c r="FM15" s="32"/>
      <c r="FN15" s="32"/>
      <c r="FO15" s="32"/>
      <c r="FP15" s="29"/>
      <c r="FQ15" s="30"/>
      <c r="FR15" s="30"/>
      <c r="FS15" s="30"/>
      <c r="FT15" s="30"/>
      <c r="FU15" s="31"/>
      <c r="FV15" s="32"/>
      <c r="FW15" s="32"/>
      <c r="FX15" s="32"/>
      <c r="FY15" s="32"/>
      <c r="FZ15" s="29"/>
      <c r="GA15" s="30"/>
      <c r="GB15" s="30"/>
      <c r="GC15" s="30"/>
      <c r="GD15" s="30"/>
    </row>
    <row r="16" spans="1:186" ht="48" x14ac:dyDescent="0.25">
      <c r="A16" s="156">
        <v>7</v>
      </c>
      <c r="B16" s="395">
        <f>'Tier 3 Intervention'!B35</f>
        <v>0</v>
      </c>
      <c r="C16" s="395"/>
      <c r="D16" s="395"/>
      <c r="E16" s="395"/>
      <c r="F16" s="395"/>
      <c r="G16" s="395"/>
      <c r="H16" s="761">
        <f>'Tier 3 Intervention'!AA35+30</f>
        <v>44205</v>
      </c>
      <c r="I16" s="761"/>
      <c r="J16" s="762">
        <f t="shared" si="1"/>
        <v>44295</v>
      </c>
      <c r="K16" s="395"/>
      <c r="L16" s="47" t="s">
        <v>794</v>
      </c>
      <c r="M16" s="46"/>
      <c r="N16" s="46"/>
      <c r="O16" s="46"/>
      <c r="P16" s="49"/>
      <c r="Q16" s="19"/>
      <c r="R16" s="20"/>
      <c r="S16" s="20"/>
      <c r="T16" s="20"/>
      <c r="U16" s="20"/>
      <c r="V16" s="21"/>
      <c r="W16" s="22"/>
      <c r="X16" s="22"/>
      <c r="Y16" s="22"/>
      <c r="Z16" s="22"/>
      <c r="AA16" s="19"/>
      <c r="AB16" s="20"/>
      <c r="AC16" s="20"/>
      <c r="AD16" s="20"/>
      <c r="AE16" s="20"/>
      <c r="AF16" s="21"/>
      <c r="AG16" s="22"/>
      <c r="AH16" s="22"/>
      <c r="AI16" s="22"/>
      <c r="AJ16" s="22"/>
      <c r="AK16" s="19"/>
      <c r="AL16" s="20"/>
      <c r="AM16" s="20"/>
      <c r="AN16" s="20"/>
      <c r="AO16" s="20"/>
      <c r="AP16" s="21"/>
      <c r="AQ16" s="22"/>
      <c r="AR16" s="22"/>
      <c r="AS16" s="22"/>
      <c r="AT16" s="22"/>
      <c r="AU16" s="19"/>
      <c r="AV16" s="20"/>
      <c r="AW16" s="20"/>
      <c r="AX16" s="20"/>
      <c r="AY16" s="20"/>
      <c r="AZ16" s="21"/>
      <c r="BA16" s="22"/>
      <c r="BB16" s="22"/>
      <c r="BC16" s="22"/>
      <c r="BD16" s="22"/>
      <c r="BE16" s="19"/>
      <c r="BF16" s="20"/>
      <c r="BG16" s="20"/>
      <c r="BH16" s="20"/>
      <c r="BI16" s="20"/>
      <c r="BJ16" s="21"/>
      <c r="BK16" s="22"/>
      <c r="BL16" s="22"/>
      <c r="BM16" s="22"/>
      <c r="BN16" s="22"/>
      <c r="BO16" s="19"/>
      <c r="BP16" s="20"/>
      <c r="BQ16" s="20"/>
      <c r="BR16" s="20"/>
      <c r="BS16" s="20"/>
      <c r="BT16" s="21"/>
      <c r="BU16" s="22"/>
      <c r="BV16" s="22"/>
      <c r="BW16" s="22"/>
      <c r="BX16" s="22"/>
      <c r="BY16" s="23"/>
      <c r="BZ16" s="24"/>
      <c r="CA16" s="24"/>
      <c r="CB16" s="24"/>
      <c r="CC16" s="24"/>
      <c r="CD16" s="25"/>
      <c r="CE16" s="26"/>
      <c r="CF16" s="26"/>
      <c r="CG16" s="26"/>
      <c r="CH16" s="26"/>
      <c r="CI16" s="27"/>
      <c r="CJ16" s="28"/>
      <c r="CK16" s="28"/>
      <c r="CL16" s="28"/>
      <c r="CM16" s="28"/>
      <c r="CN16" s="25"/>
      <c r="CO16" s="26"/>
      <c r="CP16" s="26"/>
      <c r="CQ16" s="26"/>
      <c r="CR16" s="26"/>
      <c r="CS16" s="27"/>
      <c r="CT16" s="28"/>
      <c r="CU16" s="28"/>
      <c r="CV16" s="28"/>
      <c r="CW16" s="28"/>
      <c r="CX16" s="25"/>
      <c r="CY16" s="26"/>
      <c r="CZ16" s="26"/>
      <c r="DA16" s="26"/>
      <c r="DB16" s="26"/>
      <c r="DC16" s="27"/>
      <c r="DD16" s="28"/>
      <c r="DE16" s="28"/>
      <c r="DF16" s="28"/>
      <c r="DG16" s="28"/>
      <c r="DH16" s="25"/>
      <c r="DI16" s="26"/>
      <c r="DJ16" s="26"/>
      <c r="DK16" s="26"/>
      <c r="DL16" s="26"/>
      <c r="DM16" s="27"/>
      <c r="DN16" s="28"/>
      <c r="DO16" s="28"/>
      <c r="DP16" s="28"/>
      <c r="DQ16" s="28"/>
      <c r="DR16" s="25"/>
      <c r="DS16" s="26"/>
      <c r="DT16" s="26"/>
      <c r="DU16" s="26"/>
      <c r="DV16" s="26"/>
      <c r="DW16" s="27"/>
      <c r="DX16" s="28"/>
      <c r="DY16" s="28"/>
      <c r="DZ16" s="28"/>
      <c r="EA16" s="28"/>
      <c r="EB16" s="29"/>
      <c r="EC16" s="30"/>
      <c r="ED16" s="30"/>
      <c r="EE16" s="30"/>
      <c r="EF16" s="30"/>
      <c r="EG16" s="31"/>
      <c r="EH16" s="32"/>
      <c r="EI16" s="32"/>
      <c r="EJ16" s="32"/>
      <c r="EK16" s="32"/>
      <c r="EL16" s="29"/>
      <c r="EM16" s="30"/>
      <c r="EN16" s="30"/>
      <c r="EO16" s="30"/>
      <c r="EP16" s="30"/>
      <c r="EQ16" s="31"/>
      <c r="ER16" s="32"/>
      <c r="ES16" s="32"/>
      <c r="ET16" s="32"/>
      <c r="EU16" s="32"/>
      <c r="EV16" s="29"/>
      <c r="EW16" s="30"/>
      <c r="EX16" s="30"/>
      <c r="EY16" s="30"/>
      <c r="EZ16" s="30"/>
      <c r="FA16" s="31"/>
      <c r="FB16" s="32"/>
      <c r="FC16" s="32"/>
      <c r="FD16" s="32"/>
      <c r="FE16" s="32"/>
      <c r="FF16" s="29"/>
      <c r="FG16" s="30"/>
      <c r="FH16" s="30"/>
      <c r="FI16" s="30"/>
      <c r="FJ16" s="30"/>
      <c r="FK16" s="31"/>
      <c r="FL16" s="32"/>
      <c r="FM16" s="32"/>
      <c r="FN16" s="32"/>
      <c r="FO16" s="32"/>
      <c r="FP16" s="29"/>
      <c r="FQ16" s="30"/>
      <c r="FR16" s="30"/>
      <c r="FS16" s="30"/>
      <c r="FT16" s="30"/>
      <c r="FU16" s="31"/>
      <c r="FV16" s="32"/>
      <c r="FW16" s="32"/>
      <c r="FX16" s="32"/>
      <c r="FY16" s="32"/>
      <c r="FZ16" s="29"/>
      <c r="GA16" s="30"/>
      <c r="GB16" s="30"/>
      <c r="GC16" s="30"/>
      <c r="GD16" s="30"/>
    </row>
    <row r="17" spans="1:186" ht="48" x14ac:dyDescent="0.25">
      <c r="A17" s="156">
        <v>8</v>
      </c>
      <c r="B17" s="395">
        <f>'Tier 3 Intervention'!B39</f>
        <v>0</v>
      </c>
      <c r="C17" s="395"/>
      <c r="D17" s="395"/>
      <c r="E17" s="395"/>
      <c r="F17" s="395"/>
      <c r="G17" s="395"/>
      <c r="H17" s="761">
        <f>'Tier 3 Intervention'!AA39+30</f>
        <v>30</v>
      </c>
      <c r="I17" s="761"/>
      <c r="J17" s="762">
        <f t="shared" si="1"/>
        <v>120</v>
      </c>
      <c r="K17" s="395"/>
      <c r="L17" s="47" t="s">
        <v>795</v>
      </c>
      <c r="M17" s="46"/>
      <c r="N17" s="46"/>
      <c r="O17" s="46"/>
      <c r="P17" s="49"/>
      <c r="Q17" s="19"/>
      <c r="R17" s="20"/>
      <c r="S17" s="20"/>
      <c r="T17" s="20"/>
      <c r="U17" s="20"/>
      <c r="V17" s="21"/>
      <c r="W17" s="22"/>
      <c r="X17" s="22"/>
      <c r="Y17" s="22"/>
      <c r="Z17" s="22"/>
      <c r="AA17" s="19"/>
      <c r="AB17" s="20"/>
      <c r="AC17" s="20"/>
      <c r="AD17" s="20"/>
      <c r="AE17" s="20"/>
      <c r="AF17" s="21"/>
      <c r="AG17" s="22"/>
      <c r="AH17" s="22"/>
      <c r="AI17" s="22"/>
      <c r="AJ17" s="22"/>
      <c r="AK17" s="19"/>
      <c r="AL17" s="20"/>
      <c r="AM17" s="20"/>
      <c r="AN17" s="20"/>
      <c r="AO17" s="20"/>
      <c r="AP17" s="21"/>
      <c r="AQ17" s="22"/>
      <c r="AR17" s="22"/>
      <c r="AS17" s="22"/>
      <c r="AT17" s="22"/>
      <c r="AU17" s="19"/>
      <c r="AV17" s="20"/>
      <c r="AW17" s="20"/>
      <c r="AX17" s="20"/>
      <c r="AY17" s="20"/>
      <c r="AZ17" s="21"/>
      <c r="BA17" s="22"/>
      <c r="BB17" s="22"/>
      <c r="BC17" s="22"/>
      <c r="BD17" s="22"/>
      <c r="BE17" s="19"/>
      <c r="BF17" s="20"/>
      <c r="BG17" s="20"/>
      <c r="BH17" s="20"/>
      <c r="BI17" s="20"/>
      <c r="BJ17" s="21"/>
      <c r="BK17" s="22"/>
      <c r="BL17" s="22"/>
      <c r="BM17" s="22"/>
      <c r="BN17" s="22"/>
      <c r="BO17" s="19"/>
      <c r="BP17" s="20"/>
      <c r="BQ17" s="20"/>
      <c r="BR17" s="20"/>
      <c r="BS17" s="20"/>
      <c r="BT17" s="21"/>
      <c r="BU17" s="22"/>
      <c r="BV17" s="22"/>
      <c r="BW17" s="22"/>
      <c r="BX17" s="22"/>
      <c r="BY17" s="23"/>
      <c r="BZ17" s="24"/>
      <c r="CA17" s="24"/>
      <c r="CB17" s="24"/>
      <c r="CC17" s="24"/>
      <c r="CD17" s="25"/>
      <c r="CE17" s="26"/>
      <c r="CF17" s="26"/>
      <c r="CG17" s="26"/>
      <c r="CH17" s="26"/>
      <c r="CI17" s="27"/>
      <c r="CJ17" s="28"/>
      <c r="CK17" s="28"/>
      <c r="CL17" s="28"/>
      <c r="CM17" s="28"/>
      <c r="CN17" s="25"/>
      <c r="CO17" s="26"/>
      <c r="CP17" s="26"/>
      <c r="CQ17" s="26"/>
      <c r="CR17" s="26"/>
      <c r="CS17" s="27"/>
      <c r="CT17" s="28"/>
      <c r="CU17" s="28"/>
      <c r="CV17" s="28"/>
      <c r="CW17" s="28"/>
      <c r="CX17" s="25"/>
      <c r="CY17" s="26"/>
      <c r="CZ17" s="26"/>
      <c r="DA17" s="26"/>
      <c r="DB17" s="26"/>
      <c r="DC17" s="27"/>
      <c r="DD17" s="28"/>
      <c r="DE17" s="28"/>
      <c r="DF17" s="28"/>
      <c r="DG17" s="28"/>
      <c r="DH17" s="25"/>
      <c r="DI17" s="26"/>
      <c r="DJ17" s="26"/>
      <c r="DK17" s="26"/>
      <c r="DL17" s="26"/>
      <c r="DM17" s="27"/>
      <c r="DN17" s="28"/>
      <c r="DO17" s="28"/>
      <c r="DP17" s="28"/>
      <c r="DQ17" s="28"/>
      <c r="DR17" s="25"/>
      <c r="DS17" s="26"/>
      <c r="DT17" s="26"/>
      <c r="DU17" s="26"/>
      <c r="DV17" s="26"/>
      <c r="DW17" s="27"/>
      <c r="DX17" s="28"/>
      <c r="DY17" s="28"/>
      <c r="DZ17" s="28"/>
      <c r="EA17" s="28"/>
      <c r="EB17" s="29"/>
      <c r="EC17" s="30"/>
      <c r="ED17" s="30"/>
      <c r="EE17" s="30"/>
      <c r="EF17" s="30"/>
      <c r="EG17" s="31"/>
      <c r="EH17" s="32"/>
      <c r="EI17" s="32"/>
      <c r="EJ17" s="32"/>
      <c r="EK17" s="32"/>
      <c r="EL17" s="29"/>
      <c r="EM17" s="30"/>
      <c r="EN17" s="30"/>
      <c r="EO17" s="30"/>
      <c r="EP17" s="30"/>
      <c r="EQ17" s="31"/>
      <c r="ER17" s="32"/>
      <c r="ES17" s="32"/>
      <c r="ET17" s="32"/>
      <c r="EU17" s="32"/>
      <c r="EV17" s="29"/>
      <c r="EW17" s="30"/>
      <c r="EX17" s="30"/>
      <c r="EY17" s="30"/>
      <c r="EZ17" s="30"/>
      <c r="FA17" s="31"/>
      <c r="FB17" s="32"/>
      <c r="FC17" s="32"/>
      <c r="FD17" s="32"/>
      <c r="FE17" s="32"/>
      <c r="FF17" s="29"/>
      <c r="FG17" s="30"/>
      <c r="FH17" s="30"/>
      <c r="FI17" s="30"/>
      <c r="FJ17" s="30"/>
      <c r="FK17" s="31"/>
      <c r="FL17" s="32"/>
      <c r="FM17" s="32"/>
      <c r="FN17" s="32"/>
      <c r="FO17" s="32"/>
      <c r="FP17" s="29"/>
      <c r="FQ17" s="30"/>
      <c r="FR17" s="30"/>
      <c r="FS17" s="30"/>
      <c r="FT17" s="30"/>
      <c r="FU17" s="31"/>
      <c r="FV17" s="32"/>
      <c r="FW17" s="32"/>
      <c r="FX17" s="32"/>
      <c r="FY17" s="32"/>
      <c r="FZ17" s="29"/>
      <c r="GA17" s="30"/>
      <c r="GB17" s="30"/>
      <c r="GC17" s="30"/>
      <c r="GD17" s="30"/>
    </row>
    <row r="18" spans="1:186" ht="43.5" x14ac:dyDescent="0.25">
      <c r="A18" s="156">
        <v>9</v>
      </c>
      <c r="B18" s="395">
        <f>'Tier 3 Intervention'!B43</f>
        <v>0</v>
      </c>
      <c r="C18" s="395"/>
      <c r="D18" s="395"/>
      <c r="E18" s="395"/>
      <c r="F18" s="395"/>
      <c r="G18" s="395"/>
      <c r="H18" s="761">
        <f>'Tier 3 Intervention'!AA43+30</f>
        <v>30</v>
      </c>
      <c r="I18" s="761"/>
      <c r="J18" s="762">
        <f t="shared" si="1"/>
        <v>120</v>
      </c>
      <c r="K18" s="395"/>
      <c r="L18" s="47">
        <v>44217</v>
      </c>
      <c r="M18" s="46"/>
      <c r="N18" s="46"/>
      <c r="O18" s="46"/>
      <c r="P18" s="49"/>
      <c r="Q18" s="19"/>
      <c r="R18" s="20"/>
      <c r="S18" s="20"/>
      <c r="T18" s="20"/>
      <c r="U18" s="20"/>
      <c r="V18" s="21"/>
      <c r="W18" s="22"/>
      <c r="X18" s="22"/>
      <c r="Y18" s="22"/>
      <c r="Z18" s="22"/>
      <c r="AA18" s="19"/>
      <c r="AB18" s="20"/>
      <c r="AC18" s="20"/>
      <c r="AD18" s="20"/>
      <c r="AE18" s="20"/>
      <c r="AF18" s="21"/>
      <c r="AG18" s="22"/>
      <c r="AH18" s="22"/>
      <c r="AI18" s="22"/>
      <c r="AJ18" s="22"/>
      <c r="AK18" s="19"/>
      <c r="AL18" s="20"/>
      <c r="AM18" s="20"/>
      <c r="AN18" s="20"/>
      <c r="AO18" s="20"/>
      <c r="AP18" s="21"/>
      <c r="AQ18" s="22"/>
      <c r="AR18" s="22"/>
      <c r="AS18" s="22"/>
      <c r="AT18" s="22"/>
      <c r="AU18" s="19"/>
      <c r="AV18" s="20"/>
      <c r="AW18" s="20"/>
      <c r="AX18" s="20"/>
      <c r="AY18" s="20"/>
      <c r="AZ18" s="21"/>
      <c r="BA18" s="22"/>
      <c r="BB18" s="22"/>
      <c r="BC18" s="22"/>
      <c r="BD18" s="22"/>
      <c r="BE18" s="19"/>
      <c r="BF18" s="20"/>
      <c r="BG18" s="20"/>
      <c r="BH18" s="20"/>
      <c r="BI18" s="20"/>
      <c r="BJ18" s="21"/>
      <c r="BK18" s="22"/>
      <c r="BL18" s="22"/>
      <c r="BM18" s="22"/>
      <c r="BN18" s="22"/>
      <c r="BO18" s="19">
        <v>0</v>
      </c>
      <c r="BP18" s="20"/>
      <c r="BQ18" s="20"/>
      <c r="BR18" s="20"/>
      <c r="BS18" s="20"/>
      <c r="BT18" s="21">
        <v>0</v>
      </c>
      <c r="BU18" s="22"/>
      <c r="BV18" s="22"/>
      <c r="BW18" s="22"/>
      <c r="BX18" s="22"/>
      <c r="BY18" s="23">
        <v>2</v>
      </c>
      <c r="BZ18" s="24"/>
      <c r="CA18" s="24"/>
      <c r="CB18" s="24"/>
      <c r="CC18" s="24"/>
      <c r="CD18" s="25">
        <v>3</v>
      </c>
      <c r="CE18" s="26"/>
      <c r="CF18" s="26"/>
      <c r="CG18" s="26"/>
      <c r="CH18" s="26"/>
      <c r="CI18" s="27">
        <v>2</v>
      </c>
      <c r="CJ18" s="28"/>
      <c r="CK18" s="28"/>
      <c r="CL18" s="28"/>
      <c r="CM18" s="28"/>
      <c r="CN18" s="25">
        <v>2</v>
      </c>
      <c r="CO18" s="26"/>
      <c r="CP18" s="26"/>
      <c r="CQ18" s="26"/>
      <c r="CR18" s="26"/>
      <c r="CS18" s="27">
        <v>0</v>
      </c>
      <c r="CT18" s="28"/>
      <c r="CU18" s="28"/>
      <c r="CV18" s="28"/>
      <c r="CW18" s="28"/>
      <c r="CX18" s="25">
        <v>0</v>
      </c>
      <c r="CY18" s="26"/>
      <c r="CZ18" s="26"/>
      <c r="DA18" s="26"/>
      <c r="DB18" s="26"/>
      <c r="DC18" s="27">
        <v>0</v>
      </c>
      <c r="DD18" s="28"/>
      <c r="DE18" s="28"/>
      <c r="DF18" s="28"/>
      <c r="DG18" s="28"/>
      <c r="DH18" s="25">
        <v>0</v>
      </c>
      <c r="DI18" s="26"/>
      <c r="DJ18" s="26"/>
      <c r="DK18" s="26"/>
      <c r="DL18" s="26"/>
      <c r="DM18" s="27">
        <v>2</v>
      </c>
      <c r="DN18" s="28"/>
      <c r="DO18" s="28"/>
      <c r="DP18" s="28"/>
      <c r="DQ18" s="28"/>
      <c r="DR18" s="25">
        <v>1</v>
      </c>
      <c r="DS18" s="26"/>
      <c r="DT18" s="26"/>
      <c r="DU18" s="26"/>
      <c r="DV18" s="26"/>
      <c r="DW18" s="27">
        <v>0</v>
      </c>
      <c r="DX18" s="28"/>
      <c r="DY18" s="28"/>
      <c r="DZ18" s="28"/>
      <c r="EA18" s="28"/>
      <c r="EB18" s="29">
        <v>0</v>
      </c>
      <c r="EC18" s="30"/>
      <c r="ED18" s="30"/>
      <c r="EE18" s="30"/>
      <c r="EF18" s="30"/>
      <c r="EG18" s="31">
        <v>2</v>
      </c>
      <c r="EH18" s="32"/>
      <c r="EI18" s="32"/>
      <c r="EJ18" s="32"/>
      <c r="EK18" s="32"/>
      <c r="EL18" s="29">
        <v>1</v>
      </c>
      <c r="EM18" s="30"/>
      <c r="EN18" s="30"/>
      <c r="EO18" s="30"/>
      <c r="EP18" s="30"/>
      <c r="EQ18" s="31">
        <v>2</v>
      </c>
      <c r="ER18" s="32"/>
      <c r="ES18" s="32"/>
      <c r="ET18" s="32"/>
      <c r="EU18" s="32"/>
      <c r="EV18" s="29">
        <v>0</v>
      </c>
      <c r="EW18" s="30"/>
      <c r="EX18" s="30"/>
      <c r="EY18" s="30"/>
      <c r="EZ18" s="30"/>
      <c r="FA18" s="31">
        <v>0</v>
      </c>
      <c r="FB18" s="32"/>
      <c r="FC18" s="32"/>
      <c r="FD18" s="32"/>
      <c r="FE18" s="32"/>
      <c r="FF18" s="29">
        <v>0</v>
      </c>
      <c r="FG18" s="30"/>
      <c r="FH18" s="30"/>
      <c r="FI18" s="30"/>
      <c r="FJ18" s="30"/>
      <c r="FK18" s="31">
        <v>3</v>
      </c>
      <c r="FL18" s="32"/>
      <c r="FM18" s="32"/>
      <c r="FN18" s="32"/>
      <c r="FO18" s="32"/>
      <c r="FP18" s="29">
        <v>0</v>
      </c>
      <c r="FQ18" s="30"/>
      <c r="FR18" s="30"/>
      <c r="FS18" s="30"/>
      <c r="FT18" s="30"/>
      <c r="FU18" s="31">
        <v>0</v>
      </c>
      <c r="FV18" s="32"/>
      <c r="FW18" s="32"/>
      <c r="FX18" s="32"/>
      <c r="FY18" s="32"/>
      <c r="FZ18" s="29">
        <v>0</v>
      </c>
      <c r="GA18" s="30"/>
      <c r="GB18" s="30"/>
      <c r="GC18" s="30"/>
      <c r="GD18" s="30"/>
    </row>
    <row r="19" spans="1:186" ht="48" x14ac:dyDescent="0.25">
      <c r="A19" s="156">
        <v>10</v>
      </c>
      <c r="B19" s="395">
        <f>'Tier 3 Intervention'!B47</f>
        <v>0</v>
      </c>
      <c r="C19" s="395"/>
      <c r="D19" s="395"/>
      <c r="E19" s="395"/>
      <c r="F19" s="395"/>
      <c r="G19" s="395"/>
      <c r="H19" s="761">
        <f>'Tier 3 Intervention'!AA47+30</f>
        <v>30</v>
      </c>
      <c r="I19" s="761"/>
      <c r="J19" s="762">
        <f t="shared" si="1"/>
        <v>120</v>
      </c>
      <c r="K19" s="395"/>
      <c r="L19" s="47" t="s">
        <v>796</v>
      </c>
      <c r="M19" s="46"/>
      <c r="N19" s="46"/>
      <c r="O19" s="46"/>
      <c r="P19" s="49"/>
      <c r="Q19" s="19"/>
      <c r="R19" s="20"/>
      <c r="S19" s="20"/>
      <c r="T19" s="20"/>
      <c r="U19" s="20"/>
      <c r="V19" s="21"/>
      <c r="W19" s="22"/>
      <c r="X19" s="22"/>
      <c r="Y19" s="22"/>
      <c r="Z19" s="22"/>
      <c r="AA19" s="19"/>
      <c r="AB19" s="20"/>
      <c r="AC19" s="20"/>
      <c r="AD19" s="20"/>
      <c r="AE19" s="20"/>
      <c r="AF19" s="21"/>
      <c r="AG19" s="22"/>
      <c r="AH19" s="22"/>
      <c r="AI19" s="22"/>
      <c r="AJ19" s="22"/>
      <c r="AK19" s="19"/>
      <c r="AL19" s="20"/>
      <c r="AM19" s="20"/>
      <c r="AN19" s="20"/>
      <c r="AO19" s="20"/>
      <c r="AP19" s="21"/>
      <c r="AQ19" s="22"/>
      <c r="AR19" s="22"/>
      <c r="AS19" s="22"/>
      <c r="AT19" s="22"/>
      <c r="AU19" s="19"/>
      <c r="AV19" s="20"/>
      <c r="AW19" s="20"/>
      <c r="AX19" s="20"/>
      <c r="AY19" s="20"/>
      <c r="AZ19" s="21"/>
      <c r="BA19" s="22"/>
      <c r="BB19" s="22"/>
      <c r="BC19" s="22"/>
      <c r="BD19" s="22"/>
      <c r="BE19" s="19"/>
      <c r="BF19" s="20"/>
      <c r="BG19" s="20"/>
      <c r="BH19" s="20"/>
      <c r="BI19" s="20"/>
      <c r="BJ19" s="21"/>
      <c r="BK19" s="22"/>
      <c r="BL19" s="22"/>
      <c r="BM19" s="22"/>
      <c r="BN19" s="22"/>
      <c r="BO19" s="19"/>
      <c r="BP19" s="20"/>
      <c r="BQ19" s="20"/>
      <c r="BR19" s="20"/>
      <c r="BS19" s="20"/>
      <c r="BT19" s="21"/>
      <c r="BU19" s="22"/>
      <c r="BV19" s="22"/>
      <c r="BW19" s="22"/>
      <c r="BX19" s="22"/>
      <c r="BY19" s="23"/>
      <c r="BZ19" s="24"/>
      <c r="CA19" s="24"/>
      <c r="CB19" s="24"/>
      <c r="CC19" s="24"/>
      <c r="CD19" s="25"/>
      <c r="CE19" s="26"/>
      <c r="CF19" s="26"/>
      <c r="CG19" s="26"/>
      <c r="CH19" s="26"/>
      <c r="CI19" s="27"/>
      <c r="CJ19" s="28"/>
      <c r="CK19" s="28"/>
      <c r="CL19" s="28"/>
      <c r="CM19" s="28"/>
      <c r="CN19" s="25"/>
      <c r="CO19" s="26"/>
      <c r="CP19" s="26"/>
      <c r="CQ19" s="26"/>
      <c r="CR19" s="26"/>
      <c r="CS19" s="27"/>
      <c r="CT19" s="28"/>
      <c r="CU19" s="28"/>
      <c r="CV19" s="28"/>
      <c r="CW19" s="28"/>
      <c r="CX19" s="25"/>
      <c r="CY19" s="26"/>
      <c r="CZ19" s="26"/>
      <c r="DA19" s="26"/>
      <c r="DB19" s="26"/>
      <c r="DC19" s="27"/>
      <c r="DD19" s="28"/>
      <c r="DE19" s="28"/>
      <c r="DF19" s="28"/>
      <c r="DG19" s="28"/>
      <c r="DH19" s="25"/>
      <c r="DI19" s="26"/>
      <c r="DJ19" s="26"/>
      <c r="DK19" s="26"/>
      <c r="DL19" s="26"/>
      <c r="DM19" s="27"/>
      <c r="DN19" s="28"/>
      <c r="DO19" s="28"/>
      <c r="DP19" s="28"/>
      <c r="DQ19" s="28"/>
      <c r="DR19" s="25"/>
      <c r="DS19" s="26"/>
      <c r="DT19" s="26"/>
      <c r="DU19" s="26"/>
      <c r="DV19" s="26"/>
      <c r="DW19" s="27"/>
      <c r="DX19" s="28"/>
      <c r="DY19" s="28"/>
      <c r="DZ19" s="28"/>
      <c r="EA19" s="28"/>
      <c r="EB19" s="29"/>
      <c r="EC19" s="30"/>
      <c r="ED19" s="30"/>
      <c r="EE19" s="30"/>
      <c r="EF19" s="30"/>
      <c r="EG19" s="31"/>
      <c r="EH19" s="32"/>
      <c r="EI19" s="32"/>
      <c r="EJ19" s="32"/>
      <c r="EK19" s="32"/>
      <c r="EL19" s="29"/>
      <c r="EM19" s="30"/>
      <c r="EN19" s="30"/>
      <c r="EO19" s="30"/>
      <c r="EP19" s="30"/>
      <c r="EQ19" s="31"/>
      <c r="ER19" s="32"/>
      <c r="ES19" s="32"/>
      <c r="ET19" s="32"/>
      <c r="EU19" s="32"/>
      <c r="EV19" s="29"/>
      <c r="EW19" s="30"/>
      <c r="EX19" s="30"/>
      <c r="EY19" s="30"/>
      <c r="EZ19" s="30"/>
      <c r="FA19" s="31"/>
      <c r="FB19" s="32"/>
      <c r="FC19" s="32"/>
      <c r="FD19" s="32"/>
      <c r="FE19" s="32"/>
      <c r="FF19" s="29"/>
      <c r="FG19" s="30"/>
      <c r="FH19" s="30"/>
      <c r="FI19" s="30"/>
      <c r="FJ19" s="30"/>
      <c r="FK19" s="31"/>
      <c r="FL19" s="32"/>
      <c r="FM19" s="32"/>
      <c r="FN19" s="32"/>
      <c r="FO19" s="32"/>
      <c r="FP19" s="29"/>
      <c r="FQ19" s="30"/>
      <c r="FR19" s="30"/>
      <c r="FS19" s="30"/>
      <c r="FT19" s="30"/>
      <c r="FU19" s="31"/>
      <c r="FV19" s="32"/>
      <c r="FW19" s="32"/>
      <c r="FX19" s="32"/>
      <c r="FY19" s="32"/>
      <c r="FZ19" s="29"/>
      <c r="GA19" s="30"/>
      <c r="GB19" s="30"/>
      <c r="GC19" s="30"/>
      <c r="GD19" s="30"/>
    </row>
    <row r="20" spans="1:186" ht="48" x14ac:dyDescent="0.25">
      <c r="A20" s="156">
        <v>11</v>
      </c>
      <c r="B20" s="395">
        <f>'Tier 3 Intervention'!B51</f>
        <v>0</v>
      </c>
      <c r="C20" s="395"/>
      <c r="D20" s="395"/>
      <c r="E20" s="395"/>
      <c r="F20" s="395"/>
      <c r="G20" s="395"/>
      <c r="H20" s="761">
        <f>'Tier 3 Intervention'!AA51+30</f>
        <v>30</v>
      </c>
      <c r="I20" s="761"/>
      <c r="J20" s="762" t="e">
        <v>#VALUE!</v>
      </c>
      <c r="K20" s="395"/>
      <c r="L20" s="47" t="s">
        <v>797</v>
      </c>
      <c r="M20" s="46"/>
      <c r="N20" s="46"/>
      <c r="O20" s="46"/>
      <c r="P20" s="49"/>
      <c r="Q20" s="19"/>
      <c r="R20" s="20"/>
      <c r="S20" s="20"/>
      <c r="T20" s="20"/>
      <c r="U20" s="20"/>
      <c r="V20" s="21"/>
      <c r="W20" s="22"/>
      <c r="X20" s="22"/>
      <c r="Y20" s="22"/>
      <c r="Z20" s="22"/>
      <c r="AA20" s="19"/>
      <c r="AB20" s="20"/>
      <c r="AC20" s="20"/>
      <c r="AD20" s="20"/>
      <c r="AE20" s="20"/>
      <c r="AF20" s="21"/>
      <c r="AG20" s="22"/>
      <c r="AH20" s="22"/>
      <c r="AI20" s="22"/>
      <c r="AJ20" s="22"/>
      <c r="AK20" s="19"/>
      <c r="AL20" s="20"/>
      <c r="AM20" s="20"/>
      <c r="AN20" s="20"/>
      <c r="AO20" s="20"/>
      <c r="AP20" s="21"/>
      <c r="AQ20" s="22"/>
      <c r="AR20" s="22"/>
      <c r="AS20" s="22"/>
      <c r="AT20" s="22"/>
      <c r="AU20" s="19"/>
      <c r="AV20" s="20"/>
      <c r="AW20" s="20"/>
      <c r="AX20" s="20"/>
      <c r="AY20" s="20"/>
      <c r="AZ20" s="21"/>
      <c r="BA20" s="22"/>
      <c r="BB20" s="22"/>
      <c r="BC20" s="22"/>
      <c r="BD20" s="22"/>
      <c r="BE20" s="19"/>
      <c r="BF20" s="20"/>
      <c r="BG20" s="20"/>
      <c r="BH20" s="20"/>
      <c r="BI20" s="20"/>
      <c r="BJ20" s="21"/>
      <c r="BK20" s="22"/>
      <c r="BL20" s="22"/>
      <c r="BM20" s="22"/>
      <c r="BN20" s="22"/>
      <c r="BO20" s="19"/>
      <c r="BP20" s="20"/>
      <c r="BQ20" s="20"/>
      <c r="BR20" s="20"/>
      <c r="BS20" s="20"/>
      <c r="BT20" s="21"/>
      <c r="BU20" s="22"/>
      <c r="BV20" s="22"/>
      <c r="BW20" s="22"/>
      <c r="BX20" s="22"/>
      <c r="BY20" s="23"/>
      <c r="BZ20" s="24"/>
      <c r="CA20" s="24"/>
      <c r="CB20" s="24"/>
      <c r="CC20" s="24"/>
      <c r="CD20" s="25"/>
      <c r="CE20" s="26"/>
      <c r="CF20" s="26"/>
      <c r="CG20" s="26"/>
      <c r="CH20" s="26"/>
      <c r="CI20" s="27"/>
      <c r="CJ20" s="28"/>
      <c r="CK20" s="28"/>
      <c r="CL20" s="28"/>
      <c r="CM20" s="28"/>
      <c r="CN20" s="25"/>
      <c r="CO20" s="26"/>
      <c r="CP20" s="26"/>
      <c r="CQ20" s="26"/>
      <c r="CR20" s="26"/>
      <c r="CS20" s="27"/>
      <c r="CT20" s="28"/>
      <c r="CU20" s="28"/>
      <c r="CV20" s="28"/>
      <c r="CW20" s="28"/>
      <c r="CX20" s="25"/>
      <c r="CY20" s="26"/>
      <c r="CZ20" s="26"/>
      <c r="DA20" s="26"/>
      <c r="DB20" s="26"/>
      <c r="DC20" s="27"/>
      <c r="DD20" s="28"/>
      <c r="DE20" s="28"/>
      <c r="DF20" s="28"/>
      <c r="DG20" s="28"/>
      <c r="DH20" s="25"/>
      <c r="DI20" s="26"/>
      <c r="DJ20" s="26"/>
      <c r="DK20" s="26"/>
      <c r="DL20" s="26"/>
      <c r="DM20" s="27"/>
      <c r="DN20" s="28"/>
      <c r="DO20" s="28"/>
      <c r="DP20" s="28"/>
      <c r="DQ20" s="28"/>
      <c r="DR20" s="25"/>
      <c r="DS20" s="26"/>
      <c r="DT20" s="26"/>
      <c r="DU20" s="26"/>
      <c r="DV20" s="26"/>
      <c r="DW20" s="27"/>
      <c r="DX20" s="28"/>
      <c r="DY20" s="28"/>
      <c r="DZ20" s="28"/>
      <c r="EA20" s="28"/>
      <c r="EB20" s="29"/>
      <c r="EC20" s="30"/>
      <c r="ED20" s="30"/>
      <c r="EE20" s="30"/>
      <c r="EF20" s="30"/>
      <c r="EG20" s="31"/>
      <c r="EH20" s="32"/>
      <c r="EI20" s="32"/>
      <c r="EJ20" s="32"/>
      <c r="EK20" s="32"/>
      <c r="EL20" s="29"/>
      <c r="EM20" s="30"/>
      <c r="EN20" s="30"/>
      <c r="EO20" s="30"/>
      <c r="EP20" s="30"/>
      <c r="EQ20" s="31"/>
      <c r="ER20" s="32"/>
      <c r="ES20" s="32"/>
      <c r="ET20" s="32"/>
      <c r="EU20" s="32"/>
      <c r="EV20" s="29"/>
      <c r="EW20" s="30"/>
      <c r="EX20" s="30"/>
      <c r="EY20" s="30"/>
      <c r="EZ20" s="30"/>
      <c r="FA20" s="31"/>
      <c r="FB20" s="32"/>
      <c r="FC20" s="32"/>
      <c r="FD20" s="32"/>
      <c r="FE20" s="32"/>
      <c r="FF20" s="29"/>
      <c r="FG20" s="30"/>
      <c r="FH20" s="30"/>
      <c r="FI20" s="30"/>
      <c r="FJ20" s="30"/>
      <c r="FK20" s="31"/>
      <c r="FL20" s="32"/>
      <c r="FM20" s="32"/>
      <c r="FN20" s="32"/>
      <c r="FO20" s="32"/>
      <c r="FP20" s="29"/>
      <c r="FQ20" s="30"/>
      <c r="FR20" s="30"/>
      <c r="FS20" s="30"/>
      <c r="FT20" s="30"/>
      <c r="FU20" s="31"/>
      <c r="FV20" s="32"/>
      <c r="FW20" s="32"/>
      <c r="FX20" s="32"/>
      <c r="FY20" s="32"/>
      <c r="FZ20" s="29"/>
      <c r="GA20" s="30"/>
      <c r="GB20" s="30"/>
      <c r="GC20" s="30"/>
      <c r="GD20" s="30"/>
    </row>
    <row r="21" spans="1:186" ht="48" x14ac:dyDescent="0.25">
      <c r="A21" s="156">
        <v>12</v>
      </c>
      <c r="B21" s="395">
        <f>'Tier 3 Intervention'!B55</f>
        <v>0</v>
      </c>
      <c r="C21" s="395"/>
      <c r="D21" s="395"/>
      <c r="E21" s="395"/>
      <c r="F21" s="395"/>
      <c r="G21" s="395"/>
      <c r="H21" s="761">
        <f>'Tier 3 Intervention'!AA55+30</f>
        <v>30</v>
      </c>
      <c r="I21" s="761"/>
      <c r="J21" s="762">
        <f t="shared" si="1"/>
        <v>120</v>
      </c>
      <c r="K21" s="395"/>
      <c r="L21" s="47" t="s">
        <v>798</v>
      </c>
      <c r="M21" s="46"/>
      <c r="N21" s="46"/>
      <c r="O21" s="46"/>
      <c r="P21" s="49"/>
      <c r="Q21" s="19"/>
      <c r="R21" s="20"/>
      <c r="S21" s="20"/>
      <c r="T21" s="20"/>
      <c r="U21" s="20"/>
      <c r="V21" s="21"/>
      <c r="W21" s="22"/>
      <c r="X21" s="22"/>
      <c r="Y21" s="22"/>
      <c r="Z21" s="22"/>
      <c r="AA21" s="19"/>
      <c r="AB21" s="20"/>
      <c r="AC21" s="20"/>
      <c r="AD21" s="20"/>
      <c r="AE21" s="20"/>
      <c r="AF21" s="21"/>
      <c r="AG21" s="22"/>
      <c r="AH21" s="22"/>
      <c r="AI21" s="22"/>
      <c r="AJ21" s="22"/>
      <c r="AK21" s="19"/>
      <c r="AL21" s="20"/>
      <c r="AM21" s="20"/>
      <c r="AN21" s="20"/>
      <c r="AO21" s="20"/>
      <c r="AP21" s="21"/>
      <c r="AQ21" s="22"/>
      <c r="AR21" s="22"/>
      <c r="AS21" s="22"/>
      <c r="AT21" s="22"/>
      <c r="AU21" s="19"/>
      <c r="AV21" s="20"/>
      <c r="AW21" s="20"/>
      <c r="AX21" s="20"/>
      <c r="AY21" s="20"/>
      <c r="AZ21" s="21"/>
      <c r="BA21" s="22"/>
      <c r="BB21" s="22"/>
      <c r="BC21" s="22"/>
      <c r="BD21" s="22"/>
      <c r="BE21" s="19"/>
      <c r="BF21" s="20"/>
      <c r="BG21" s="20"/>
      <c r="BH21" s="20"/>
      <c r="BI21" s="20"/>
      <c r="BJ21" s="21"/>
      <c r="BK21" s="22"/>
      <c r="BL21" s="22"/>
      <c r="BM21" s="22"/>
      <c r="BN21" s="22"/>
      <c r="BO21" s="19"/>
      <c r="BP21" s="20"/>
      <c r="BQ21" s="20"/>
      <c r="BR21" s="20"/>
      <c r="BS21" s="20"/>
      <c r="BT21" s="21"/>
      <c r="BU21" s="22"/>
      <c r="BV21" s="22"/>
      <c r="BW21" s="22"/>
      <c r="BX21" s="22"/>
      <c r="BY21" s="23"/>
      <c r="BZ21" s="24"/>
      <c r="CA21" s="24"/>
      <c r="CB21" s="24"/>
      <c r="CC21" s="24"/>
      <c r="CD21" s="25"/>
      <c r="CE21" s="26"/>
      <c r="CF21" s="26"/>
      <c r="CG21" s="26"/>
      <c r="CH21" s="26"/>
      <c r="CI21" s="27"/>
      <c r="CJ21" s="28"/>
      <c r="CK21" s="28"/>
      <c r="CL21" s="28"/>
      <c r="CM21" s="28"/>
      <c r="CN21" s="25"/>
      <c r="CO21" s="26"/>
      <c r="CP21" s="26"/>
      <c r="CQ21" s="26"/>
      <c r="CR21" s="26"/>
      <c r="CS21" s="27"/>
      <c r="CT21" s="28"/>
      <c r="CU21" s="28"/>
      <c r="CV21" s="28"/>
      <c r="CW21" s="28"/>
      <c r="CX21" s="25"/>
      <c r="CY21" s="26"/>
      <c r="CZ21" s="26"/>
      <c r="DA21" s="26"/>
      <c r="DB21" s="26"/>
      <c r="DC21" s="27"/>
      <c r="DD21" s="28"/>
      <c r="DE21" s="28"/>
      <c r="DF21" s="28"/>
      <c r="DG21" s="28"/>
      <c r="DH21" s="25"/>
      <c r="DI21" s="26"/>
      <c r="DJ21" s="26"/>
      <c r="DK21" s="26"/>
      <c r="DL21" s="26"/>
      <c r="DM21" s="27"/>
      <c r="DN21" s="28"/>
      <c r="DO21" s="28"/>
      <c r="DP21" s="28"/>
      <c r="DQ21" s="28"/>
      <c r="DR21" s="25"/>
      <c r="DS21" s="26"/>
      <c r="DT21" s="26"/>
      <c r="DU21" s="26"/>
      <c r="DV21" s="26"/>
      <c r="DW21" s="27"/>
      <c r="DX21" s="28"/>
      <c r="DY21" s="28"/>
      <c r="DZ21" s="28"/>
      <c r="EA21" s="28"/>
      <c r="EB21" s="29"/>
      <c r="EC21" s="30"/>
      <c r="ED21" s="30"/>
      <c r="EE21" s="30"/>
      <c r="EF21" s="30"/>
      <c r="EG21" s="31"/>
      <c r="EH21" s="32"/>
      <c r="EI21" s="32"/>
      <c r="EJ21" s="32"/>
      <c r="EK21" s="32"/>
      <c r="EL21" s="29"/>
      <c r="EM21" s="30"/>
      <c r="EN21" s="30"/>
      <c r="EO21" s="30"/>
      <c r="EP21" s="30"/>
      <c r="EQ21" s="31"/>
      <c r="ER21" s="32"/>
      <c r="ES21" s="32"/>
      <c r="ET21" s="32"/>
      <c r="EU21" s="32"/>
      <c r="EV21" s="29"/>
      <c r="EW21" s="30"/>
      <c r="EX21" s="30"/>
      <c r="EY21" s="30"/>
      <c r="EZ21" s="30"/>
      <c r="FA21" s="31"/>
      <c r="FB21" s="32"/>
      <c r="FC21" s="32"/>
      <c r="FD21" s="32"/>
      <c r="FE21" s="32"/>
      <c r="FF21" s="29"/>
      <c r="FG21" s="30"/>
      <c r="FH21" s="30"/>
      <c r="FI21" s="30"/>
      <c r="FJ21" s="30"/>
      <c r="FK21" s="31"/>
      <c r="FL21" s="32"/>
      <c r="FM21" s="32"/>
      <c r="FN21" s="32"/>
      <c r="FO21" s="32"/>
      <c r="FP21" s="29"/>
      <c r="FQ21" s="30"/>
      <c r="FR21" s="30"/>
      <c r="FS21" s="30"/>
      <c r="FT21" s="30"/>
      <c r="FU21" s="31"/>
      <c r="FV21" s="32"/>
      <c r="FW21" s="32"/>
      <c r="FX21" s="32"/>
      <c r="FY21" s="32"/>
      <c r="FZ21" s="29"/>
      <c r="GA21" s="30"/>
      <c r="GB21" s="30"/>
      <c r="GC21" s="30"/>
      <c r="GD21" s="30"/>
    </row>
    <row r="22" spans="1:186" ht="48" x14ac:dyDescent="0.25">
      <c r="A22" s="156">
        <v>13</v>
      </c>
      <c r="B22" s="395">
        <f>'Tier 3 Intervention'!B59</f>
        <v>0</v>
      </c>
      <c r="C22" s="395"/>
      <c r="D22" s="395"/>
      <c r="E22" s="395"/>
      <c r="F22" s="395"/>
      <c r="G22" s="395"/>
      <c r="H22" s="761"/>
      <c r="I22" s="761"/>
      <c r="J22" s="762"/>
      <c r="K22" s="395"/>
      <c r="L22" s="47" t="s">
        <v>799</v>
      </c>
      <c r="M22" s="46"/>
      <c r="N22" s="46"/>
      <c r="O22" s="46"/>
      <c r="P22" s="49"/>
      <c r="Q22" s="19"/>
      <c r="R22" s="20"/>
      <c r="S22" s="20"/>
      <c r="T22" s="20"/>
      <c r="U22" s="20"/>
      <c r="V22" s="21"/>
      <c r="W22" s="22"/>
      <c r="X22" s="22"/>
      <c r="Y22" s="22"/>
      <c r="Z22" s="22"/>
      <c r="AA22" s="19"/>
      <c r="AB22" s="20"/>
      <c r="AC22" s="20"/>
      <c r="AD22" s="20"/>
      <c r="AE22" s="20"/>
      <c r="AF22" s="21"/>
      <c r="AG22" s="22"/>
      <c r="AH22" s="22"/>
      <c r="AI22" s="22"/>
      <c r="AJ22" s="22"/>
      <c r="AK22" s="19"/>
      <c r="AL22" s="20"/>
      <c r="AM22" s="20"/>
      <c r="AN22" s="20"/>
      <c r="AO22" s="20"/>
      <c r="AP22" s="21"/>
      <c r="AQ22" s="22"/>
      <c r="AR22" s="22"/>
      <c r="AS22" s="22"/>
      <c r="AT22" s="22"/>
      <c r="AU22" s="19"/>
      <c r="AV22" s="20"/>
      <c r="AW22" s="20"/>
      <c r="AX22" s="20"/>
      <c r="AY22" s="20"/>
      <c r="AZ22" s="21"/>
      <c r="BA22" s="22"/>
      <c r="BB22" s="22"/>
      <c r="BC22" s="22"/>
      <c r="BD22" s="22"/>
      <c r="BE22" s="19"/>
      <c r="BF22" s="20"/>
      <c r="BG22" s="20"/>
      <c r="BH22" s="20"/>
      <c r="BI22" s="20"/>
      <c r="BJ22" s="21"/>
      <c r="BK22" s="22"/>
      <c r="BL22" s="22"/>
      <c r="BM22" s="22"/>
      <c r="BN22" s="22"/>
      <c r="BO22" s="19"/>
      <c r="BP22" s="20"/>
      <c r="BQ22" s="20"/>
      <c r="BR22" s="20"/>
      <c r="BS22" s="20"/>
      <c r="BT22" s="21"/>
      <c r="BU22" s="22"/>
      <c r="BV22" s="22"/>
      <c r="BW22" s="22"/>
      <c r="BX22" s="22"/>
      <c r="BY22" s="23"/>
      <c r="BZ22" s="24"/>
      <c r="CA22" s="24"/>
      <c r="CB22" s="24"/>
      <c r="CC22" s="24"/>
      <c r="CD22" s="25"/>
      <c r="CE22" s="26"/>
      <c r="CF22" s="26"/>
      <c r="CG22" s="26"/>
      <c r="CH22" s="26"/>
      <c r="CI22" s="27"/>
      <c r="CJ22" s="28"/>
      <c r="CK22" s="28"/>
      <c r="CL22" s="28"/>
      <c r="CM22" s="28"/>
      <c r="CN22" s="25"/>
      <c r="CO22" s="26"/>
      <c r="CP22" s="26"/>
      <c r="CQ22" s="26"/>
      <c r="CR22" s="26"/>
      <c r="CS22" s="27"/>
      <c r="CT22" s="28"/>
      <c r="CU22" s="28"/>
      <c r="CV22" s="28"/>
      <c r="CW22" s="28"/>
      <c r="CX22" s="25"/>
      <c r="CY22" s="26"/>
      <c r="CZ22" s="26"/>
      <c r="DA22" s="26"/>
      <c r="DB22" s="26"/>
      <c r="DC22" s="27"/>
      <c r="DD22" s="28"/>
      <c r="DE22" s="28"/>
      <c r="DF22" s="28"/>
      <c r="DG22" s="28"/>
      <c r="DH22" s="25"/>
      <c r="DI22" s="26"/>
      <c r="DJ22" s="26"/>
      <c r="DK22" s="26"/>
      <c r="DL22" s="26"/>
      <c r="DM22" s="27"/>
      <c r="DN22" s="28"/>
      <c r="DO22" s="28"/>
      <c r="DP22" s="28"/>
      <c r="DQ22" s="28"/>
      <c r="DR22" s="25"/>
      <c r="DS22" s="26"/>
      <c r="DT22" s="26"/>
      <c r="DU22" s="26"/>
      <c r="DV22" s="26"/>
      <c r="DW22" s="27"/>
      <c r="DX22" s="28"/>
      <c r="DY22" s="28"/>
      <c r="DZ22" s="28"/>
      <c r="EA22" s="28"/>
      <c r="EB22" s="29"/>
      <c r="EC22" s="30"/>
      <c r="ED22" s="30"/>
      <c r="EE22" s="30"/>
      <c r="EF22" s="30"/>
      <c r="EG22" s="31"/>
      <c r="EH22" s="32"/>
      <c r="EI22" s="32"/>
      <c r="EJ22" s="32"/>
      <c r="EK22" s="32"/>
      <c r="EL22" s="29"/>
      <c r="EM22" s="30"/>
      <c r="EN22" s="30"/>
      <c r="EO22" s="30"/>
      <c r="EP22" s="30"/>
      <c r="EQ22" s="31"/>
      <c r="ER22" s="32"/>
      <c r="ES22" s="32"/>
      <c r="ET22" s="32"/>
      <c r="EU22" s="32"/>
      <c r="EV22" s="29"/>
      <c r="EW22" s="30"/>
      <c r="EX22" s="30"/>
      <c r="EY22" s="30"/>
      <c r="EZ22" s="30"/>
      <c r="FA22" s="31"/>
      <c r="FB22" s="32"/>
      <c r="FC22" s="32"/>
      <c r="FD22" s="32"/>
      <c r="FE22" s="32"/>
      <c r="FF22" s="29"/>
      <c r="FG22" s="30"/>
      <c r="FH22" s="30"/>
      <c r="FI22" s="30"/>
      <c r="FJ22" s="30"/>
      <c r="FK22" s="31"/>
      <c r="FL22" s="32"/>
      <c r="FM22" s="32"/>
      <c r="FN22" s="32"/>
      <c r="FO22" s="32"/>
      <c r="FP22" s="29"/>
      <c r="FQ22" s="30"/>
      <c r="FR22" s="30"/>
      <c r="FS22" s="30"/>
      <c r="FT22" s="30"/>
      <c r="FU22" s="31"/>
      <c r="FV22" s="32"/>
      <c r="FW22" s="32"/>
      <c r="FX22" s="32"/>
      <c r="FY22" s="32"/>
      <c r="FZ22" s="29"/>
      <c r="GA22" s="30"/>
      <c r="GB22" s="30"/>
      <c r="GC22" s="30"/>
      <c r="GD22" s="30"/>
    </row>
    <row r="23" spans="1:186" ht="48" x14ac:dyDescent="0.25">
      <c r="A23" s="156">
        <v>14</v>
      </c>
      <c r="B23" s="395">
        <f>'Tier 3 Intervention'!B63</f>
        <v>0</v>
      </c>
      <c r="C23" s="395"/>
      <c r="D23" s="395"/>
      <c r="E23" s="395"/>
      <c r="F23" s="395"/>
      <c r="G23" s="395"/>
      <c r="H23" s="761"/>
      <c r="I23" s="761"/>
      <c r="J23" s="762"/>
      <c r="K23" s="395"/>
      <c r="L23" s="47" t="s">
        <v>800</v>
      </c>
      <c r="M23" s="46"/>
      <c r="N23" s="46"/>
      <c r="O23" s="46"/>
      <c r="P23" s="49"/>
      <c r="Q23" s="19"/>
      <c r="R23" s="20"/>
      <c r="S23" s="20"/>
      <c r="T23" s="20"/>
      <c r="U23" s="20"/>
      <c r="V23" s="21"/>
      <c r="W23" s="22"/>
      <c r="X23" s="22"/>
      <c r="Y23" s="22"/>
      <c r="Z23" s="22"/>
      <c r="AA23" s="19"/>
      <c r="AB23" s="20"/>
      <c r="AC23" s="20"/>
      <c r="AD23" s="20"/>
      <c r="AE23" s="20"/>
      <c r="AF23" s="21"/>
      <c r="AG23" s="22"/>
      <c r="AH23" s="22"/>
      <c r="AI23" s="22"/>
      <c r="AJ23" s="22"/>
      <c r="AK23" s="19"/>
      <c r="AL23" s="20"/>
      <c r="AM23" s="20"/>
      <c r="AN23" s="20"/>
      <c r="AO23" s="20"/>
      <c r="AP23" s="21"/>
      <c r="AQ23" s="22"/>
      <c r="AR23" s="22"/>
      <c r="AS23" s="22"/>
      <c r="AT23" s="22"/>
      <c r="AU23" s="19"/>
      <c r="AV23" s="20"/>
      <c r="AW23" s="20"/>
      <c r="AX23" s="20"/>
      <c r="AY23" s="20"/>
      <c r="AZ23" s="21"/>
      <c r="BA23" s="22"/>
      <c r="BB23" s="22"/>
      <c r="BC23" s="22"/>
      <c r="BD23" s="22"/>
      <c r="BE23" s="19"/>
      <c r="BF23" s="20"/>
      <c r="BG23" s="20"/>
      <c r="BH23" s="20"/>
      <c r="BI23" s="20"/>
      <c r="BJ23" s="21"/>
      <c r="BK23" s="22"/>
      <c r="BL23" s="22"/>
      <c r="BM23" s="22"/>
      <c r="BN23" s="22"/>
      <c r="BO23" s="19"/>
      <c r="BP23" s="20"/>
      <c r="BQ23" s="20"/>
      <c r="BR23" s="20"/>
      <c r="BS23" s="20"/>
      <c r="BT23" s="21"/>
      <c r="BU23" s="22"/>
      <c r="BV23" s="22"/>
      <c r="BW23" s="22"/>
      <c r="BX23" s="22"/>
      <c r="BY23" s="23"/>
      <c r="BZ23" s="24"/>
      <c r="CA23" s="24"/>
      <c r="CB23" s="24"/>
      <c r="CC23" s="24"/>
      <c r="CD23" s="25"/>
      <c r="CE23" s="26"/>
      <c r="CF23" s="26"/>
      <c r="CG23" s="26"/>
      <c r="CH23" s="26"/>
      <c r="CI23" s="27"/>
      <c r="CJ23" s="28"/>
      <c r="CK23" s="28"/>
      <c r="CL23" s="28"/>
      <c r="CM23" s="28"/>
      <c r="CN23" s="25"/>
      <c r="CO23" s="26"/>
      <c r="CP23" s="26"/>
      <c r="CQ23" s="26"/>
      <c r="CR23" s="26"/>
      <c r="CS23" s="27"/>
      <c r="CT23" s="28"/>
      <c r="CU23" s="28"/>
      <c r="CV23" s="28"/>
      <c r="CW23" s="28"/>
      <c r="CX23" s="25"/>
      <c r="CY23" s="26"/>
      <c r="CZ23" s="26"/>
      <c r="DA23" s="26"/>
      <c r="DB23" s="26"/>
      <c r="DC23" s="27"/>
      <c r="DD23" s="28"/>
      <c r="DE23" s="28"/>
      <c r="DF23" s="28"/>
      <c r="DG23" s="28"/>
      <c r="DH23" s="25"/>
      <c r="DI23" s="26"/>
      <c r="DJ23" s="26"/>
      <c r="DK23" s="26"/>
      <c r="DL23" s="26"/>
      <c r="DM23" s="27"/>
      <c r="DN23" s="28"/>
      <c r="DO23" s="28"/>
      <c r="DP23" s="28"/>
      <c r="DQ23" s="28"/>
      <c r="DR23" s="25"/>
      <c r="DS23" s="26"/>
      <c r="DT23" s="26"/>
      <c r="DU23" s="26"/>
      <c r="DV23" s="26"/>
      <c r="DW23" s="27"/>
      <c r="DX23" s="28"/>
      <c r="DY23" s="28"/>
      <c r="DZ23" s="28"/>
      <c r="EA23" s="28"/>
      <c r="EB23" s="29"/>
      <c r="EC23" s="30"/>
      <c r="ED23" s="30"/>
      <c r="EE23" s="30"/>
      <c r="EF23" s="30"/>
      <c r="EG23" s="31"/>
      <c r="EH23" s="32"/>
      <c r="EI23" s="32"/>
      <c r="EJ23" s="32"/>
      <c r="EK23" s="32"/>
      <c r="EL23" s="29"/>
      <c r="EM23" s="30"/>
      <c r="EN23" s="30"/>
      <c r="EO23" s="30"/>
      <c r="EP23" s="30"/>
      <c r="EQ23" s="31"/>
      <c r="ER23" s="32"/>
      <c r="ES23" s="32"/>
      <c r="ET23" s="32"/>
      <c r="EU23" s="32"/>
      <c r="EV23" s="29"/>
      <c r="EW23" s="30"/>
      <c r="EX23" s="30"/>
      <c r="EY23" s="30"/>
      <c r="EZ23" s="30"/>
      <c r="FA23" s="31"/>
      <c r="FB23" s="32"/>
      <c r="FC23" s="32"/>
      <c r="FD23" s="32"/>
      <c r="FE23" s="32"/>
      <c r="FF23" s="29"/>
      <c r="FG23" s="30"/>
      <c r="FH23" s="30"/>
      <c r="FI23" s="30"/>
      <c r="FJ23" s="30"/>
      <c r="FK23" s="31"/>
      <c r="FL23" s="32"/>
      <c r="FM23" s="32"/>
      <c r="FN23" s="32"/>
      <c r="FO23" s="32"/>
      <c r="FP23" s="29"/>
      <c r="FQ23" s="30"/>
      <c r="FR23" s="30"/>
      <c r="FS23" s="30"/>
      <c r="FT23" s="30"/>
      <c r="FU23" s="31"/>
      <c r="FV23" s="32"/>
      <c r="FW23" s="32"/>
      <c r="FX23" s="32"/>
      <c r="FY23" s="32"/>
      <c r="FZ23" s="29"/>
      <c r="GA23" s="30"/>
      <c r="GB23" s="30"/>
      <c r="GC23" s="30"/>
      <c r="GD23" s="30"/>
    </row>
    <row r="24" spans="1:186" ht="48" x14ac:dyDescent="0.25">
      <c r="A24" s="156">
        <v>15</v>
      </c>
      <c r="B24" s="395">
        <f>'Tier 3 Intervention'!B67</f>
        <v>0</v>
      </c>
      <c r="C24" s="395"/>
      <c r="D24" s="395"/>
      <c r="E24" s="395"/>
      <c r="F24" s="395"/>
      <c r="G24" s="395"/>
      <c r="H24" s="761"/>
      <c r="I24" s="761"/>
      <c r="J24" s="762"/>
      <c r="K24" s="395"/>
      <c r="L24" s="47" t="s">
        <v>801</v>
      </c>
      <c r="M24" s="46"/>
      <c r="N24" s="46"/>
      <c r="O24" s="46"/>
      <c r="P24" s="49"/>
      <c r="Q24" s="19"/>
      <c r="R24" s="20"/>
      <c r="S24" s="20"/>
      <c r="T24" s="20"/>
      <c r="U24" s="20"/>
      <c r="V24" s="21"/>
      <c r="W24" s="22"/>
      <c r="X24" s="22"/>
      <c r="Y24" s="22"/>
      <c r="Z24" s="22"/>
      <c r="AA24" s="19"/>
      <c r="AB24" s="20"/>
      <c r="AC24" s="20"/>
      <c r="AD24" s="20"/>
      <c r="AE24" s="20"/>
      <c r="AF24" s="21"/>
      <c r="AG24" s="22"/>
      <c r="AH24" s="22"/>
      <c r="AI24" s="22"/>
      <c r="AJ24" s="22"/>
      <c r="AK24" s="19"/>
      <c r="AL24" s="20"/>
      <c r="AM24" s="20"/>
      <c r="AN24" s="20"/>
      <c r="AO24" s="20"/>
      <c r="AP24" s="21"/>
      <c r="AQ24" s="22"/>
      <c r="AR24" s="22"/>
      <c r="AS24" s="22"/>
      <c r="AT24" s="22"/>
      <c r="AU24" s="19"/>
      <c r="AV24" s="20"/>
      <c r="AW24" s="20"/>
      <c r="AX24" s="20"/>
      <c r="AY24" s="20"/>
      <c r="AZ24" s="21"/>
      <c r="BA24" s="22"/>
      <c r="BB24" s="22"/>
      <c r="BC24" s="22"/>
      <c r="BD24" s="22"/>
      <c r="BE24" s="19"/>
      <c r="BF24" s="20"/>
      <c r="BG24" s="20"/>
      <c r="BH24" s="20"/>
      <c r="BI24" s="20"/>
      <c r="BJ24" s="21"/>
      <c r="BK24" s="22"/>
      <c r="BL24" s="22"/>
      <c r="BM24" s="22"/>
      <c r="BN24" s="22"/>
      <c r="BO24" s="19"/>
      <c r="BP24" s="20"/>
      <c r="BQ24" s="20"/>
      <c r="BR24" s="20"/>
      <c r="BS24" s="20"/>
      <c r="BT24" s="21"/>
      <c r="BU24" s="22"/>
      <c r="BV24" s="22"/>
      <c r="BW24" s="22"/>
      <c r="BX24" s="22"/>
      <c r="BY24" s="23"/>
      <c r="BZ24" s="24"/>
      <c r="CA24" s="24"/>
      <c r="CB24" s="24"/>
      <c r="CC24" s="24"/>
      <c r="CD24" s="25"/>
      <c r="CE24" s="26"/>
      <c r="CF24" s="26"/>
      <c r="CG24" s="26"/>
      <c r="CH24" s="26"/>
      <c r="CI24" s="27"/>
      <c r="CJ24" s="28"/>
      <c r="CK24" s="28"/>
      <c r="CL24" s="28"/>
      <c r="CM24" s="28"/>
      <c r="CN24" s="25"/>
      <c r="CO24" s="26"/>
      <c r="CP24" s="26"/>
      <c r="CQ24" s="26"/>
      <c r="CR24" s="26"/>
      <c r="CS24" s="27"/>
      <c r="CT24" s="28"/>
      <c r="CU24" s="28"/>
      <c r="CV24" s="28"/>
      <c r="CW24" s="28"/>
      <c r="CX24" s="25"/>
      <c r="CY24" s="26"/>
      <c r="CZ24" s="26"/>
      <c r="DA24" s="26"/>
      <c r="DB24" s="26"/>
      <c r="DC24" s="27"/>
      <c r="DD24" s="28"/>
      <c r="DE24" s="28"/>
      <c r="DF24" s="28"/>
      <c r="DG24" s="28"/>
      <c r="DH24" s="25"/>
      <c r="DI24" s="26"/>
      <c r="DJ24" s="26"/>
      <c r="DK24" s="26"/>
      <c r="DL24" s="26"/>
      <c r="DM24" s="27"/>
      <c r="DN24" s="28"/>
      <c r="DO24" s="28"/>
      <c r="DP24" s="28"/>
      <c r="DQ24" s="28"/>
      <c r="DR24" s="25"/>
      <c r="DS24" s="26"/>
      <c r="DT24" s="26"/>
      <c r="DU24" s="26"/>
      <c r="DV24" s="26"/>
      <c r="DW24" s="27"/>
      <c r="DX24" s="28"/>
      <c r="DY24" s="28"/>
      <c r="DZ24" s="28"/>
      <c r="EA24" s="28"/>
      <c r="EB24" s="29"/>
      <c r="EC24" s="30"/>
      <c r="ED24" s="30"/>
      <c r="EE24" s="30"/>
      <c r="EF24" s="30"/>
      <c r="EG24" s="31"/>
      <c r="EH24" s="32"/>
      <c r="EI24" s="32"/>
      <c r="EJ24" s="32"/>
      <c r="EK24" s="32"/>
      <c r="EL24" s="29"/>
      <c r="EM24" s="30"/>
      <c r="EN24" s="30"/>
      <c r="EO24" s="30"/>
      <c r="EP24" s="30"/>
      <c r="EQ24" s="31"/>
      <c r="ER24" s="32"/>
      <c r="ES24" s="32"/>
      <c r="ET24" s="32"/>
      <c r="EU24" s="32"/>
      <c r="EV24" s="29"/>
      <c r="EW24" s="30"/>
      <c r="EX24" s="30"/>
      <c r="EY24" s="30"/>
      <c r="EZ24" s="30"/>
      <c r="FA24" s="31"/>
      <c r="FB24" s="32"/>
      <c r="FC24" s="32"/>
      <c r="FD24" s="32"/>
      <c r="FE24" s="32"/>
      <c r="FF24" s="29"/>
      <c r="FG24" s="30"/>
      <c r="FH24" s="30"/>
      <c r="FI24" s="30"/>
      <c r="FJ24" s="30"/>
      <c r="FK24" s="31"/>
      <c r="FL24" s="32"/>
      <c r="FM24" s="32"/>
      <c r="FN24" s="32"/>
      <c r="FO24" s="32"/>
      <c r="FP24" s="29"/>
      <c r="FQ24" s="30"/>
      <c r="FR24" s="30"/>
      <c r="FS24" s="30"/>
      <c r="FT24" s="30"/>
      <c r="FU24" s="31"/>
      <c r="FV24" s="32"/>
      <c r="FW24" s="32"/>
      <c r="FX24" s="32"/>
      <c r="FY24" s="32"/>
      <c r="FZ24" s="29"/>
      <c r="GA24" s="30"/>
      <c r="GB24" s="30"/>
      <c r="GC24" s="30"/>
      <c r="GD24" s="30"/>
    </row>
    <row r="25" spans="1:186" ht="48" x14ac:dyDescent="0.25">
      <c r="A25" s="156">
        <v>16</v>
      </c>
      <c r="B25" s="395">
        <f>'Tier 3 Intervention'!B71</f>
        <v>0</v>
      </c>
      <c r="C25" s="395"/>
      <c r="D25" s="395"/>
      <c r="E25" s="395"/>
      <c r="F25" s="395"/>
      <c r="G25" s="395"/>
      <c r="H25" s="761"/>
      <c r="I25" s="761"/>
      <c r="J25" s="762"/>
      <c r="K25" s="395"/>
      <c r="L25" s="47" t="s">
        <v>802</v>
      </c>
      <c r="M25" s="46"/>
      <c r="N25" s="46"/>
      <c r="O25" s="46"/>
      <c r="P25" s="49"/>
      <c r="Q25" s="19"/>
      <c r="R25" s="20"/>
      <c r="S25" s="20"/>
      <c r="T25" s="20"/>
      <c r="U25" s="20"/>
      <c r="V25" s="21"/>
      <c r="W25" s="22"/>
      <c r="X25" s="22"/>
      <c r="Y25" s="22"/>
      <c r="Z25" s="22"/>
      <c r="AA25" s="19"/>
      <c r="AB25" s="20"/>
      <c r="AC25" s="20"/>
      <c r="AD25" s="20"/>
      <c r="AE25" s="20"/>
      <c r="AF25" s="21"/>
      <c r="AG25" s="22"/>
      <c r="AH25" s="22"/>
      <c r="AI25" s="22"/>
      <c r="AJ25" s="22"/>
      <c r="AK25" s="19"/>
      <c r="AL25" s="20"/>
      <c r="AM25" s="20"/>
      <c r="AN25" s="20"/>
      <c r="AO25" s="20"/>
      <c r="AP25" s="21"/>
      <c r="AQ25" s="22"/>
      <c r="AR25" s="22"/>
      <c r="AS25" s="22"/>
      <c r="AT25" s="22"/>
      <c r="AU25" s="19"/>
      <c r="AV25" s="20"/>
      <c r="AW25" s="20"/>
      <c r="AX25" s="20"/>
      <c r="AY25" s="20"/>
      <c r="AZ25" s="21"/>
      <c r="BA25" s="22"/>
      <c r="BB25" s="22"/>
      <c r="BC25" s="22"/>
      <c r="BD25" s="22"/>
      <c r="BE25" s="19"/>
      <c r="BF25" s="20"/>
      <c r="BG25" s="20"/>
      <c r="BH25" s="20"/>
      <c r="BI25" s="20"/>
      <c r="BJ25" s="21"/>
      <c r="BK25" s="22"/>
      <c r="BL25" s="22"/>
      <c r="BM25" s="22"/>
      <c r="BN25" s="22"/>
      <c r="BO25" s="19"/>
      <c r="BP25" s="20"/>
      <c r="BQ25" s="20"/>
      <c r="BR25" s="20"/>
      <c r="BS25" s="20"/>
      <c r="BT25" s="21"/>
      <c r="BU25" s="22"/>
      <c r="BV25" s="22"/>
      <c r="BW25" s="22"/>
      <c r="BX25" s="22"/>
      <c r="BY25" s="23"/>
      <c r="BZ25" s="24"/>
      <c r="CA25" s="24"/>
      <c r="CB25" s="24"/>
      <c r="CC25" s="24"/>
      <c r="CD25" s="25"/>
      <c r="CE25" s="26"/>
      <c r="CF25" s="26"/>
      <c r="CG25" s="26"/>
      <c r="CH25" s="26"/>
      <c r="CI25" s="27"/>
      <c r="CJ25" s="28"/>
      <c r="CK25" s="28"/>
      <c r="CL25" s="28"/>
      <c r="CM25" s="28"/>
      <c r="CN25" s="25"/>
      <c r="CO25" s="26"/>
      <c r="CP25" s="26"/>
      <c r="CQ25" s="26"/>
      <c r="CR25" s="26"/>
      <c r="CS25" s="27"/>
      <c r="CT25" s="28"/>
      <c r="CU25" s="28"/>
      <c r="CV25" s="28"/>
      <c r="CW25" s="28"/>
      <c r="CX25" s="25"/>
      <c r="CY25" s="26"/>
      <c r="CZ25" s="26"/>
      <c r="DA25" s="26"/>
      <c r="DB25" s="26"/>
      <c r="DC25" s="27"/>
      <c r="DD25" s="28"/>
      <c r="DE25" s="28"/>
      <c r="DF25" s="28"/>
      <c r="DG25" s="28"/>
      <c r="DH25" s="25"/>
      <c r="DI25" s="26"/>
      <c r="DJ25" s="26"/>
      <c r="DK25" s="26"/>
      <c r="DL25" s="26"/>
      <c r="DM25" s="27"/>
      <c r="DN25" s="28"/>
      <c r="DO25" s="28"/>
      <c r="DP25" s="28"/>
      <c r="DQ25" s="28"/>
      <c r="DR25" s="25"/>
      <c r="DS25" s="26"/>
      <c r="DT25" s="26"/>
      <c r="DU25" s="26"/>
      <c r="DV25" s="26"/>
      <c r="DW25" s="27"/>
      <c r="DX25" s="28"/>
      <c r="DY25" s="28"/>
      <c r="DZ25" s="28"/>
      <c r="EA25" s="28"/>
      <c r="EB25" s="29"/>
      <c r="EC25" s="30"/>
      <c r="ED25" s="30"/>
      <c r="EE25" s="30"/>
      <c r="EF25" s="30"/>
      <c r="EG25" s="31"/>
      <c r="EH25" s="32"/>
      <c r="EI25" s="32"/>
      <c r="EJ25" s="32"/>
      <c r="EK25" s="32"/>
      <c r="EL25" s="29"/>
      <c r="EM25" s="30"/>
      <c r="EN25" s="30"/>
      <c r="EO25" s="30"/>
      <c r="EP25" s="30"/>
      <c r="EQ25" s="31"/>
      <c r="ER25" s="32"/>
      <c r="ES25" s="32"/>
      <c r="ET25" s="32"/>
      <c r="EU25" s="32"/>
      <c r="EV25" s="29"/>
      <c r="EW25" s="30"/>
      <c r="EX25" s="30"/>
      <c r="EY25" s="30"/>
      <c r="EZ25" s="30"/>
      <c r="FA25" s="31"/>
      <c r="FB25" s="32"/>
      <c r="FC25" s="32"/>
      <c r="FD25" s="32"/>
      <c r="FE25" s="32"/>
      <c r="FF25" s="29"/>
      <c r="FG25" s="30"/>
      <c r="FH25" s="30"/>
      <c r="FI25" s="30"/>
      <c r="FJ25" s="30"/>
      <c r="FK25" s="31"/>
      <c r="FL25" s="32"/>
      <c r="FM25" s="32"/>
      <c r="FN25" s="32"/>
      <c r="FO25" s="32"/>
      <c r="FP25" s="29"/>
      <c r="FQ25" s="30"/>
      <c r="FR25" s="30"/>
      <c r="FS25" s="30"/>
      <c r="FT25" s="30"/>
      <c r="FU25" s="31"/>
      <c r="FV25" s="32"/>
      <c r="FW25" s="32"/>
      <c r="FX25" s="32"/>
      <c r="FY25" s="32"/>
      <c r="FZ25" s="29"/>
      <c r="GA25" s="30"/>
      <c r="GB25" s="30"/>
      <c r="GC25" s="30"/>
      <c r="GD25" s="30"/>
    </row>
    <row r="26" spans="1:186" ht="48" x14ac:dyDescent="0.25">
      <c r="A26" s="156">
        <v>17</v>
      </c>
      <c r="B26" s="395">
        <f>'Tier 3 Intervention'!B75</f>
        <v>0</v>
      </c>
      <c r="C26" s="395"/>
      <c r="D26" s="395"/>
      <c r="E26" s="395"/>
      <c r="F26" s="395"/>
      <c r="G26" s="395"/>
      <c r="H26" s="761"/>
      <c r="I26" s="761"/>
      <c r="J26" s="762"/>
      <c r="K26" s="395"/>
      <c r="L26" s="47" t="s">
        <v>803</v>
      </c>
      <c r="M26" s="46"/>
      <c r="N26" s="46"/>
      <c r="O26" s="46"/>
      <c r="P26" s="49"/>
      <c r="Q26" s="19"/>
      <c r="R26" s="20"/>
      <c r="S26" s="20"/>
      <c r="T26" s="20"/>
      <c r="U26" s="20"/>
      <c r="V26" s="21"/>
      <c r="W26" s="22"/>
      <c r="X26" s="22"/>
      <c r="Y26" s="22"/>
      <c r="Z26" s="22"/>
      <c r="AA26" s="19"/>
      <c r="AB26" s="20"/>
      <c r="AC26" s="20"/>
      <c r="AD26" s="20"/>
      <c r="AE26" s="20"/>
      <c r="AF26" s="21"/>
      <c r="AG26" s="22"/>
      <c r="AH26" s="22"/>
      <c r="AI26" s="22"/>
      <c r="AJ26" s="22"/>
      <c r="AK26" s="19"/>
      <c r="AL26" s="20"/>
      <c r="AM26" s="20"/>
      <c r="AN26" s="20"/>
      <c r="AO26" s="20"/>
      <c r="AP26" s="21"/>
      <c r="AQ26" s="22"/>
      <c r="AR26" s="22"/>
      <c r="AS26" s="22"/>
      <c r="AT26" s="22"/>
      <c r="AU26" s="19"/>
      <c r="AV26" s="20"/>
      <c r="AW26" s="20"/>
      <c r="AX26" s="20"/>
      <c r="AY26" s="20"/>
      <c r="AZ26" s="21"/>
      <c r="BA26" s="22"/>
      <c r="BB26" s="22"/>
      <c r="BC26" s="22"/>
      <c r="BD26" s="22"/>
      <c r="BE26" s="19"/>
      <c r="BF26" s="20"/>
      <c r="BG26" s="20"/>
      <c r="BH26" s="20"/>
      <c r="BI26" s="20"/>
      <c r="BJ26" s="21"/>
      <c r="BK26" s="22"/>
      <c r="BL26" s="22"/>
      <c r="BM26" s="22"/>
      <c r="BN26" s="22"/>
      <c r="BO26" s="19"/>
      <c r="BP26" s="20"/>
      <c r="BQ26" s="20"/>
      <c r="BR26" s="20"/>
      <c r="BS26" s="20"/>
      <c r="BT26" s="21"/>
      <c r="BU26" s="22"/>
      <c r="BV26" s="22"/>
      <c r="BW26" s="22"/>
      <c r="BX26" s="22"/>
      <c r="BY26" s="23"/>
      <c r="BZ26" s="24"/>
      <c r="CA26" s="24"/>
      <c r="CB26" s="24"/>
      <c r="CC26" s="24"/>
      <c r="CD26" s="25"/>
      <c r="CE26" s="26"/>
      <c r="CF26" s="26"/>
      <c r="CG26" s="26"/>
      <c r="CH26" s="26"/>
      <c r="CI26" s="27"/>
      <c r="CJ26" s="28"/>
      <c r="CK26" s="28"/>
      <c r="CL26" s="28"/>
      <c r="CM26" s="28"/>
      <c r="CN26" s="25"/>
      <c r="CO26" s="26"/>
      <c r="CP26" s="26"/>
      <c r="CQ26" s="26"/>
      <c r="CR26" s="26"/>
      <c r="CS26" s="27"/>
      <c r="CT26" s="28"/>
      <c r="CU26" s="28"/>
      <c r="CV26" s="28"/>
      <c r="CW26" s="28"/>
      <c r="CX26" s="25"/>
      <c r="CY26" s="26"/>
      <c r="CZ26" s="26"/>
      <c r="DA26" s="26"/>
      <c r="DB26" s="26"/>
      <c r="DC26" s="27"/>
      <c r="DD26" s="28"/>
      <c r="DE26" s="28"/>
      <c r="DF26" s="28"/>
      <c r="DG26" s="28"/>
      <c r="DH26" s="25"/>
      <c r="DI26" s="26"/>
      <c r="DJ26" s="26"/>
      <c r="DK26" s="26"/>
      <c r="DL26" s="26"/>
      <c r="DM26" s="27"/>
      <c r="DN26" s="28"/>
      <c r="DO26" s="28"/>
      <c r="DP26" s="28"/>
      <c r="DQ26" s="28"/>
      <c r="DR26" s="25"/>
      <c r="DS26" s="26"/>
      <c r="DT26" s="26"/>
      <c r="DU26" s="26"/>
      <c r="DV26" s="26"/>
      <c r="DW26" s="27"/>
      <c r="DX26" s="28"/>
      <c r="DY26" s="28"/>
      <c r="DZ26" s="28"/>
      <c r="EA26" s="28"/>
      <c r="EB26" s="29"/>
      <c r="EC26" s="30"/>
      <c r="ED26" s="30"/>
      <c r="EE26" s="30"/>
      <c r="EF26" s="30"/>
      <c r="EG26" s="31"/>
      <c r="EH26" s="32"/>
      <c r="EI26" s="32"/>
      <c r="EJ26" s="32"/>
      <c r="EK26" s="32"/>
      <c r="EL26" s="29"/>
      <c r="EM26" s="30"/>
      <c r="EN26" s="30"/>
      <c r="EO26" s="30"/>
      <c r="EP26" s="30"/>
      <c r="EQ26" s="31"/>
      <c r="ER26" s="32"/>
      <c r="ES26" s="32"/>
      <c r="ET26" s="32"/>
      <c r="EU26" s="32"/>
      <c r="EV26" s="29"/>
      <c r="EW26" s="30"/>
      <c r="EX26" s="30"/>
      <c r="EY26" s="30"/>
      <c r="EZ26" s="30"/>
      <c r="FA26" s="31"/>
      <c r="FB26" s="32"/>
      <c r="FC26" s="32"/>
      <c r="FD26" s="32"/>
      <c r="FE26" s="32"/>
      <c r="FF26" s="29"/>
      <c r="FG26" s="30"/>
      <c r="FH26" s="30"/>
      <c r="FI26" s="30"/>
      <c r="FJ26" s="30"/>
      <c r="FK26" s="31"/>
      <c r="FL26" s="32"/>
      <c r="FM26" s="32"/>
      <c r="FN26" s="32"/>
      <c r="FO26" s="32"/>
      <c r="FP26" s="29"/>
      <c r="FQ26" s="30"/>
      <c r="FR26" s="30"/>
      <c r="FS26" s="30"/>
      <c r="FT26" s="30"/>
      <c r="FU26" s="31"/>
      <c r="FV26" s="32"/>
      <c r="FW26" s="32"/>
      <c r="FX26" s="32"/>
      <c r="FY26" s="32"/>
      <c r="FZ26" s="29"/>
      <c r="GA26" s="30"/>
      <c r="GB26" s="30"/>
      <c r="GC26" s="30"/>
      <c r="GD26" s="30"/>
    </row>
    <row r="27" spans="1:186" ht="48" x14ac:dyDescent="0.25">
      <c r="A27" s="156">
        <v>18</v>
      </c>
      <c r="B27" s="395">
        <f>'Tier 3 Intervention'!B79</f>
        <v>0</v>
      </c>
      <c r="C27" s="395"/>
      <c r="D27" s="395"/>
      <c r="E27" s="395"/>
      <c r="F27" s="395"/>
      <c r="G27" s="395"/>
      <c r="H27" s="761"/>
      <c r="I27" s="761"/>
      <c r="J27" s="762"/>
      <c r="K27" s="395"/>
      <c r="L27" s="47" t="s">
        <v>804</v>
      </c>
      <c r="M27" s="46"/>
      <c r="N27" s="46"/>
      <c r="O27" s="46"/>
      <c r="P27" s="49"/>
      <c r="Q27" s="19"/>
      <c r="R27" s="20"/>
      <c r="S27" s="20"/>
      <c r="T27" s="20"/>
      <c r="U27" s="20"/>
      <c r="V27" s="21"/>
      <c r="W27" s="22"/>
      <c r="X27" s="22"/>
      <c r="Y27" s="22"/>
      <c r="Z27" s="22"/>
      <c r="AA27" s="19"/>
      <c r="AB27" s="20"/>
      <c r="AC27" s="20"/>
      <c r="AD27" s="20"/>
      <c r="AE27" s="20"/>
      <c r="AF27" s="21"/>
      <c r="AG27" s="22"/>
      <c r="AH27" s="22"/>
      <c r="AI27" s="22"/>
      <c r="AJ27" s="22"/>
      <c r="AK27" s="19"/>
      <c r="AL27" s="20"/>
      <c r="AM27" s="20"/>
      <c r="AN27" s="20"/>
      <c r="AO27" s="20"/>
      <c r="AP27" s="21"/>
      <c r="AQ27" s="22"/>
      <c r="AR27" s="22"/>
      <c r="AS27" s="22"/>
      <c r="AT27" s="22"/>
      <c r="AU27" s="19"/>
      <c r="AV27" s="20"/>
      <c r="AW27" s="20"/>
      <c r="AX27" s="20"/>
      <c r="AY27" s="20"/>
      <c r="AZ27" s="21"/>
      <c r="BA27" s="22"/>
      <c r="BB27" s="22"/>
      <c r="BC27" s="22"/>
      <c r="BD27" s="22"/>
      <c r="BE27" s="19"/>
      <c r="BF27" s="20"/>
      <c r="BG27" s="20"/>
      <c r="BH27" s="20"/>
      <c r="BI27" s="20"/>
      <c r="BJ27" s="21"/>
      <c r="BK27" s="22"/>
      <c r="BL27" s="22"/>
      <c r="BM27" s="22"/>
      <c r="BN27" s="22"/>
      <c r="BO27" s="19"/>
      <c r="BP27" s="20"/>
      <c r="BQ27" s="20"/>
      <c r="BR27" s="20"/>
      <c r="BS27" s="20"/>
      <c r="BT27" s="21"/>
      <c r="BU27" s="22"/>
      <c r="BV27" s="22"/>
      <c r="BW27" s="22"/>
      <c r="BX27" s="22"/>
      <c r="BY27" s="23"/>
      <c r="BZ27" s="24"/>
      <c r="CA27" s="24"/>
      <c r="CB27" s="24"/>
      <c r="CC27" s="24"/>
      <c r="CD27" s="25"/>
      <c r="CE27" s="26"/>
      <c r="CF27" s="26"/>
      <c r="CG27" s="26"/>
      <c r="CH27" s="26"/>
      <c r="CI27" s="27"/>
      <c r="CJ27" s="28"/>
      <c r="CK27" s="28"/>
      <c r="CL27" s="28"/>
      <c r="CM27" s="28"/>
      <c r="CN27" s="25"/>
      <c r="CO27" s="26"/>
      <c r="CP27" s="26"/>
      <c r="CQ27" s="26"/>
      <c r="CR27" s="26"/>
      <c r="CS27" s="27"/>
      <c r="CT27" s="28"/>
      <c r="CU27" s="28"/>
      <c r="CV27" s="28"/>
      <c r="CW27" s="28"/>
      <c r="CX27" s="25"/>
      <c r="CY27" s="26"/>
      <c r="CZ27" s="26"/>
      <c r="DA27" s="26"/>
      <c r="DB27" s="26"/>
      <c r="DC27" s="27"/>
      <c r="DD27" s="28"/>
      <c r="DE27" s="28"/>
      <c r="DF27" s="28"/>
      <c r="DG27" s="28"/>
      <c r="DH27" s="25"/>
      <c r="DI27" s="26"/>
      <c r="DJ27" s="26"/>
      <c r="DK27" s="26"/>
      <c r="DL27" s="26"/>
      <c r="DM27" s="27"/>
      <c r="DN27" s="28"/>
      <c r="DO27" s="28"/>
      <c r="DP27" s="28"/>
      <c r="DQ27" s="28"/>
      <c r="DR27" s="25"/>
      <c r="DS27" s="26"/>
      <c r="DT27" s="26"/>
      <c r="DU27" s="26"/>
      <c r="DV27" s="26"/>
      <c r="DW27" s="27"/>
      <c r="DX27" s="28"/>
      <c r="DY27" s="28"/>
      <c r="DZ27" s="28"/>
      <c r="EA27" s="28"/>
      <c r="EB27" s="29"/>
      <c r="EC27" s="30"/>
      <c r="ED27" s="30"/>
      <c r="EE27" s="30"/>
      <c r="EF27" s="30"/>
      <c r="EG27" s="31"/>
      <c r="EH27" s="32"/>
      <c r="EI27" s="32"/>
      <c r="EJ27" s="32"/>
      <c r="EK27" s="32"/>
      <c r="EL27" s="29"/>
      <c r="EM27" s="30"/>
      <c r="EN27" s="30"/>
      <c r="EO27" s="30"/>
      <c r="EP27" s="30"/>
      <c r="EQ27" s="31"/>
      <c r="ER27" s="32"/>
      <c r="ES27" s="32"/>
      <c r="ET27" s="32"/>
      <c r="EU27" s="32"/>
      <c r="EV27" s="29"/>
      <c r="EW27" s="30"/>
      <c r="EX27" s="30"/>
      <c r="EY27" s="30"/>
      <c r="EZ27" s="30"/>
      <c r="FA27" s="31"/>
      <c r="FB27" s="32"/>
      <c r="FC27" s="32"/>
      <c r="FD27" s="32"/>
      <c r="FE27" s="32"/>
      <c r="FF27" s="29"/>
      <c r="FG27" s="30"/>
      <c r="FH27" s="30"/>
      <c r="FI27" s="30"/>
      <c r="FJ27" s="30"/>
      <c r="FK27" s="31"/>
      <c r="FL27" s="32"/>
      <c r="FM27" s="32"/>
      <c r="FN27" s="32"/>
      <c r="FO27" s="32"/>
      <c r="FP27" s="29"/>
      <c r="FQ27" s="30"/>
      <c r="FR27" s="30"/>
      <c r="FS27" s="30"/>
      <c r="FT27" s="30"/>
      <c r="FU27" s="31"/>
      <c r="FV27" s="32"/>
      <c r="FW27" s="32"/>
      <c r="FX27" s="32"/>
      <c r="FY27" s="32"/>
      <c r="FZ27" s="29"/>
      <c r="GA27" s="30"/>
      <c r="GB27" s="30"/>
      <c r="GC27" s="30"/>
      <c r="GD27" s="30"/>
    </row>
    <row r="28" spans="1:186" ht="48" x14ac:dyDescent="0.25">
      <c r="A28" s="156">
        <v>19</v>
      </c>
      <c r="B28" s="395">
        <f>'Tier 3 Intervention'!B83</f>
        <v>0</v>
      </c>
      <c r="C28" s="395"/>
      <c r="D28" s="395"/>
      <c r="E28" s="395"/>
      <c r="F28" s="395"/>
      <c r="G28" s="395"/>
      <c r="H28" s="761"/>
      <c r="I28" s="761"/>
      <c r="J28" s="762"/>
      <c r="K28" s="395"/>
      <c r="L28" s="47" t="s">
        <v>805</v>
      </c>
      <c r="M28" s="46"/>
      <c r="N28" s="46"/>
      <c r="O28" s="46"/>
      <c r="P28" s="49"/>
      <c r="Q28" s="19"/>
      <c r="R28" s="20"/>
      <c r="S28" s="20"/>
      <c r="T28" s="20"/>
      <c r="U28" s="20"/>
      <c r="V28" s="21"/>
      <c r="W28" s="22"/>
      <c r="X28" s="22"/>
      <c r="Y28" s="22"/>
      <c r="Z28" s="22"/>
      <c r="AA28" s="19"/>
      <c r="AB28" s="20"/>
      <c r="AC28" s="20"/>
      <c r="AD28" s="20"/>
      <c r="AE28" s="20"/>
      <c r="AF28" s="21"/>
      <c r="AG28" s="22"/>
      <c r="AH28" s="22"/>
      <c r="AI28" s="22"/>
      <c r="AJ28" s="22"/>
      <c r="AK28" s="19"/>
      <c r="AL28" s="20"/>
      <c r="AM28" s="20"/>
      <c r="AN28" s="20"/>
      <c r="AO28" s="20"/>
      <c r="AP28" s="21"/>
      <c r="AQ28" s="22"/>
      <c r="AR28" s="22"/>
      <c r="AS28" s="22"/>
      <c r="AT28" s="22"/>
      <c r="AU28" s="19"/>
      <c r="AV28" s="20"/>
      <c r="AW28" s="20"/>
      <c r="AX28" s="20"/>
      <c r="AY28" s="20"/>
      <c r="AZ28" s="21"/>
      <c r="BA28" s="22"/>
      <c r="BB28" s="22"/>
      <c r="BC28" s="22"/>
      <c r="BD28" s="22"/>
      <c r="BE28" s="19"/>
      <c r="BF28" s="20"/>
      <c r="BG28" s="20"/>
      <c r="BH28" s="20"/>
      <c r="BI28" s="20"/>
      <c r="BJ28" s="21"/>
      <c r="BK28" s="22"/>
      <c r="BL28" s="22"/>
      <c r="BM28" s="22"/>
      <c r="BN28" s="22"/>
      <c r="BO28" s="19"/>
      <c r="BP28" s="20"/>
      <c r="BQ28" s="20"/>
      <c r="BR28" s="20"/>
      <c r="BS28" s="20"/>
      <c r="BT28" s="21"/>
      <c r="BU28" s="22"/>
      <c r="BV28" s="22"/>
      <c r="BW28" s="22"/>
      <c r="BX28" s="22"/>
      <c r="BY28" s="23"/>
      <c r="BZ28" s="24"/>
      <c r="CA28" s="24"/>
      <c r="CB28" s="24"/>
      <c r="CC28" s="24"/>
      <c r="CD28" s="25"/>
      <c r="CE28" s="26"/>
      <c r="CF28" s="26"/>
      <c r="CG28" s="26"/>
      <c r="CH28" s="26"/>
      <c r="CI28" s="27"/>
      <c r="CJ28" s="28"/>
      <c r="CK28" s="28"/>
      <c r="CL28" s="28"/>
      <c r="CM28" s="28"/>
      <c r="CN28" s="25"/>
      <c r="CO28" s="26"/>
      <c r="CP28" s="26"/>
      <c r="CQ28" s="26"/>
      <c r="CR28" s="26"/>
      <c r="CS28" s="27"/>
      <c r="CT28" s="28"/>
      <c r="CU28" s="28"/>
      <c r="CV28" s="28"/>
      <c r="CW28" s="28"/>
      <c r="CX28" s="25"/>
      <c r="CY28" s="26"/>
      <c r="CZ28" s="26"/>
      <c r="DA28" s="26"/>
      <c r="DB28" s="26"/>
      <c r="DC28" s="27"/>
      <c r="DD28" s="28"/>
      <c r="DE28" s="28"/>
      <c r="DF28" s="28"/>
      <c r="DG28" s="28"/>
      <c r="DH28" s="25"/>
      <c r="DI28" s="26"/>
      <c r="DJ28" s="26"/>
      <c r="DK28" s="26"/>
      <c r="DL28" s="26"/>
      <c r="DM28" s="27"/>
      <c r="DN28" s="28"/>
      <c r="DO28" s="28"/>
      <c r="DP28" s="28"/>
      <c r="DQ28" s="28"/>
      <c r="DR28" s="25"/>
      <c r="DS28" s="26"/>
      <c r="DT28" s="26"/>
      <c r="DU28" s="26"/>
      <c r="DV28" s="26"/>
      <c r="DW28" s="27"/>
      <c r="DX28" s="28"/>
      <c r="DY28" s="28"/>
      <c r="DZ28" s="28"/>
      <c r="EA28" s="28"/>
      <c r="EB28" s="29"/>
      <c r="EC28" s="30"/>
      <c r="ED28" s="30"/>
      <c r="EE28" s="30"/>
      <c r="EF28" s="30"/>
      <c r="EG28" s="31"/>
      <c r="EH28" s="32"/>
      <c r="EI28" s="32"/>
      <c r="EJ28" s="32"/>
      <c r="EK28" s="32"/>
      <c r="EL28" s="29"/>
      <c r="EM28" s="30"/>
      <c r="EN28" s="30"/>
      <c r="EO28" s="30"/>
      <c r="EP28" s="30"/>
      <c r="EQ28" s="31"/>
      <c r="ER28" s="32"/>
      <c r="ES28" s="32"/>
      <c r="ET28" s="32"/>
      <c r="EU28" s="32"/>
      <c r="EV28" s="29"/>
      <c r="EW28" s="30"/>
      <c r="EX28" s="30"/>
      <c r="EY28" s="30"/>
      <c r="EZ28" s="30"/>
      <c r="FA28" s="31"/>
      <c r="FB28" s="32"/>
      <c r="FC28" s="32"/>
      <c r="FD28" s="32"/>
      <c r="FE28" s="32"/>
      <c r="FF28" s="29"/>
      <c r="FG28" s="30"/>
      <c r="FH28" s="30"/>
      <c r="FI28" s="30"/>
      <c r="FJ28" s="30"/>
      <c r="FK28" s="31"/>
      <c r="FL28" s="32"/>
      <c r="FM28" s="32"/>
      <c r="FN28" s="32"/>
      <c r="FO28" s="32"/>
      <c r="FP28" s="29"/>
      <c r="FQ28" s="30"/>
      <c r="FR28" s="30"/>
      <c r="FS28" s="30"/>
      <c r="FT28" s="30"/>
      <c r="FU28" s="31"/>
      <c r="FV28" s="32"/>
      <c r="FW28" s="32"/>
      <c r="FX28" s="32"/>
      <c r="FY28" s="32"/>
      <c r="FZ28" s="29"/>
      <c r="GA28" s="30"/>
      <c r="GB28" s="30"/>
      <c r="GC28" s="30"/>
      <c r="GD28" s="30"/>
    </row>
    <row r="29" spans="1:186" ht="48" x14ac:dyDescent="0.25">
      <c r="A29" s="156">
        <v>20</v>
      </c>
      <c r="B29" s="395">
        <f>'Tier 3 Intervention'!B87</f>
        <v>0</v>
      </c>
      <c r="C29" s="395"/>
      <c r="D29" s="395"/>
      <c r="E29" s="395"/>
      <c r="F29" s="395"/>
      <c r="G29" s="395"/>
      <c r="H29" s="761"/>
      <c r="I29" s="761"/>
      <c r="J29" s="762"/>
      <c r="K29" s="395"/>
      <c r="L29" s="47" t="s">
        <v>806</v>
      </c>
      <c r="M29" s="46"/>
      <c r="N29" s="46"/>
      <c r="O29" s="46"/>
      <c r="P29" s="49"/>
      <c r="Q29" s="19"/>
      <c r="R29" s="20"/>
      <c r="S29" s="20"/>
      <c r="T29" s="20"/>
      <c r="U29" s="20"/>
      <c r="V29" s="21"/>
      <c r="W29" s="22"/>
      <c r="X29" s="22"/>
      <c r="Y29" s="22"/>
      <c r="Z29" s="22"/>
      <c r="AA29" s="19"/>
      <c r="AB29" s="20"/>
      <c r="AC29" s="20"/>
      <c r="AD29" s="20"/>
      <c r="AE29" s="20"/>
      <c r="AF29" s="21"/>
      <c r="AG29" s="22"/>
      <c r="AH29" s="22"/>
      <c r="AI29" s="22"/>
      <c r="AJ29" s="22"/>
      <c r="AK29" s="19"/>
      <c r="AL29" s="20"/>
      <c r="AM29" s="20"/>
      <c r="AN29" s="20"/>
      <c r="AO29" s="20"/>
      <c r="AP29" s="21"/>
      <c r="AQ29" s="22"/>
      <c r="AR29" s="22"/>
      <c r="AS29" s="22"/>
      <c r="AT29" s="22"/>
      <c r="AU29" s="19"/>
      <c r="AV29" s="20"/>
      <c r="AW29" s="20"/>
      <c r="AX29" s="20"/>
      <c r="AY29" s="20"/>
      <c r="AZ29" s="21"/>
      <c r="BA29" s="22"/>
      <c r="BB29" s="22"/>
      <c r="BC29" s="22"/>
      <c r="BD29" s="22"/>
      <c r="BE29" s="19"/>
      <c r="BF29" s="20"/>
      <c r="BG29" s="20"/>
      <c r="BH29" s="20"/>
      <c r="BI29" s="20"/>
      <c r="BJ29" s="21"/>
      <c r="BK29" s="22"/>
      <c r="BL29" s="22"/>
      <c r="BM29" s="22"/>
      <c r="BN29" s="22"/>
      <c r="BO29" s="19"/>
      <c r="BP29" s="20"/>
      <c r="BQ29" s="20"/>
      <c r="BR29" s="20"/>
      <c r="BS29" s="20"/>
      <c r="BT29" s="21"/>
      <c r="BU29" s="22"/>
      <c r="BV29" s="22"/>
      <c r="BW29" s="22"/>
      <c r="BX29" s="22"/>
      <c r="BY29" s="23"/>
      <c r="BZ29" s="24"/>
      <c r="CA29" s="24"/>
      <c r="CB29" s="24"/>
      <c r="CC29" s="24"/>
      <c r="CD29" s="25"/>
      <c r="CE29" s="26"/>
      <c r="CF29" s="26"/>
      <c r="CG29" s="26"/>
      <c r="CH29" s="26"/>
      <c r="CI29" s="27"/>
      <c r="CJ29" s="28"/>
      <c r="CK29" s="28"/>
      <c r="CL29" s="28"/>
      <c r="CM29" s="28"/>
      <c r="CN29" s="25"/>
      <c r="CO29" s="26"/>
      <c r="CP29" s="26"/>
      <c r="CQ29" s="26"/>
      <c r="CR29" s="26"/>
      <c r="CS29" s="27"/>
      <c r="CT29" s="28"/>
      <c r="CU29" s="28"/>
      <c r="CV29" s="28"/>
      <c r="CW29" s="28"/>
      <c r="CX29" s="25"/>
      <c r="CY29" s="26"/>
      <c r="CZ29" s="26"/>
      <c r="DA29" s="26"/>
      <c r="DB29" s="26"/>
      <c r="DC29" s="27"/>
      <c r="DD29" s="28"/>
      <c r="DE29" s="28"/>
      <c r="DF29" s="28"/>
      <c r="DG29" s="28"/>
      <c r="DH29" s="25"/>
      <c r="DI29" s="26"/>
      <c r="DJ29" s="26"/>
      <c r="DK29" s="26"/>
      <c r="DL29" s="26"/>
      <c r="DM29" s="27"/>
      <c r="DN29" s="28"/>
      <c r="DO29" s="28"/>
      <c r="DP29" s="28"/>
      <c r="DQ29" s="28"/>
      <c r="DR29" s="25"/>
      <c r="DS29" s="26"/>
      <c r="DT29" s="26"/>
      <c r="DU29" s="26"/>
      <c r="DV29" s="26"/>
      <c r="DW29" s="27"/>
      <c r="DX29" s="28"/>
      <c r="DY29" s="28"/>
      <c r="DZ29" s="28"/>
      <c r="EA29" s="28"/>
      <c r="EB29" s="29"/>
      <c r="EC29" s="30"/>
      <c r="ED29" s="30"/>
      <c r="EE29" s="30"/>
      <c r="EF29" s="30"/>
      <c r="EG29" s="31"/>
      <c r="EH29" s="32"/>
      <c r="EI29" s="32"/>
      <c r="EJ29" s="32"/>
      <c r="EK29" s="32"/>
      <c r="EL29" s="29"/>
      <c r="EM29" s="30"/>
      <c r="EN29" s="30"/>
      <c r="EO29" s="30"/>
      <c r="EP29" s="30"/>
      <c r="EQ29" s="31"/>
      <c r="ER29" s="32"/>
      <c r="ES29" s="32"/>
      <c r="ET29" s="32"/>
      <c r="EU29" s="32"/>
      <c r="EV29" s="29"/>
      <c r="EW29" s="30"/>
      <c r="EX29" s="30"/>
      <c r="EY29" s="30"/>
      <c r="EZ29" s="30"/>
      <c r="FA29" s="31"/>
      <c r="FB29" s="32"/>
      <c r="FC29" s="32"/>
      <c r="FD29" s="32"/>
      <c r="FE29" s="32"/>
      <c r="FF29" s="29"/>
      <c r="FG29" s="30"/>
      <c r="FH29" s="30"/>
      <c r="FI29" s="30"/>
      <c r="FJ29" s="30"/>
      <c r="FK29" s="31"/>
      <c r="FL29" s="32"/>
      <c r="FM29" s="32"/>
      <c r="FN29" s="32"/>
      <c r="FO29" s="32"/>
      <c r="FP29" s="29"/>
      <c r="FQ29" s="30"/>
      <c r="FR29" s="30"/>
      <c r="FS29" s="30"/>
      <c r="FT29" s="30"/>
      <c r="FU29" s="31"/>
      <c r="FV29" s="32"/>
      <c r="FW29" s="32"/>
      <c r="FX29" s="32"/>
      <c r="FY29" s="32"/>
      <c r="FZ29" s="29"/>
      <c r="GA29" s="30"/>
      <c r="GB29" s="30"/>
      <c r="GC29" s="30"/>
      <c r="GD29" s="30"/>
    </row>
    <row r="30" spans="1:186" ht="48" x14ac:dyDescent="0.25">
      <c r="A30" s="156">
        <v>21</v>
      </c>
      <c r="B30" s="395">
        <f>'Tier 3 Intervention'!B91</f>
        <v>0</v>
      </c>
      <c r="C30" s="395"/>
      <c r="D30" s="395"/>
      <c r="E30" s="395"/>
      <c r="F30" s="395"/>
      <c r="G30" s="395"/>
      <c r="H30" s="761"/>
      <c r="I30" s="761"/>
      <c r="J30" s="762"/>
      <c r="K30" s="395"/>
      <c r="L30" s="47" t="s">
        <v>807</v>
      </c>
      <c r="M30" s="46"/>
      <c r="N30" s="46"/>
      <c r="O30" s="46"/>
      <c r="P30" s="49"/>
      <c r="Q30" s="19"/>
      <c r="R30" s="20"/>
      <c r="S30" s="20"/>
      <c r="T30" s="20"/>
      <c r="U30" s="20"/>
      <c r="V30" s="21"/>
      <c r="W30" s="22"/>
      <c r="X30" s="22"/>
      <c r="Y30" s="22"/>
      <c r="Z30" s="22"/>
      <c r="AA30" s="19"/>
      <c r="AB30" s="20"/>
      <c r="AC30" s="20"/>
      <c r="AD30" s="20"/>
      <c r="AE30" s="20"/>
      <c r="AF30" s="21"/>
      <c r="AG30" s="22"/>
      <c r="AH30" s="22"/>
      <c r="AI30" s="22"/>
      <c r="AJ30" s="22"/>
      <c r="AK30" s="19"/>
      <c r="AL30" s="20"/>
      <c r="AM30" s="20"/>
      <c r="AN30" s="20"/>
      <c r="AO30" s="20"/>
      <c r="AP30" s="21"/>
      <c r="AQ30" s="22"/>
      <c r="AR30" s="22"/>
      <c r="AS30" s="22"/>
      <c r="AT30" s="22"/>
      <c r="AU30" s="19"/>
      <c r="AV30" s="20"/>
      <c r="AW30" s="20"/>
      <c r="AX30" s="20"/>
      <c r="AY30" s="20"/>
      <c r="AZ30" s="21"/>
      <c r="BA30" s="22"/>
      <c r="BB30" s="22"/>
      <c r="BC30" s="22"/>
      <c r="BD30" s="22"/>
      <c r="BE30" s="19"/>
      <c r="BF30" s="20"/>
      <c r="BG30" s="20"/>
      <c r="BH30" s="20"/>
      <c r="BI30" s="20"/>
      <c r="BJ30" s="21"/>
      <c r="BK30" s="22"/>
      <c r="BL30" s="22"/>
      <c r="BM30" s="22"/>
      <c r="BN30" s="22"/>
      <c r="BO30" s="19"/>
      <c r="BP30" s="20"/>
      <c r="BQ30" s="20"/>
      <c r="BR30" s="20"/>
      <c r="BS30" s="20"/>
      <c r="BT30" s="21"/>
      <c r="BU30" s="22"/>
      <c r="BV30" s="22"/>
      <c r="BW30" s="22"/>
      <c r="BX30" s="22"/>
      <c r="BY30" s="23"/>
      <c r="BZ30" s="24"/>
      <c r="CA30" s="24"/>
      <c r="CB30" s="24"/>
      <c r="CC30" s="24"/>
      <c r="CD30" s="25"/>
      <c r="CE30" s="26"/>
      <c r="CF30" s="26"/>
      <c r="CG30" s="26"/>
      <c r="CH30" s="26"/>
      <c r="CI30" s="27"/>
      <c r="CJ30" s="28"/>
      <c r="CK30" s="28"/>
      <c r="CL30" s="28"/>
      <c r="CM30" s="28"/>
      <c r="CN30" s="25"/>
      <c r="CO30" s="26"/>
      <c r="CP30" s="26"/>
      <c r="CQ30" s="26"/>
      <c r="CR30" s="26"/>
      <c r="CS30" s="27"/>
      <c r="CT30" s="28"/>
      <c r="CU30" s="28"/>
      <c r="CV30" s="28"/>
      <c r="CW30" s="28"/>
      <c r="CX30" s="25"/>
      <c r="CY30" s="26"/>
      <c r="CZ30" s="26"/>
      <c r="DA30" s="26"/>
      <c r="DB30" s="26"/>
      <c r="DC30" s="27"/>
      <c r="DD30" s="28"/>
      <c r="DE30" s="28"/>
      <c r="DF30" s="28"/>
      <c r="DG30" s="28"/>
      <c r="DH30" s="25"/>
      <c r="DI30" s="26"/>
      <c r="DJ30" s="26"/>
      <c r="DK30" s="26"/>
      <c r="DL30" s="26"/>
      <c r="DM30" s="27"/>
      <c r="DN30" s="28"/>
      <c r="DO30" s="28"/>
      <c r="DP30" s="28"/>
      <c r="DQ30" s="28"/>
      <c r="DR30" s="25"/>
      <c r="DS30" s="26"/>
      <c r="DT30" s="26"/>
      <c r="DU30" s="26"/>
      <c r="DV30" s="26"/>
      <c r="DW30" s="27"/>
      <c r="DX30" s="28"/>
      <c r="DY30" s="28"/>
      <c r="DZ30" s="28"/>
      <c r="EA30" s="28"/>
      <c r="EB30" s="29"/>
      <c r="EC30" s="30"/>
      <c r="ED30" s="30"/>
      <c r="EE30" s="30"/>
      <c r="EF30" s="30"/>
      <c r="EG30" s="31"/>
      <c r="EH30" s="32"/>
      <c r="EI30" s="32"/>
      <c r="EJ30" s="32"/>
      <c r="EK30" s="32"/>
      <c r="EL30" s="29"/>
      <c r="EM30" s="30"/>
      <c r="EN30" s="30"/>
      <c r="EO30" s="30"/>
      <c r="EP30" s="30"/>
      <c r="EQ30" s="31"/>
      <c r="ER30" s="32"/>
      <c r="ES30" s="32"/>
      <c r="ET30" s="32"/>
      <c r="EU30" s="32"/>
      <c r="EV30" s="29"/>
      <c r="EW30" s="30"/>
      <c r="EX30" s="30"/>
      <c r="EY30" s="30"/>
      <c r="EZ30" s="30"/>
      <c r="FA30" s="31"/>
      <c r="FB30" s="32"/>
      <c r="FC30" s="32"/>
      <c r="FD30" s="32"/>
      <c r="FE30" s="32"/>
      <c r="FF30" s="29"/>
      <c r="FG30" s="30"/>
      <c r="FH30" s="30"/>
      <c r="FI30" s="30"/>
      <c r="FJ30" s="30"/>
      <c r="FK30" s="31"/>
      <c r="FL30" s="32"/>
      <c r="FM30" s="32"/>
      <c r="FN30" s="32"/>
      <c r="FO30" s="32"/>
      <c r="FP30" s="29"/>
      <c r="FQ30" s="30"/>
      <c r="FR30" s="30"/>
      <c r="FS30" s="30"/>
      <c r="FT30" s="30"/>
      <c r="FU30" s="31"/>
      <c r="FV30" s="32"/>
      <c r="FW30" s="32"/>
      <c r="FX30" s="32"/>
      <c r="FY30" s="32"/>
      <c r="FZ30" s="29"/>
      <c r="GA30" s="30"/>
      <c r="GB30" s="30"/>
      <c r="GC30" s="30"/>
      <c r="GD30" s="30"/>
    </row>
    <row r="31" spans="1:186" ht="48" x14ac:dyDescent="0.25">
      <c r="A31" s="156">
        <v>22</v>
      </c>
      <c r="B31" s="395">
        <f>'Tier 3 Intervention'!B95</f>
        <v>0</v>
      </c>
      <c r="C31" s="395"/>
      <c r="D31" s="395"/>
      <c r="E31" s="395"/>
      <c r="F31" s="395"/>
      <c r="G31" s="395"/>
      <c r="H31" s="761"/>
      <c r="I31" s="761"/>
      <c r="J31" s="762"/>
      <c r="K31" s="395"/>
      <c r="L31" s="47" t="s">
        <v>808</v>
      </c>
      <c r="M31" s="46"/>
      <c r="N31" s="46"/>
      <c r="O31" s="46"/>
      <c r="P31" s="49"/>
      <c r="Q31" s="19"/>
      <c r="R31" s="20"/>
      <c r="S31" s="20"/>
      <c r="T31" s="20"/>
      <c r="U31" s="20"/>
      <c r="V31" s="21"/>
      <c r="W31" s="22"/>
      <c r="X31" s="22"/>
      <c r="Y31" s="22"/>
      <c r="Z31" s="22"/>
      <c r="AA31" s="19"/>
      <c r="AB31" s="20"/>
      <c r="AC31" s="20"/>
      <c r="AD31" s="20"/>
      <c r="AE31" s="20"/>
      <c r="AF31" s="21"/>
      <c r="AG31" s="22"/>
      <c r="AH31" s="22"/>
      <c r="AI31" s="22"/>
      <c r="AJ31" s="22"/>
      <c r="AK31" s="19"/>
      <c r="AL31" s="20"/>
      <c r="AM31" s="20"/>
      <c r="AN31" s="20"/>
      <c r="AO31" s="20"/>
      <c r="AP31" s="21"/>
      <c r="AQ31" s="22"/>
      <c r="AR31" s="22"/>
      <c r="AS31" s="22"/>
      <c r="AT31" s="22"/>
      <c r="AU31" s="19"/>
      <c r="AV31" s="20"/>
      <c r="AW31" s="20"/>
      <c r="AX31" s="20"/>
      <c r="AY31" s="20"/>
      <c r="AZ31" s="21"/>
      <c r="BA31" s="22"/>
      <c r="BB31" s="22"/>
      <c r="BC31" s="22"/>
      <c r="BD31" s="22"/>
      <c r="BE31" s="19"/>
      <c r="BF31" s="20"/>
      <c r="BG31" s="20"/>
      <c r="BH31" s="20"/>
      <c r="BI31" s="20"/>
      <c r="BJ31" s="21"/>
      <c r="BK31" s="22"/>
      <c r="BL31" s="22"/>
      <c r="BM31" s="22"/>
      <c r="BN31" s="22"/>
      <c r="BO31" s="19"/>
      <c r="BP31" s="20"/>
      <c r="BQ31" s="20"/>
      <c r="BR31" s="20"/>
      <c r="BS31" s="20"/>
      <c r="BT31" s="21"/>
      <c r="BU31" s="22"/>
      <c r="BV31" s="22"/>
      <c r="BW31" s="22"/>
      <c r="BX31" s="22"/>
      <c r="BY31" s="23"/>
      <c r="BZ31" s="24"/>
      <c r="CA31" s="24"/>
      <c r="CB31" s="24"/>
      <c r="CC31" s="24"/>
      <c r="CD31" s="25"/>
      <c r="CE31" s="26"/>
      <c r="CF31" s="26"/>
      <c r="CG31" s="26"/>
      <c r="CH31" s="26"/>
      <c r="CI31" s="27"/>
      <c r="CJ31" s="28"/>
      <c r="CK31" s="28"/>
      <c r="CL31" s="28"/>
      <c r="CM31" s="28"/>
      <c r="CN31" s="25"/>
      <c r="CO31" s="26"/>
      <c r="CP31" s="26"/>
      <c r="CQ31" s="26"/>
      <c r="CR31" s="26"/>
      <c r="CS31" s="27"/>
      <c r="CT31" s="28"/>
      <c r="CU31" s="28"/>
      <c r="CV31" s="28"/>
      <c r="CW31" s="28"/>
      <c r="CX31" s="25"/>
      <c r="CY31" s="26"/>
      <c r="CZ31" s="26"/>
      <c r="DA31" s="26"/>
      <c r="DB31" s="26"/>
      <c r="DC31" s="27"/>
      <c r="DD31" s="28"/>
      <c r="DE31" s="28"/>
      <c r="DF31" s="28"/>
      <c r="DG31" s="28"/>
      <c r="DH31" s="25"/>
      <c r="DI31" s="26"/>
      <c r="DJ31" s="26"/>
      <c r="DK31" s="26"/>
      <c r="DL31" s="26"/>
      <c r="DM31" s="27"/>
      <c r="DN31" s="28"/>
      <c r="DO31" s="28"/>
      <c r="DP31" s="28"/>
      <c r="DQ31" s="28"/>
      <c r="DR31" s="25"/>
      <c r="DS31" s="26"/>
      <c r="DT31" s="26"/>
      <c r="DU31" s="26"/>
      <c r="DV31" s="26"/>
      <c r="DW31" s="27"/>
      <c r="DX31" s="28"/>
      <c r="DY31" s="28"/>
      <c r="DZ31" s="28"/>
      <c r="EA31" s="28"/>
      <c r="EB31" s="29"/>
      <c r="EC31" s="30"/>
      <c r="ED31" s="30"/>
      <c r="EE31" s="30"/>
      <c r="EF31" s="30"/>
      <c r="EG31" s="31"/>
      <c r="EH31" s="32"/>
      <c r="EI31" s="32"/>
      <c r="EJ31" s="32"/>
      <c r="EK31" s="32"/>
      <c r="EL31" s="29"/>
      <c r="EM31" s="30"/>
      <c r="EN31" s="30"/>
      <c r="EO31" s="30"/>
      <c r="EP31" s="30"/>
      <c r="EQ31" s="31"/>
      <c r="ER31" s="32"/>
      <c r="ES31" s="32"/>
      <c r="ET31" s="32"/>
      <c r="EU31" s="32"/>
      <c r="EV31" s="29"/>
      <c r="EW31" s="30"/>
      <c r="EX31" s="30"/>
      <c r="EY31" s="30"/>
      <c r="EZ31" s="30"/>
      <c r="FA31" s="31"/>
      <c r="FB31" s="32"/>
      <c r="FC31" s="32"/>
      <c r="FD31" s="32"/>
      <c r="FE31" s="32"/>
      <c r="FF31" s="29"/>
      <c r="FG31" s="30"/>
      <c r="FH31" s="30"/>
      <c r="FI31" s="30"/>
      <c r="FJ31" s="30"/>
      <c r="FK31" s="31"/>
      <c r="FL31" s="32"/>
      <c r="FM31" s="32"/>
      <c r="FN31" s="32"/>
      <c r="FO31" s="32"/>
      <c r="FP31" s="29"/>
      <c r="FQ31" s="30"/>
      <c r="FR31" s="30"/>
      <c r="FS31" s="30"/>
      <c r="FT31" s="30"/>
      <c r="FU31" s="31"/>
      <c r="FV31" s="32"/>
      <c r="FW31" s="32"/>
      <c r="FX31" s="32"/>
      <c r="FY31" s="32"/>
      <c r="FZ31" s="29"/>
      <c r="GA31" s="30"/>
      <c r="GB31" s="30"/>
      <c r="GC31" s="30"/>
      <c r="GD31" s="30"/>
    </row>
    <row r="32" spans="1:186" ht="48" x14ac:dyDescent="0.25">
      <c r="A32" s="156">
        <v>23</v>
      </c>
      <c r="B32" s="395">
        <f>'Tier 3 Intervention'!B99</f>
        <v>0</v>
      </c>
      <c r="C32" s="395"/>
      <c r="D32" s="395"/>
      <c r="E32" s="395"/>
      <c r="F32" s="395"/>
      <c r="G32" s="395"/>
      <c r="H32" s="761"/>
      <c r="I32" s="761"/>
      <c r="J32" s="762"/>
      <c r="K32" s="395"/>
      <c r="L32" s="47" t="s">
        <v>809</v>
      </c>
      <c r="M32" s="46"/>
      <c r="N32" s="46"/>
      <c r="O32" s="46"/>
      <c r="P32" s="49"/>
      <c r="Q32" s="19"/>
      <c r="R32" s="20"/>
      <c r="S32" s="20"/>
      <c r="T32" s="20"/>
      <c r="U32" s="20"/>
      <c r="V32" s="21"/>
      <c r="W32" s="22"/>
      <c r="X32" s="22"/>
      <c r="Y32" s="22"/>
      <c r="Z32" s="22"/>
      <c r="AA32" s="19"/>
      <c r="AB32" s="20"/>
      <c r="AC32" s="20"/>
      <c r="AD32" s="20"/>
      <c r="AE32" s="20"/>
      <c r="AF32" s="21"/>
      <c r="AG32" s="22"/>
      <c r="AH32" s="22"/>
      <c r="AI32" s="22"/>
      <c r="AJ32" s="22"/>
      <c r="AK32" s="19"/>
      <c r="AL32" s="20"/>
      <c r="AM32" s="20"/>
      <c r="AN32" s="20"/>
      <c r="AO32" s="20"/>
      <c r="AP32" s="21"/>
      <c r="AQ32" s="22"/>
      <c r="AR32" s="22"/>
      <c r="AS32" s="22"/>
      <c r="AT32" s="22"/>
      <c r="AU32" s="19"/>
      <c r="AV32" s="20"/>
      <c r="AW32" s="20"/>
      <c r="AX32" s="20"/>
      <c r="AY32" s="20"/>
      <c r="AZ32" s="21"/>
      <c r="BA32" s="22"/>
      <c r="BB32" s="22"/>
      <c r="BC32" s="22"/>
      <c r="BD32" s="22"/>
      <c r="BE32" s="19"/>
      <c r="BF32" s="20"/>
      <c r="BG32" s="20"/>
      <c r="BH32" s="20"/>
      <c r="BI32" s="20"/>
      <c r="BJ32" s="21"/>
      <c r="BK32" s="22"/>
      <c r="BL32" s="22"/>
      <c r="BM32" s="22"/>
      <c r="BN32" s="22"/>
      <c r="BO32" s="19"/>
      <c r="BP32" s="20"/>
      <c r="BQ32" s="20"/>
      <c r="BR32" s="20"/>
      <c r="BS32" s="20"/>
      <c r="BT32" s="21"/>
      <c r="BU32" s="22"/>
      <c r="BV32" s="22"/>
      <c r="BW32" s="22"/>
      <c r="BX32" s="22"/>
      <c r="BY32" s="23"/>
      <c r="BZ32" s="24"/>
      <c r="CA32" s="24"/>
      <c r="CB32" s="24"/>
      <c r="CC32" s="24"/>
      <c r="CD32" s="25"/>
      <c r="CE32" s="26"/>
      <c r="CF32" s="26"/>
      <c r="CG32" s="26"/>
      <c r="CH32" s="26"/>
      <c r="CI32" s="27"/>
      <c r="CJ32" s="28"/>
      <c r="CK32" s="28"/>
      <c r="CL32" s="28"/>
      <c r="CM32" s="28"/>
      <c r="CN32" s="25"/>
      <c r="CO32" s="26"/>
      <c r="CP32" s="26"/>
      <c r="CQ32" s="26"/>
      <c r="CR32" s="26"/>
      <c r="CS32" s="27"/>
      <c r="CT32" s="28"/>
      <c r="CU32" s="28"/>
      <c r="CV32" s="28"/>
      <c r="CW32" s="28"/>
      <c r="CX32" s="25"/>
      <c r="CY32" s="26"/>
      <c r="CZ32" s="26"/>
      <c r="DA32" s="26"/>
      <c r="DB32" s="26"/>
      <c r="DC32" s="27"/>
      <c r="DD32" s="28"/>
      <c r="DE32" s="28"/>
      <c r="DF32" s="28"/>
      <c r="DG32" s="28"/>
      <c r="DH32" s="25"/>
      <c r="DI32" s="26"/>
      <c r="DJ32" s="26"/>
      <c r="DK32" s="26"/>
      <c r="DL32" s="26"/>
      <c r="DM32" s="27"/>
      <c r="DN32" s="28"/>
      <c r="DO32" s="28"/>
      <c r="DP32" s="28"/>
      <c r="DQ32" s="28"/>
      <c r="DR32" s="25"/>
      <c r="DS32" s="26"/>
      <c r="DT32" s="26"/>
      <c r="DU32" s="26"/>
      <c r="DV32" s="26"/>
      <c r="DW32" s="27"/>
      <c r="DX32" s="28"/>
      <c r="DY32" s="28"/>
      <c r="DZ32" s="28"/>
      <c r="EA32" s="28"/>
      <c r="EB32" s="29"/>
      <c r="EC32" s="30"/>
      <c r="ED32" s="30"/>
      <c r="EE32" s="30"/>
      <c r="EF32" s="30"/>
      <c r="EG32" s="31"/>
      <c r="EH32" s="32"/>
      <c r="EI32" s="32"/>
      <c r="EJ32" s="32"/>
      <c r="EK32" s="32"/>
      <c r="EL32" s="29"/>
      <c r="EM32" s="30"/>
      <c r="EN32" s="30"/>
      <c r="EO32" s="30"/>
      <c r="EP32" s="30"/>
      <c r="EQ32" s="31"/>
      <c r="ER32" s="32"/>
      <c r="ES32" s="32"/>
      <c r="ET32" s="32"/>
      <c r="EU32" s="32"/>
      <c r="EV32" s="29"/>
      <c r="EW32" s="30"/>
      <c r="EX32" s="30"/>
      <c r="EY32" s="30"/>
      <c r="EZ32" s="30"/>
      <c r="FA32" s="31"/>
      <c r="FB32" s="32"/>
      <c r="FC32" s="32"/>
      <c r="FD32" s="32"/>
      <c r="FE32" s="32"/>
      <c r="FF32" s="29"/>
      <c r="FG32" s="30"/>
      <c r="FH32" s="30"/>
      <c r="FI32" s="30"/>
      <c r="FJ32" s="30"/>
      <c r="FK32" s="31"/>
      <c r="FL32" s="32"/>
      <c r="FM32" s="32"/>
      <c r="FN32" s="32"/>
      <c r="FO32" s="32"/>
      <c r="FP32" s="29"/>
      <c r="FQ32" s="30"/>
      <c r="FR32" s="30"/>
      <c r="FS32" s="30"/>
      <c r="FT32" s="30"/>
      <c r="FU32" s="31"/>
      <c r="FV32" s="32"/>
      <c r="FW32" s="32"/>
      <c r="FX32" s="32"/>
      <c r="FY32" s="32"/>
      <c r="FZ32" s="29"/>
      <c r="GA32" s="30"/>
      <c r="GB32" s="30"/>
      <c r="GC32" s="30"/>
      <c r="GD32" s="30"/>
    </row>
    <row r="33" spans="1:186" ht="48" x14ac:dyDescent="0.25">
      <c r="A33" s="156">
        <v>24</v>
      </c>
      <c r="B33" s="395">
        <f>'Tier 3 Intervention'!B103</f>
        <v>0</v>
      </c>
      <c r="C33" s="395"/>
      <c r="D33" s="395"/>
      <c r="E33" s="395"/>
      <c r="F33" s="395"/>
      <c r="G33" s="395"/>
      <c r="H33" s="761"/>
      <c r="I33" s="761"/>
      <c r="J33" s="762"/>
      <c r="K33" s="395"/>
      <c r="L33" s="47" t="s">
        <v>810</v>
      </c>
      <c r="M33" s="46"/>
      <c r="N33" s="46"/>
      <c r="O33" s="46"/>
      <c r="P33" s="49"/>
      <c r="Q33" s="19"/>
      <c r="R33" s="20"/>
      <c r="S33" s="20"/>
      <c r="T33" s="20"/>
      <c r="U33" s="20"/>
      <c r="V33" s="21"/>
      <c r="W33" s="22"/>
      <c r="X33" s="22"/>
      <c r="Y33" s="22"/>
      <c r="Z33" s="22"/>
      <c r="AA33" s="19"/>
      <c r="AB33" s="20"/>
      <c r="AC33" s="20"/>
      <c r="AD33" s="20"/>
      <c r="AE33" s="20"/>
      <c r="AF33" s="21"/>
      <c r="AG33" s="22"/>
      <c r="AH33" s="22"/>
      <c r="AI33" s="22"/>
      <c r="AJ33" s="22"/>
      <c r="AK33" s="19"/>
      <c r="AL33" s="20"/>
      <c r="AM33" s="20"/>
      <c r="AN33" s="20"/>
      <c r="AO33" s="20"/>
      <c r="AP33" s="21"/>
      <c r="AQ33" s="22"/>
      <c r="AR33" s="22"/>
      <c r="AS33" s="22"/>
      <c r="AT33" s="22"/>
      <c r="AU33" s="19"/>
      <c r="AV33" s="20"/>
      <c r="AW33" s="20"/>
      <c r="AX33" s="20"/>
      <c r="AY33" s="20"/>
      <c r="AZ33" s="21"/>
      <c r="BA33" s="22"/>
      <c r="BB33" s="22"/>
      <c r="BC33" s="22"/>
      <c r="BD33" s="22"/>
      <c r="BE33" s="19"/>
      <c r="BF33" s="20"/>
      <c r="BG33" s="20"/>
      <c r="BH33" s="20"/>
      <c r="BI33" s="20"/>
      <c r="BJ33" s="21"/>
      <c r="BK33" s="22"/>
      <c r="BL33" s="22"/>
      <c r="BM33" s="22"/>
      <c r="BN33" s="22"/>
      <c r="BO33" s="19"/>
      <c r="BP33" s="20"/>
      <c r="BQ33" s="20"/>
      <c r="BR33" s="20"/>
      <c r="BS33" s="20"/>
      <c r="BT33" s="21"/>
      <c r="BU33" s="22"/>
      <c r="BV33" s="22"/>
      <c r="BW33" s="22"/>
      <c r="BX33" s="22"/>
      <c r="BY33" s="23"/>
      <c r="BZ33" s="24"/>
      <c r="CA33" s="24"/>
      <c r="CB33" s="24"/>
      <c r="CC33" s="24"/>
      <c r="CD33" s="25"/>
      <c r="CE33" s="26"/>
      <c r="CF33" s="26"/>
      <c r="CG33" s="26"/>
      <c r="CH33" s="26"/>
      <c r="CI33" s="27"/>
      <c r="CJ33" s="28"/>
      <c r="CK33" s="28"/>
      <c r="CL33" s="28"/>
      <c r="CM33" s="28"/>
      <c r="CN33" s="25"/>
      <c r="CO33" s="26"/>
      <c r="CP33" s="26"/>
      <c r="CQ33" s="26"/>
      <c r="CR33" s="26"/>
      <c r="CS33" s="27"/>
      <c r="CT33" s="28"/>
      <c r="CU33" s="28"/>
      <c r="CV33" s="28"/>
      <c r="CW33" s="28"/>
      <c r="CX33" s="25"/>
      <c r="CY33" s="26"/>
      <c r="CZ33" s="26"/>
      <c r="DA33" s="26"/>
      <c r="DB33" s="26"/>
      <c r="DC33" s="27"/>
      <c r="DD33" s="28"/>
      <c r="DE33" s="28"/>
      <c r="DF33" s="28"/>
      <c r="DG33" s="28"/>
      <c r="DH33" s="25"/>
      <c r="DI33" s="26"/>
      <c r="DJ33" s="26"/>
      <c r="DK33" s="26"/>
      <c r="DL33" s="26"/>
      <c r="DM33" s="27"/>
      <c r="DN33" s="28"/>
      <c r="DO33" s="28"/>
      <c r="DP33" s="28"/>
      <c r="DQ33" s="28"/>
      <c r="DR33" s="25"/>
      <c r="DS33" s="26"/>
      <c r="DT33" s="26"/>
      <c r="DU33" s="26"/>
      <c r="DV33" s="26"/>
      <c r="DW33" s="27"/>
      <c r="DX33" s="28"/>
      <c r="DY33" s="28"/>
      <c r="DZ33" s="28"/>
      <c r="EA33" s="28"/>
      <c r="EB33" s="29"/>
      <c r="EC33" s="30"/>
      <c r="ED33" s="30"/>
      <c r="EE33" s="30"/>
      <c r="EF33" s="30"/>
      <c r="EG33" s="31"/>
      <c r="EH33" s="32"/>
      <c r="EI33" s="32"/>
      <c r="EJ33" s="32"/>
      <c r="EK33" s="32"/>
      <c r="EL33" s="29"/>
      <c r="EM33" s="30"/>
      <c r="EN33" s="30"/>
      <c r="EO33" s="30"/>
      <c r="EP33" s="30"/>
      <c r="EQ33" s="31"/>
      <c r="ER33" s="32"/>
      <c r="ES33" s="32"/>
      <c r="ET33" s="32"/>
      <c r="EU33" s="32"/>
      <c r="EV33" s="29"/>
      <c r="EW33" s="30"/>
      <c r="EX33" s="30"/>
      <c r="EY33" s="30"/>
      <c r="EZ33" s="30"/>
      <c r="FA33" s="31"/>
      <c r="FB33" s="32"/>
      <c r="FC33" s="32"/>
      <c r="FD33" s="32"/>
      <c r="FE33" s="32"/>
      <c r="FF33" s="29"/>
      <c r="FG33" s="30"/>
      <c r="FH33" s="30"/>
      <c r="FI33" s="30"/>
      <c r="FJ33" s="30"/>
      <c r="FK33" s="31"/>
      <c r="FL33" s="32"/>
      <c r="FM33" s="32"/>
      <c r="FN33" s="32"/>
      <c r="FO33" s="32"/>
      <c r="FP33" s="29"/>
      <c r="FQ33" s="30"/>
      <c r="FR33" s="30"/>
      <c r="FS33" s="30"/>
      <c r="FT33" s="30"/>
      <c r="FU33" s="31"/>
      <c r="FV33" s="32"/>
      <c r="FW33" s="32"/>
      <c r="FX33" s="32"/>
      <c r="FY33" s="32"/>
      <c r="FZ33" s="29"/>
      <c r="GA33" s="30"/>
      <c r="GB33" s="30"/>
      <c r="GC33" s="30"/>
      <c r="GD33" s="30"/>
    </row>
    <row r="34" spans="1:186" ht="48" x14ac:dyDescent="0.25">
      <c r="A34" s="156">
        <v>25</v>
      </c>
      <c r="B34" s="395">
        <f>'Tier 3 Intervention'!B107</f>
        <v>0</v>
      </c>
      <c r="C34" s="395"/>
      <c r="D34" s="395"/>
      <c r="E34" s="395"/>
      <c r="F34" s="395"/>
      <c r="G34" s="395"/>
      <c r="H34" s="761"/>
      <c r="I34" s="761"/>
      <c r="J34" s="762"/>
      <c r="K34" s="395"/>
      <c r="L34" s="47" t="s">
        <v>811</v>
      </c>
      <c r="M34" s="46"/>
      <c r="N34" s="46"/>
      <c r="O34" s="46"/>
      <c r="P34" s="49"/>
      <c r="Q34" s="19"/>
      <c r="R34" s="20"/>
      <c r="S34" s="20"/>
      <c r="T34" s="20"/>
      <c r="U34" s="20"/>
      <c r="V34" s="21"/>
      <c r="W34" s="22"/>
      <c r="X34" s="22"/>
      <c r="Y34" s="22"/>
      <c r="Z34" s="22"/>
      <c r="AA34" s="19"/>
      <c r="AB34" s="20"/>
      <c r="AC34" s="20"/>
      <c r="AD34" s="20"/>
      <c r="AE34" s="20"/>
      <c r="AF34" s="21"/>
      <c r="AG34" s="22"/>
      <c r="AH34" s="22"/>
      <c r="AI34" s="22"/>
      <c r="AJ34" s="22"/>
      <c r="AK34" s="19"/>
      <c r="AL34" s="20"/>
      <c r="AM34" s="20"/>
      <c r="AN34" s="20"/>
      <c r="AO34" s="20"/>
      <c r="AP34" s="21"/>
      <c r="AQ34" s="22"/>
      <c r="AR34" s="22"/>
      <c r="AS34" s="22"/>
      <c r="AT34" s="22"/>
      <c r="AU34" s="19"/>
      <c r="AV34" s="20"/>
      <c r="AW34" s="20"/>
      <c r="AX34" s="20"/>
      <c r="AY34" s="20"/>
      <c r="AZ34" s="21"/>
      <c r="BA34" s="22"/>
      <c r="BB34" s="22"/>
      <c r="BC34" s="22"/>
      <c r="BD34" s="22"/>
      <c r="BE34" s="19"/>
      <c r="BF34" s="20"/>
      <c r="BG34" s="20"/>
      <c r="BH34" s="20"/>
      <c r="BI34" s="20"/>
      <c r="BJ34" s="21"/>
      <c r="BK34" s="22"/>
      <c r="BL34" s="22"/>
      <c r="BM34" s="22"/>
      <c r="BN34" s="22"/>
      <c r="BO34" s="19"/>
      <c r="BP34" s="20"/>
      <c r="BQ34" s="20"/>
      <c r="BR34" s="20"/>
      <c r="BS34" s="20"/>
      <c r="BT34" s="21"/>
      <c r="BU34" s="22"/>
      <c r="BV34" s="22"/>
      <c r="BW34" s="22"/>
      <c r="BX34" s="22"/>
      <c r="BY34" s="23"/>
      <c r="BZ34" s="24"/>
      <c r="CA34" s="24"/>
      <c r="CB34" s="24"/>
      <c r="CC34" s="24"/>
      <c r="CD34" s="25"/>
      <c r="CE34" s="26"/>
      <c r="CF34" s="26"/>
      <c r="CG34" s="26"/>
      <c r="CH34" s="26"/>
      <c r="CI34" s="27"/>
      <c r="CJ34" s="28"/>
      <c r="CK34" s="28"/>
      <c r="CL34" s="28"/>
      <c r="CM34" s="28"/>
      <c r="CN34" s="25"/>
      <c r="CO34" s="26"/>
      <c r="CP34" s="26"/>
      <c r="CQ34" s="26"/>
      <c r="CR34" s="26"/>
      <c r="CS34" s="27"/>
      <c r="CT34" s="28"/>
      <c r="CU34" s="28"/>
      <c r="CV34" s="28"/>
      <c r="CW34" s="28"/>
      <c r="CX34" s="25"/>
      <c r="CY34" s="26"/>
      <c r="CZ34" s="26"/>
      <c r="DA34" s="26"/>
      <c r="DB34" s="26"/>
      <c r="DC34" s="27"/>
      <c r="DD34" s="28"/>
      <c r="DE34" s="28"/>
      <c r="DF34" s="28"/>
      <c r="DG34" s="28"/>
      <c r="DH34" s="25"/>
      <c r="DI34" s="26"/>
      <c r="DJ34" s="26"/>
      <c r="DK34" s="26"/>
      <c r="DL34" s="26"/>
      <c r="DM34" s="27"/>
      <c r="DN34" s="28"/>
      <c r="DO34" s="28"/>
      <c r="DP34" s="28"/>
      <c r="DQ34" s="28"/>
      <c r="DR34" s="25"/>
      <c r="DS34" s="26"/>
      <c r="DT34" s="26"/>
      <c r="DU34" s="26"/>
      <c r="DV34" s="26"/>
      <c r="DW34" s="27"/>
      <c r="DX34" s="28"/>
      <c r="DY34" s="28"/>
      <c r="DZ34" s="28"/>
      <c r="EA34" s="28"/>
      <c r="EB34" s="29"/>
      <c r="EC34" s="30"/>
      <c r="ED34" s="30"/>
      <c r="EE34" s="30"/>
      <c r="EF34" s="30"/>
      <c r="EG34" s="31"/>
      <c r="EH34" s="32"/>
      <c r="EI34" s="32"/>
      <c r="EJ34" s="32"/>
      <c r="EK34" s="32"/>
      <c r="EL34" s="29"/>
      <c r="EM34" s="30"/>
      <c r="EN34" s="30"/>
      <c r="EO34" s="30"/>
      <c r="EP34" s="30"/>
      <c r="EQ34" s="31"/>
      <c r="ER34" s="32"/>
      <c r="ES34" s="32"/>
      <c r="ET34" s="32"/>
      <c r="EU34" s="32"/>
      <c r="EV34" s="29"/>
      <c r="EW34" s="30"/>
      <c r="EX34" s="30"/>
      <c r="EY34" s="30"/>
      <c r="EZ34" s="30"/>
      <c r="FA34" s="31"/>
      <c r="FB34" s="32"/>
      <c r="FC34" s="32"/>
      <c r="FD34" s="32"/>
      <c r="FE34" s="32"/>
      <c r="FF34" s="29"/>
      <c r="FG34" s="30"/>
      <c r="FH34" s="30"/>
      <c r="FI34" s="30"/>
      <c r="FJ34" s="30"/>
      <c r="FK34" s="31"/>
      <c r="FL34" s="32"/>
      <c r="FM34" s="32"/>
      <c r="FN34" s="32"/>
      <c r="FO34" s="32"/>
      <c r="FP34" s="29"/>
      <c r="FQ34" s="30"/>
      <c r="FR34" s="30"/>
      <c r="FS34" s="30"/>
      <c r="FT34" s="30"/>
      <c r="FU34" s="31"/>
      <c r="FV34" s="32"/>
      <c r="FW34" s="32"/>
      <c r="FX34" s="32"/>
      <c r="FY34" s="32"/>
      <c r="FZ34" s="29"/>
      <c r="GA34" s="30"/>
      <c r="GB34" s="30"/>
      <c r="GC34" s="30"/>
      <c r="GD34" s="30"/>
    </row>
    <row r="35" spans="1:186" ht="48" x14ac:dyDescent="0.25">
      <c r="A35" s="156">
        <v>26</v>
      </c>
      <c r="B35" s="395">
        <f>'Tier 3 Intervention'!B111</f>
        <v>0</v>
      </c>
      <c r="C35" s="395"/>
      <c r="D35" s="395"/>
      <c r="E35" s="395"/>
      <c r="F35" s="395"/>
      <c r="G35" s="395"/>
      <c r="H35" s="761"/>
      <c r="I35" s="761"/>
      <c r="J35" s="762"/>
      <c r="K35" s="395"/>
      <c r="L35" s="47" t="s">
        <v>812</v>
      </c>
      <c r="M35" s="46"/>
      <c r="N35" s="46"/>
      <c r="O35" s="46"/>
      <c r="P35" s="49"/>
      <c r="Q35" s="19"/>
      <c r="R35" s="20"/>
      <c r="S35" s="20"/>
      <c r="T35" s="20"/>
      <c r="U35" s="20"/>
      <c r="V35" s="21"/>
      <c r="W35" s="22"/>
      <c r="X35" s="22"/>
      <c r="Y35" s="22"/>
      <c r="Z35" s="22"/>
      <c r="AA35" s="19"/>
      <c r="AB35" s="20"/>
      <c r="AC35" s="20"/>
      <c r="AD35" s="20"/>
      <c r="AE35" s="20"/>
      <c r="AF35" s="21"/>
      <c r="AG35" s="22"/>
      <c r="AH35" s="22"/>
      <c r="AI35" s="22"/>
      <c r="AJ35" s="22"/>
      <c r="AK35" s="19"/>
      <c r="AL35" s="20"/>
      <c r="AM35" s="20"/>
      <c r="AN35" s="20"/>
      <c r="AO35" s="20"/>
      <c r="AP35" s="21"/>
      <c r="AQ35" s="22"/>
      <c r="AR35" s="22"/>
      <c r="AS35" s="22"/>
      <c r="AT35" s="22"/>
      <c r="AU35" s="19"/>
      <c r="AV35" s="20"/>
      <c r="AW35" s="20"/>
      <c r="AX35" s="20"/>
      <c r="AY35" s="20"/>
      <c r="AZ35" s="21"/>
      <c r="BA35" s="22"/>
      <c r="BB35" s="22"/>
      <c r="BC35" s="22"/>
      <c r="BD35" s="22"/>
      <c r="BE35" s="19"/>
      <c r="BF35" s="20"/>
      <c r="BG35" s="20"/>
      <c r="BH35" s="20"/>
      <c r="BI35" s="20"/>
      <c r="BJ35" s="21"/>
      <c r="BK35" s="22"/>
      <c r="BL35" s="22"/>
      <c r="BM35" s="22"/>
      <c r="BN35" s="22"/>
      <c r="BO35" s="19"/>
      <c r="BP35" s="20"/>
      <c r="BQ35" s="20"/>
      <c r="BR35" s="20"/>
      <c r="BS35" s="20"/>
      <c r="BT35" s="21"/>
      <c r="BU35" s="22"/>
      <c r="BV35" s="22"/>
      <c r="BW35" s="22"/>
      <c r="BX35" s="22"/>
      <c r="BY35" s="23"/>
      <c r="BZ35" s="24"/>
      <c r="CA35" s="24"/>
      <c r="CB35" s="24"/>
      <c r="CC35" s="24"/>
      <c r="CD35" s="25"/>
      <c r="CE35" s="26"/>
      <c r="CF35" s="26"/>
      <c r="CG35" s="26"/>
      <c r="CH35" s="26"/>
      <c r="CI35" s="27"/>
      <c r="CJ35" s="28"/>
      <c r="CK35" s="28"/>
      <c r="CL35" s="28"/>
      <c r="CM35" s="28"/>
      <c r="CN35" s="25"/>
      <c r="CO35" s="26"/>
      <c r="CP35" s="26"/>
      <c r="CQ35" s="26"/>
      <c r="CR35" s="26"/>
      <c r="CS35" s="27"/>
      <c r="CT35" s="28"/>
      <c r="CU35" s="28"/>
      <c r="CV35" s="28"/>
      <c r="CW35" s="28"/>
      <c r="CX35" s="25"/>
      <c r="CY35" s="26"/>
      <c r="CZ35" s="26"/>
      <c r="DA35" s="26"/>
      <c r="DB35" s="26"/>
      <c r="DC35" s="27"/>
      <c r="DD35" s="28"/>
      <c r="DE35" s="28"/>
      <c r="DF35" s="28"/>
      <c r="DG35" s="28"/>
      <c r="DH35" s="25"/>
      <c r="DI35" s="26"/>
      <c r="DJ35" s="26"/>
      <c r="DK35" s="26"/>
      <c r="DL35" s="26"/>
      <c r="DM35" s="27"/>
      <c r="DN35" s="28"/>
      <c r="DO35" s="28"/>
      <c r="DP35" s="28"/>
      <c r="DQ35" s="28"/>
      <c r="DR35" s="25"/>
      <c r="DS35" s="26"/>
      <c r="DT35" s="26"/>
      <c r="DU35" s="26"/>
      <c r="DV35" s="26"/>
      <c r="DW35" s="27"/>
      <c r="DX35" s="28"/>
      <c r="DY35" s="28"/>
      <c r="DZ35" s="28"/>
      <c r="EA35" s="28"/>
      <c r="EB35" s="29"/>
      <c r="EC35" s="30"/>
      <c r="ED35" s="30"/>
      <c r="EE35" s="30"/>
      <c r="EF35" s="30"/>
      <c r="EG35" s="31"/>
      <c r="EH35" s="32"/>
      <c r="EI35" s="32"/>
      <c r="EJ35" s="32"/>
      <c r="EK35" s="32"/>
      <c r="EL35" s="29"/>
      <c r="EM35" s="30"/>
      <c r="EN35" s="30"/>
      <c r="EO35" s="30"/>
      <c r="EP35" s="30"/>
      <c r="EQ35" s="31"/>
      <c r="ER35" s="32"/>
      <c r="ES35" s="32"/>
      <c r="ET35" s="32"/>
      <c r="EU35" s="32"/>
      <c r="EV35" s="29"/>
      <c r="EW35" s="30"/>
      <c r="EX35" s="30"/>
      <c r="EY35" s="30"/>
      <c r="EZ35" s="30"/>
      <c r="FA35" s="31"/>
      <c r="FB35" s="32"/>
      <c r="FC35" s="32"/>
      <c r="FD35" s="32"/>
      <c r="FE35" s="32"/>
      <c r="FF35" s="29"/>
      <c r="FG35" s="30"/>
      <c r="FH35" s="30"/>
      <c r="FI35" s="30"/>
      <c r="FJ35" s="30"/>
      <c r="FK35" s="31"/>
      <c r="FL35" s="32"/>
      <c r="FM35" s="32"/>
      <c r="FN35" s="32"/>
      <c r="FO35" s="32"/>
      <c r="FP35" s="29"/>
      <c r="FQ35" s="30"/>
      <c r="FR35" s="30"/>
      <c r="FS35" s="30"/>
      <c r="FT35" s="30"/>
      <c r="FU35" s="31"/>
      <c r="FV35" s="32"/>
      <c r="FW35" s="32"/>
      <c r="FX35" s="32"/>
      <c r="FY35" s="32"/>
      <c r="FZ35" s="29"/>
      <c r="GA35" s="30"/>
      <c r="GB35" s="30"/>
      <c r="GC35" s="30"/>
      <c r="GD35" s="30"/>
    </row>
    <row r="36" spans="1:186" ht="48" x14ac:dyDescent="0.25">
      <c r="A36" s="156">
        <v>27</v>
      </c>
      <c r="B36" s="395">
        <f>'Tier 3 Intervention'!B115</f>
        <v>0</v>
      </c>
      <c r="C36" s="395"/>
      <c r="D36" s="395"/>
      <c r="E36" s="395"/>
      <c r="F36" s="395"/>
      <c r="G36" s="395"/>
      <c r="H36" s="761"/>
      <c r="I36" s="761"/>
      <c r="J36" s="762"/>
      <c r="K36" s="395"/>
      <c r="L36" s="47" t="s">
        <v>813</v>
      </c>
      <c r="M36" s="46"/>
      <c r="N36" s="46"/>
      <c r="O36" s="46"/>
      <c r="P36" s="49"/>
      <c r="Q36" s="19"/>
      <c r="R36" s="20"/>
      <c r="S36" s="20"/>
      <c r="T36" s="20"/>
      <c r="U36" s="20"/>
      <c r="V36" s="21"/>
      <c r="W36" s="22"/>
      <c r="X36" s="22"/>
      <c r="Y36" s="22"/>
      <c r="Z36" s="22"/>
      <c r="AA36" s="19"/>
      <c r="AB36" s="20"/>
      <c r="AC36" s="20"/>
      <c r="AD36" s="20"/>
      <c r="AE36" s="20"/>
      <c r="AF36" s="21"/>
      <c r="AG36" s="22"/>
      <c r="AH36" s="22"/>
      <c r="AI36" s="22"/>
      <c r="AJ36" s="22"/>
      <c r="AK36" s="19"/>
      <c r="AL36" s="20"/>
      <c r="AM36" s="20"/>
      <c r="AN36" s="20"/>
      <c r="AO36" s="20"/>
      <c r="AP36" s="21"/>
      <c r="AQ36" s="22"/>
      <c r="AR36" s="22"/>
      <c r="AS36" s="22"/>
      <c r="AT36" s="22"/>
      <c r="AU36" s="19"/>
      <c r="AV36" s="20"/>
      <c r="AW36" s="20"/>
      <c r="AX36" s="20"/>
      <c r="AY36" s="20"/>
      <c r="AZ36" s="21"/>
      <c r="BA36" s="22"/>
      <c r="BB36" s="22"/>
      <c r="BC36" s="22"/>
      <c r="BD36" s="22"/>
      <c r="BE36" s="19"/>
      <c r="BF36" s="20"/>
      <c r="BG36" s="20"/>
      <c r="BH36" s="20"/>
      <c r="BI36" s="20"/>
      <c r="BJ36" s="21"/>
      <c r="BK36" s="22"/>
      <c r="BL36" s="22"/>
      <c r="BM36" s="22"/>
      <c r="BN36" s="22"/>
      <c r="BO36" s="19"/>
      <c r="BP36" s="20"/>
      <c r="BQ36" s="20"/>
      <c r="BR36" s="20"/>
      <c r="BS36" s="20"/>
      <c r="BT36" s="21"/>
      <c r="BU36" s="22"/>
      <c r="BV36" s="22"/>
      <c r="BW36" s="22"/>
      <c r="BX36" s="22"/>
      <c r="BY36" s="23"/>
      <c r="BZ36" s="24"/>
      <c r="CA36" s="24"/>
      <c r="CB36" s="24"/>
      <c r="CC36" s="24"/>
      <c r="CD36" s="25"/>
      <c r="CE36" s="26"/>
      <c r="CF36" s="26"/>
      <c r="CG36" s="26"/>
      <c r="CH36" s="26"/>
      <c r="CI36" s="27"/>
      <c r="CJ36" s="28"/>
      <c r="CK36" s="28"/>
      <c r="CL36" s="28"/>
      <c r="CM36" s="28"/>
      <c r="CN36" s="25"/>
      <c r="CO36" s="26"/>
      <c r="CP36" s="26"/>
      <c r="CQ36" s="26"/>
      <c r="CR36" s="26"/>
      <c r="CS36" s="27"/>
      <c r="CT36" s="28"/>
      <c r="CU36" s="28"/>
      <c r="CV36" s="28"/>
      <c r="CW36" s="28"/>
      <c r="CX36" s="25"/>
      <c r="CY36" s="26"/>
      <c r="CZ36" s="26"/>
      <c r="DA36" s="26"/>
      <c r="DB36" s="26"/>
      <c r="DC36" s="27"/>
      <c r="DD36" s="28"/>
      <c r="DE36" s="28"/>
      <c r="DF36" s="28"/>
      <c r="DG36" s="28"/>
      <c r="DH36" s="25"/>
      <c r="DI36" s="26"/>
      <c r="DJ36" s="26"/>
      <c r="DK36" s="26"/>
      <c r="DL36" s="26"/>
      <c r="DM36" s="27"/>
      <c r="DN36" s="28"/>
      <c r="DO36" s="28"/>
      <c r="DP36" s="28"/>
      <c r="DQ36" s="28"/>
      <c r="DR36" s="25"/>
      <c r="DS36" s="26"/>
      <c r="DT36" s="26"/>
      <c r="DU36" s="26"/>
      <c r="DV36" s="26"/>
      <c r="DW36" s="27"/>
      <c r="DX36" s="28"/>
      <c r="DY36" s="28"/>
      <c r="DZ36" s="28"/>
      <c r="EA36" s="28"/>
      <c r="EB36" s="29"/>
      <c r="EC36" s="30"/>
      <c r="ED36" s="30"/>
      <c r="EE36" s="30"/>
      <c r="EF36" s="30"/>
      <c r="EG36" s="31"/>
      <c r="EH36" s="32"/>
      <c r="EI36" s="32"/>
      <c r="EJ36" s="32"/>
      <c r="EK36" s="32"/>
      <c r="EL36" s="29"/>
      <c r="EM36" s="30"/>
      <c r="EN36" s="30"/>
      <c r="EO36" s="30"/>
      <c r="EP36" s="30"/>
      <c r="EQ36" s="31"/>
      <c r="ER36" s="32"/>
      <c r="ES36" s="32"/>
      <c r="ET36" s="32"/>
      <c r="EU36" s="32"/>
      <c r="EV36" s="29"/>
      <c r="EW36" s="30"/>
      <c r="EX36" s="30"/>
      <c r="EY36" s="30"/>
      <c r="EZ36" s="30"/>
      <c r="FA36" s="31"/>
      <c r="FB36" s="32"/>
      <c r="FC36" s="32"/>
      <c r="FD36" s="32"/>
      <c r="FE36" s="32"/>
      <c r="FF36" s="29"/>
      <c r="FG36" s="30"/>
      <c r="FH36" s="30"/>
      <c r="FI36" s="30"/>
      <c r="FJ36" s="30"/>
      <c r="FK36" s="31"/>
      <c r="FL36" s="32"/>
      <c r="FM36" s="32"/>
      <c r="FN36" s="32"/>
      <c r="FO36" s="32"/>
      <c r="FP36" s="29"/>
      <c r="FQ36" s="30"/>
      <c r="FR36" s="30"/>
      <c r="FS36" s="30"/>
      <c r="FT36" s="30"/>
      <c r="FU36" s="31"/>
      <c r="FV36" s="32"/>
      <c r="FW36" s="32"/>
      <c r="FX36" s="32"/>
      <c r="FY36" s="32"/>
      <c r="FZ36" s="29"/>
      <c r="GA36" s="30"/>
      <c r="GB36" s="30"/>
      <c r="GC36" s="30"/>
      <c r="GD36" s="30"/>
    </row>
    <row r="37" spans="1:186" ht="48" x14ac:dyDescent="0.25">
      <c r="A37" s="156">
        <v>28</v>
      </c>
      <c r="B37" s="395">
        <f>'Tier 3 Intervention'!B119</f>
        <v>0</v>
      </c>
      <c r="C37" s="395"/>
      <c r="D37" s="395"/>
      <c r="E37" s="395"/>
      <c r="F37" s="395"/>
      <c r="G37" s="395"/>
      <c r="H37" s="761"/>
      <c r="I37" s="761"/>
      <c r="J37" s="762"/>
      <c r="K37" s="395"/>
      <c r="L37" s="47" t="s">
        <v>814</v>
      </c>
      <c r="M37" s="46"/>
      <c r="N37" s="46"/>
      <c r="O37" s="46"/>
      <c r="P37" s="49"/>
      <c r="Q37" s="19"/>
      <c r="R37" s="20"/>
      <c r="S37" s="20"/>
      <c r="T37" s="20"/>
      <c r="U37" s="20"/>
      <c r="V37" s="21"/>
      <c r="W37" s="22"/>
      <c r="X37" s="22"/>
      <c r="Y37" s="22"/>
      <c r="Z37" s="22"/>
      <c r="AA37" s="19"/>
      <c r="AB37" s="20"/>
      <c r="AC37" s="20"/>
      <c r="AD37" s="20"/>
      <c r="AE37" s="20"/>
      <c r="AF37" s="21"/>
      <c r="AG37" s="22"/>
      <c r="AH37" s="22"/>
      <c r="AI37" s="22"/>
      <c r="AJ37" s="22"/>
      <c r="AK37" s="19"/>
      <c r="AL37" s="20"/>
      <c r="AM37" s="20"/>
      <c r="AN37" s="20"/>
      <c r="AO37" s="20"/>
      <c r="AP37" s="21"/>
      <c r="AQ37" s="22"/>
      <c r="AR37" s="22"/>
      <c r="AS37" s="22"/>
      <c r="AT37" s="22"/>
      <c r="AU37" s="19"/>
      <c r="AV37" s="20"/>
      <c r="AW37" s="20"/>
      <c r="AX37" s="20"/>
      <c r="AY37" s="20"/>
      <c r="AZ37" s="21"/>
      <c r="BA37" s="22"/>
      <c r="BB37" s="22"/>
      <c r="BC37" s="22"/>
      <c r="BD37" s="22"/>
      <c r="BE37" s="19"/>
      <c r="BF37" s="20"/>
      <c r="BG37" s="20"/>
      <c r="BH37" s="20"/>
      <c r="BI37" s="20"/>
      <c r="BJ37" s="21"/>
      <c r="BK37" s="22"/>
      <c r="BL37" s="22"/>
      <c r="BM37" s="22"/>
      <c r="BN37" s="22"/>
      <c r="BO37" s="19"/>
      <c r="BP37" s="20"/>
      <c r="BQ37" s="20"/>
      <c r="BR37" s="20"/>
      <c r="BS37" s="20"/>
      <c r="BT37" s="21"/>
      <c r="BU37" s="22"/>
      <c r="BV37" s="22"/>
      <c r="BW37" s="22"/>
      <c r="BX37" s="22"/>
      <c r="BY37" s="23"/>
      <c r="BZ37" s="24"/>
      <c r="CA37" s="24"/>
      <c r="CB37" s="24"/>
      <c r="CC37" s="24"/>
      <c r="CD37" s="25"/>
      <c r="CE37" s="26"/>
      <c r="CF37" s="26"/>
      <c r="CG37" s="26"/>
      <c r="CH37" s="26"/>
      <c r="CI37" s="27"/>
      <c r="CJ37" s="28"/>
      <c r="CK37" s="28"/>
      <c r="CL37" s="28"/>
      <c r="CM37" s="28"/>
      <c r="CN37" s="25"/>
      <c r="CO37" s="26"/>
      <c r="CP37" s="26"/>
      <c r="CQ37" s="26"/>
      <c r="CR37" s="26"/>
      <c r="CS37" s="27"/>
      <c r="CT37" s="28"/>
      <c r="CU37" s="28"/>
      <c r="CV37" s="28"/>
      <c r="CW37" s="28"/>
      <c r="CX37" s="25"/>
      <c r="CY37" s="26"/>
      <c r="CZ37" s="26"/>
      <c r="DA37" s="26"/>
      <c r="DB37" s="26"/>
      <c r="DC37" s="27"/>
      <c r="DD37" s="28"/>
      <c r="DE37" s="28"/>
      <c r="DF37" s="28"/>
      <c r="DG37" s="28"/>
      <c r="DH37" s="25"/>
      <c r="DI37" s="26"/>
      <c r="DJ37" s="26"/>
      <c r="DK37" s="26"/>
      <c r="DL37" s="26"/>
      <c r="DM37" s="27"/>
      <c r="DN37" s="28"/>
      <c r="DO37" s="28"/>
      <c r="DP37" s="28"/>
      <c r="DQ37" s="28"/>
      <c r="DR37" s="25"/>
      <c r="DS37" s="26"/>
      <c r="DT37" s="26"/>
      <c r="DU37" s="26"/>
      <c r="DV37" s="26"/>
      <c r="DW37" s="27"/>
      <c r="DX37" s="28"/>
      <c r="DY37" s="28"/>
      <c r="DZ37" s="28"/>
      <c r="EA37" s="28"/>
      <c r="EB37" s="29"/>
      <c r="EC37" s="30"/>
      <c r="ED37" s="30"/>
      <c r="EE37" s="30"/>
      <c r="EF37" s="30"/>
      <c r="EG37" s="31"/>
      <c r="EH37" s="32"/>
      <c r="EI37" s="32"/>
      <c r="EJ37" s="32"/>
      <c r="EK37" s="32"/>
      <c r="EL37" s="29"/>
      <c r="EM37" s="30"/>
      <c r="EN37" s="30"/>
      <c r="EO37" s="30"/>
      <c r="EP37" s="30"/>
      <c r="EQ37" s="31"/>
      <c r="ER37" s="32"/>
      <c r="ES37" s="32"/>
      <c r="ET37" s="32"/>
      <c r="EU37" s="32"/>
      <c r="EV37" s="29"/>
      <c r="EW37" s="30"/>
      <c r="EX37" s="30"/>
      <c r="EY37" s="30"/>
      <c r="EZ37" s="30"/>
      <c r="FA37" s="31"/>
      <c r="FB37" s="32"/>
      <c r="FC37" s="32"/>
      <c r="FD37" s="32"/>
      <c r="FE37" s="32"/>
      <c r="FF37" s="29"/>
      <c r="FG37" s="30"/>
      <c r="FH37" s="30"/>
      <c r="FI37" s="30"/>
      <c r="FJ37" s="30"/>
      <c r="FK37" s="31"/>
      <c r="FL37" s="32"/>
      <c r="FM37" s="32"/>
      <c r="FN37" s="32"/>
      <c r="FO37" s="32"/>
      <c r="FP37" s="29"/>
      <c r="FQ37" s="30"/>
      <c r="FR37" s="30"/>
      <c r="FS37" s="30"/>
      <c r="FT37" s="30"/>
      <c r="FU37" s="31"/>
      <c r="FV37" s="32"/>
      <c r="FW37" s="32"/>
      <c r="FX37" s="32"/>
      <c r="FY37" s="32"/>
      <c r="FZ37" s="29"/>
      <c r="GA37" s="30"/>
      <c r="GB37" s="30"/>
      <c r="GC37" s="30"/>
      <c r="GD37" s="30"/>
    </row>
    <row r="38" spans="1:186" ht="48" x14ac:dyDescent="0.25">
      <c r="A38" s="156">
        <v>29</v>
      </c>
      <c r="B38" s="395">
        <f>'Tier 3 Intervention'!B123</f>
        <v>0</v>
      </c>
      <c r="C38" s="395"/>
      <c r="D38" s="395"/>
      <c r="E38" s="395"/>
      <c r="F38" s="395"/>
      <c r="G38" s="395"/>
      <c r="H38" s="761"/>
      <c r="I38" s="761"/>
      <c r="J38" s="762"/>
      <c r="K38" s="395"/>
      <c r="L38" s="47" t="s">
        <v>815</v>
      </c>
      <c r="M38" s="46"/>
      <c r="N38" s="46"/>
      <c r="O38" s="46"/>
      <c r="P38" s="49"/>
      <c r="Q38" s="19"/>
      <c r="R38" s="20"/>
      <c r="S38" s="20"/>
      <c r="T38" s="20"/>
      <c r="U38" s="20"/>
      <c r="V38" s="21"/>
      <c r="W38" s="22"/>
      <c r="X38" s="22"/>
      <c r="Y38" s="22"/>
      <c r="Z38" s="22"/>
      <c r="AA38" s="19"/>
      <c r="AB38" s="20"/>
      <c r="AC38" s="20"/>
      <c r="AD38" s="20"/>
      <c r="AE38" s="20"/>
      <c r="AF38" s="21"/>
      <c r="AG38" s="22"/>
      <c r="AH38" s="22"/>
      <c r="AI38" s="22"/>
      <c r="AJ38" s="22"/>
      <c r="AK38" s="19"/>
      <c r="AL38" s="20"/>
      <c r="AM38" s="20"/>
      <c r="AN38" s="20"/>
      <c r="AO38" s="20"/>
      <c r="AP38" s="21"/>
      <c r="AQ38" s="22"/>
      <c r="AR38" s="22"/>
      <c r="AS38" s="22"/>
      <c r="AT38" s="22"/>
      <c r="AU38" s="19"/>
      <c r="AV38" s="20"/>
      <c r="AW38" s="20"/>
      <c r="AX38" s="20"/>
      <c r="AY38" s="20"/>
      <c r="AZ38" s="21"/>
      <c r="BA38" s="22"/>
      <c r="BB38" s="22"/>
      <c r="BC38" s="22"/>
      <c r="BD38" s="22"/>
      <c r="BE38" s="19"/>
      <c r="BF38" s="20"/>
      <c r="BG38" s="20"/>
      <c r="BH38" s="20"/>
      <c r="BI38" s="20"/>
      <c r="BJ38" s="21"/>
      <c r="BK38" s="22"/>
      <c r="BL38" s="22"/>
      <c r="BM38" s="22"/>
      <c r="BN38" s="22"/>
      <c r="BO38" s="19"/>
      <c r="BP38" s="20"/>
      <c r="BQ38" s="20"/>
      <c r="BR38" s="20"/>
      <c r="BS38" s="20"/>
      <c r="BT38" s="21"/>
      <c r="BU38" s="22"/>
      <c r="BV38" s="22"/>
      <c r="BW38" s="22"/>
      <c r="BX38" s="22"/>
      <c r="BY38" s="23"/>
      <c r="BZ38" s="24"/>
      <c r="CA38" s="24"/>
      <c r="CB38" s="24"/>
      <c r="CC38" s="24"/>
      <c r="CD38" s="25"/>
      <c r="CE38" s="26"/>
      <c r="CF38" s="26"/>
      <c r="CG38" s="26"/>
      <c r="CH38" s="26"/>
      <c r="CI38" s="27"/>
      <c r="CJ38" s="28"/>
      <c r="CK38" s="28"/>
      <c r="CL38" s="28"/>
      <c r="CM38" s="28"/>
      <c r="CN38" s="25"/>
      <c r="CO38" s="26"/>
      <c r="CP38" s="26"/>
      <c r="CQ38" s="26"/>
      <c r="CR38" s="26"/>
      <c r="CS38" s="27"/>
      <c r="CT38" s="28"/>
      <c r="CU38" s="28"/>
      <c r="CV38" s="28"/>
      <c r="CW38" s="28"/>
      <c r="CX38" s="25"/>
      <c r="CY38" s="26"/>
      <c r="CZ38" s="26"/>
      <c r="DA38" s="26"/>
      <c r="DB38" s="26"/>
      <c r="DC38" s="27"/>
      <c r="DD38" s="28"/>
      <c r="DE38" s="28"/>
      <c r="DF38" s="28"/>
      <c r="DG38" s="28"/>
      <c r="DH38" s="25"/>
      <c r="DI38" s="26"/>
      <c r="DJ38" s="26"/>
      <c r="DK38" s="26"/>
      <c r="DL38" s="26"/>
      <c r="DM38" s="27"/>
      <c r="DN38" s="28"/>
      <c r="DO38" s="28"/>
      <c r="DP38" s="28"/>
      <c r="DQ38" s="28"/>
      <c r="DR38" s="25"/>
      <c r="DS38" s="26"/>
      <c r="DT38" s="26"/>
      <c r="DU38" s="26"/>
      <c r="DV38" s="26"/>
      <c r="DW38" s="27"/>
      <c r="DX38" s="28"/>
      <c r="DY38" s="28"/>
      <c r="DZ38" s="28"/>
      <c r="EA38" s="28"/>
      <c r="EB38" s="29"/>
      <c r="EC38" s="30"/>
      <c r="ED38" s="30"/>
      <c r="EE38" s="30"/>
      <c r="EF38" s="30"/>
      <c r="EG38" s="31"/>
      <c r="EH38" s="32"/>
      <c r="EI38" s="32"/>
      <c r="EJ38" s="32"/>
      <c r="EK38" s="32"/>
      <c r="EL38" s="29"/>
      <c r="EM38" s="30"/>
      <c r="EN38" s="30"/>
      <c r="EO38" s="30"/>
      <c r="EP38" s="30"/>
      <c r="EQ38" s="31"/>
      <c r="ER38" s="32"/>
      <c r="ES38" s="32"/>
      <c r="ET38" s="32"/>
      <c r="EU38" s="32"/>
      <c r="EV38" s="29"/>
      <c r="EW38" s="30"/>
      <c r="EX38" s="30"/>
      <c r="EY38" s="30"/>
      <c r="EZ38" s="30"/>
      <c r="FA38" s="31"/>
      <c r="FB38" s="32"/>
      <c r="FC38" s="32"/>
      <c r="FD38" s="32"/>
      <c r="FE38" s="32"/>
      <c r="FF38" s="29"/>
      <c r="FG38" s="30"/>
      <c r="FH38" s="30"/>
      <c r="FI38" s="30"/>
      <c r="FJ38" s="30"/>
      <c r="FK38" s="31"/>
      <c r="FL38" s="32"/>
      <c r="FM38" s="32"/>
      <c r="FN38" s="32"/>
      <c r="FO38" s="32"/>
      <c r="FP38" s="29"/>
      <c r="FQ38" s="30"/>
      <c r="FR38" s="30"/>
      <c r="FS38" s="30"/>
      <c r="FT38" s="30"/>
      <c r="FU38" s="31"/>
      <c r="FV38" s="32"/>
      <c r="FW38" s="32"/>
      <c r="FX38" s="32"/>
      <c r="FY38" s="32"/>
      <c r="FZ38" s="29"/>
      <c r="GA38" s="30"/>
      <c r="GB38" s="30"/>
      <c r="GC38" s="30"/>
      <c r="GD38" s="30"/>
    </row>
    <row r="39" spans="1:186" ht="48" x14ac:dyDescent="0.25">
      <c r="A39" s="156">
        <v>30</v>
      </c>
      <c r="B39" s="395">
        <f>'Tier 3 Intervention'!B127</f>
        <v>0</v>
      </c>
      <c r="C39" s="395"/>
      <c r="D39" s="395"/>
      <c r="E39" s="395"/>
      <c r="F39" s="395"/>
      <c r="G39" s="395"/>
      <c r="H39" s="761"/>
      <c r="I39" s="761"/>
      <c r="J39" s="762"/>
      <c r="K39" s="395"/>
      <c r="L39" s="47" t="s">
        <v>816</v>
      </c>
      <c r="M39" s="46"/>
      <c r="N39" s="46"/>
      <c r="O39" s="46"/>
      <c r="P39" s="49"/>
      <c r="Q39" s="19"/>
      <c r="R39" s="20"/>
      <c r="S39" s="20"/>
      <c r="T39" s="20"/>
      <c r="U39" s="20"/>
      <c r="V39" s="21"/>
      <c r="W39" s="22"/>
      <c r="X39" s="22"/>
      <c r="Y39" s="22"/>
      <c r="Z39" s="22"/>
      <c r="AA39" s="19"/>
      <c r="AB39" s="20"/>
      <c r="AC39" s="20"/>
      <c r="AD39" s="20"/>
      <c r="AE39" s="20"/>
      <c r="AF39" s="21"/>
      <c r="AG39" s="22"/>
      <c r="AH39" s="22"/>
      <c r="AI39" s="22"/>
      <c r="AJ39" s="22"/>
      <c r="AK39" s="19"/>
      <c r="AL39" s="20"/>
      <c r="AM39" s="20"/>
      <c r="AN39" s="20"/>
      <c r="AO39" s="20"/>
      <c r="AP39" s="21"/>
      <c r="AQ39" s="22"/>
      <c r="AR39" s="22"/>
      <c r="AS39" s="22"/>
      <c r="AT39" s="22"/>
      <c r="AU39" s="19"/>
      <c r="AV39" s="20"/>
      <c r="AW39" s="20"/>
      <c r="AX39" s="20"/>
      <c r="AY39" s="20"/>
      <c r="AZ39" s="21"/>
      <c r="BA39" s="22"/>
      <c r="BB39" s="22"/>
      <c r="BC39" s="22"/>
      <c r="BD39" s="22"/>
      <c r="BE39" s="19"/>
      <c r="BF39" s="20"/>
      <c r="BG39" s="20"/>
      <c r="BH39" s="20"/>
      <c r="BI39" s="20"/>
      <c r="BJ39" s="21"/>
      <c r="BK39" s="22"/>
      <c r="BL39" s="22"/>
      <c r="BM39" s="22"/>
      <c r="BN39" s="22"/>
      <c r="BO39" s="19"/>
      <c r="BP39" s="20"/>
      <c r="BQ39" s="20"/>
      <c r="BR39" s="20"/>
      <c r="BS39" s="20"/>
      <c r="BT39" s="21"/>
      <c r="BU39" s="22"/>
      <c r="BV39" s="22"/>
      <c r="BW39" s="22"/>
      <c r="BX39" s="22"/>
      <c r="BY39" s="23"/>
      <c r="BZ39" s="24"/>
      <c r="CA39" s="24"/>
      <c r="CB39" s="24"/>
      <c r="CC39" s="24"/>
      <c r="CD39" s="25"/>
      <c r="CE39" s="26"/>
      <c r="CF39" s="26"/>
      <c r="CG39" s="26"/>
      <c r="CH39" s="26"/>
      <c r="CI39" s="27"/>
      <c r="CJ39" s="28"/>
      <c r="CK39" s="28"/>
      <c r="CL39" s="28"/>
      <c r="CM39" s="28"/>
      <c r="CN39" s="25"/>
      <c r="CO39" s="26"/>
      <c r="CP39" s="26"/>
      <c r="CQ39" s="26"/>
      <c r="CR39" s="26"/>
      <c r="CS39" s="27"/>
      <c r="CT39" s="28"/>
      <c r="CU39" s="28"/>
      <c r="CV39" s="28"/>
      <c r="CW39" s="28"/>
      <c r="CX39" s="25"/>
      <c r="CY39" s="26"/>
      <c r="CZ39" s="26"/>
      <c r="DA39" s="26"/>
      <c r="DB39" s="26"/>
      <c r="DC39" s="27"/>
      <c r="DD39" s="28"/>
      <c r="DE39" s="28"/>
      <c r="DF39" s="28"/>
      <c r="DG39" s="28"/>
      <c r="DH39" s="25"/>
      <c r="DI39" s="26"/>
      <c r="DJ39" s="26"/>
      <c r="DK39" s="26"/>
      <c r="DL39" s="26"/>
      <c r="DM39" s="27"/>
      <c r="DN39" s="28"/>
      <c r="DO39" s="28"/>
      <c r="DP39" s="28"/>
      <c r="DQ39" s="28"/>
      <c r="DR39" s="25"/>
      <c r="DS39" s="26"/>
      <c r="DT39" s="26"/>
      <c r="DU39" s="26"/>
      <c r="DV39" s="26"/>
      <c r="DW39" s="27"/>
      <c r="DX39" s="28"/>
      <c r="DY39" s="28"/>
      <c r="DZ39" s="28"/>
      <c r="EA39" s="28"/>
      <c r="EB39" s="29"/>
      <c r="EC39" s="30"/>
      <c r="ED39" s="30"/>
      <c r="EE39" s="30"/>
      <c r="EF39" s="30"/>
      <c r="EG39" s="31"/>
      <c r="EH39" s="32"/>
      <c r="EI39" s="32"/>
      <c r="EJ39" s="32"/>
      <c r="EK39" s="32"/>
      <c r="EL39" s="29"/>
      <c r="EM39" s="30"/>
      <c r="EN39" s="30"/>
      <c r="EO39" s="30"/>
      <c r="EP39" s="30"/>
      <c r="EQ39" s="31"/>
      <c r="ER39" s="32"/>
      <c r="ES39" s="32"/>
      <c r="ET39" s="32"/>
      <c r="EU39" s="32"/>
      <c r="EV39" s="29"/>
      <c r="EW39" s="30"/>
      <c r="EX39" s="30"/>
      <c r="EY39" s="30"/>
      <c r="EZ39" s="30"/>
      <c r="FA39" s="31"/>
      <c r="FB39" s="32"/>
      <c r="FC39" s="32"/>
      <c r="FD39" s="32"/>
      <c r="FE39" s="32"/>
      <c r="FF39" s="29"/>
      <c r="FG39" s="30"/>
      <c r="FH39" s="30"/>
      <c r="FI39" s="30"/>
      <c r="FJ39" s="30"/>
      <c r="FK39" s="31"/>
      <c r="FL39" s="32"/>
      <c r="FM39" s="32"/>
      <c r="FN39" s="32"/>
      <c r="FO39" s="32"/>
      <c r="FP39" s="29"/>
      <c r="FQ39" s="30"/>
      <c r="FR39" s="30"/>
      <c r="FS39" s="30"/>
      <c r="FT39" s="30"/>
      <c r="FU39" s="31"/>
      <c r="FV39" s="32"/>
      <c r="FW39" s="32"/>
      <c r="FX39" s="32"/>
      <c r="FY39" s="32"/>
      <c r="FZ39" s="29"/>
      <c r="GA39" s="30"/>
      <c r="GB39" s="30"/>
      <c r="GC39" s="30"/>
      <c r="GD39" s="30"/>
    </row>
    <row r="40" spans="1:186" ht="48" x14ac:dyDescent="0.25">
      <c r="A40" s="156">
        <v>31</v>
      </c>
      <c r="B40" s="395">
        <f>'Tier 3 Intervention'!B131</f>
        <v>0</v>
      </c>
      <c r="C40" s="395"/>
      <c r="D40" s="395"/>
      <c r="E40" s="395"/>
      <c r="F40" s="395"/>
      <c r="G40" s="395"/>
      <c r="H40" s="761"/>
      <c r="I40" s="761"/>
      <c r="J40" s="762"/>
      <c r="K40" s="395"/>
      <c r="L40" s="47" t="s">
        <v>817</v>
      </c>
      <c r="M40" s="46"/>
      <c r="N40" s="46"/>
      <c r="O40" s="46"/>
      <c r="P40" s="49"/>
      <c r="Q40" s="19"/>
      <c r="R40" s="20"/>
      <c r="S40" s="20"/>
      <c r="T40" s="20"/>
      <c r="U40" s="20"/>
      <c r="V40" s="21"/>
      <c r="W40" s="22"/>
      <c r="X40" s="22"/>
      <c r="Y40" s="22"/>
      <c r="Z40" s="22"/>
      <c r="AA40" s="19"/>
      <c r="AB40" s="20"/>
      <c r="AC40" s="20"/>
      <c r="AD40" s="20"/>
      <c r="AE40" s="20"/>
      <c r="AF40" s="21"/>
      <c r="AG40" s="22"/>
      <c r="AH40" s="22"/>
      <c r="AI40" s="22"/>
      <c r="AJ40" s="22"/>
      <c r="AK40" s="19"/>
      <c r="AL40" s="20"/>
      <c r="AM40" s="20"/>
      <c r="AN40" s="20"/>
      <c r="AO40" s="20"/>
      <c r="AP40" s="21"/>
      <c r="AQ40" s="22"/>
      <c r="AR40" s="22"/>
      <c r="AS40" s="22"/>
      <c r="AT40" s="22"/>
      <c r="AU40" s="19"/>
      <c r="AV40" s="20"/>
      <c r="AW40" s="20"/>
      <c r="AX40" s="20"/>
      <c r="AY40" s="20"/>
      <c r="AZ40" s="21"/>
      <c r="BA40" s="22"/>
      <c r="BB40" s="22"/>
      <c r="BC40" s="22"/>
      <c r="BD40" s="22"/>
      <c r="BE40" s="19"/>
      <c r="BF40" s="20"/>
      <c r="BG40" s="20"/>
      <c r="BH40" s="20"/>
      <c r="BI40" s="20"/>
      <c r="BJ40" s="21"/>
      <c r="BK40" s="22"/>
      <c r="BL40" s="22"/>
      <c r="BM40" s="22"/>
      <c r="BN40" s="22"/>
      <c r="BO40" s="19"/>
      <c r="BP40" s="20"/>
      <c r="BQ40" s="20"/>
      <c r="BR40" s="20"/>
      <c r="BS40" s="20"/>
      <c r="BT40" s="21"/>
      <c r="BU40" s="22"/>
      <c r="BV40" s="22"/>
      <c r="BW40" s="22"/>
      <c r="BX40" s="22"/>
      <c r="BY40" s="23"/>
      <c r="BZ40" s="24"/>
      <c r="CA40" s="24"/>
      <c r="CB40" s="24"/>
      <c r="CC40" s="24"/>
      <c r="CD40" s="25"/>
      <c r="CE40" s="26"/>
      <c r="CF40" s="26"/>
      <c r="CG40" s="26"/>
      <c r="CH40" s="26"/>
      <c r="CI40" s="27"/>
      <c r="CJ40" s="28"/>
      <c r="CK40" s="28"/>
      <c r="CL40" s="28"/>
      <c r="CM40" s="28"/>
      <c r="CN40" s="25"/>
      <c r="CO40" s="26"/>
      <c r="CP40" s="26"/>
      <c r="CQ40" s="26"/>
      <c r="CR40" s="26"/>
      <c r="CS40" s="27"/>
      <c r="CT40" s="28"/>
      <c r="CU40" s="28"/>
      <c r="CV40" s="28"/>
      <c r="CW40" s="28"/>
      <c r="CX40" s="25"/>
      <c r="CY40" s="26"/>
      <c r="CZ40" s="26"/>
      <c r="DA40" s="26"/>
      <c r="DB40" s="26"/>
      <c r="DC40" s="27"/>
      <c r="DD40" s="28"/>
      <c r="DE40" s="28"/>
      <c r="DF40" s="28"/>
      <c r="DG40" s="28"/>
      <c r="DH40" s="25"/>
      <c r="DI40" s="26"/>
      <c r="DJ40" s="26"/>
      <c r="DK40" s="26"/>
      <c r="DL40" s="26"/>
      <c r="DM40" s="27"/>
      <c r="DN40" s="28"/>
      <c r="DO40" s="28"/>
      <c r="DP40" s="28"/>
      <c r="DQ40" s="28"/>
      <c r="DR40" s="25"/>
      <c r="DS40" s="26"/>
      <c r="DT40" s="26"/>
      <c r="DU40" s="26"/>
      <c r="DV40" s="26"/>
      <c r="DW40" s="27"/>
      <c r="DX40" s="28"/>
      <c r="DY40" s="28"/>
      <c r="DZ40" s="28"/>
      <c r="EA40" s="28"/>
      <c r="EB40" s="29"/>
      <c r="EC40" s="30"/>
      <c r="ED40" s="30"/>
      <c r="EE40" s="30"/>
      <c r="EF40" s="30"/>
      <c r="EG40" s="31"/>
      <c r="EH40" s="32"/>
      <c r="EI40" s="32"/>
      <c r="EJ40" s="32"/>
      <c r="EK40" s="32"/>
      <c r="EL40" s="29"/>
      <c r="EM40" s="30"/>
      <c r="EN40" s="30"/>
      <c r="EO40" s="30"/>
      <c r="EP40" s="30"/>
      <c r="EQ40" s="31"/>
      <c r="ER40" s="32"/>
      <c r="ES40" s="32"/>
      <c r="ET40" s="32"/>
      <c r="EU40" s="32"/>
      <c r="EV40" s="29"/>
      <c r="EW40" s="30"/>
      <c r="EX40" s="30"/>
      <c r="EY40" s="30"/>
      <c r="EZ40" s="30"/>
      <c r="FA40" s="31"/>
      <c r="FB40" s="32"/>
      <c r="FC40" s="32"/>
      <c r="FD40" s="32"/>
      <c r="FE40" s="32"/>
      <c r="FF40" s="29"/>
      <c r="FG40" s="30"/>
      <c r="FH40" s="30"/>
      <c r="FI40" s="30"/>
      <c r="FJ40" s="30"/>
      <c r="FK40" s="31"/>
      <c r="FL40" s="32"/>
      <c r="FM40" s="32"/>
      <c r="FN40" s="32"/>
      <c r="FO40" s="32"/>
      <c r="FP40" s="29"/>
      <c r="FQ40" s="30"/>
      <c r="FR40" s="30"/>
      <c r="FS40" s="30"/>
      <c r="FT40" s="30"/>
      <c r="FU40" s="31"/>
      <c r="FV40" s="32"/>
      <c r="FW40" s="32"/>
      <c r="FX40" s="32"/>
      <c r="FY40" s="32"/>
      <c r="FZ40" s="29"/>
      <c r="GA40" s="30"/>
      <c r="GB40" s="30"/>
      <c r="GC40" s="30"/>
      <c r="GD40" s="30"/>
    </row>
    <row r="41" spans="1:186" ht="48" x14ac:dyDescent="0.25">
      <c r="A41" s="156">
        <v>32</v>
      </c>
      <c r="B41" s="395">
        <f>'Tier 3 Intervention'!B135</f>
        <v>0</v>
      </c>
      <c r="C41" s="395"/>
      <c r="D41" s="395"/>
      <c r="E41" s="395"/>
      <c r="F41" s="395"/>
      <c r="G41" s="395"/>
      <c r="H41" s="761"/>
      <c r="I41" s="761"/>
      <c r="J41" s="762"/>
      <c r="K41" s="395"/>
      <c r="L41" s="47" t="s">
        <v>818</v>
      </c>
      <c r="M41" s="46"/>
      <c r="N41" s="46"/>
      <c r="O41" s="46"/>
      <c r="P41" s="49"/>
      <c r="Q41" s="19"/>
      <c r="R41" s="20"/>
      <c r="S41" s="20"/>
      <c r="T41" s="20"/>
      <c r="U41" s="20"/>
      <c r="V41" s="21"/>
      <c r="W41" s="22"/>
      <c r="X41" s="22"/>
      <c r="Y41" s="22"/>
      <c r="Z41" s="22"/>
      <c r="AA41" s="19"/>
      <c r="AB41" s="20"/>
      <c r="AC41" s="20"/>
      <c r="AD41" s="20"/>
      <c r="AE41" s="20"/>
      <c r="AF41" s="21"/>
      <c r="AG41" s="22"/>
      <c r="AH41" s="22"/>
      <c r="AI41" s="22"/>
      <c r="AJ41" s="22"/>
      <c r="AK41" s="19"/>
      <c r="AL41" s="20"/>
      <c r="AM41" s="20"/>
      <c r="AN41" s="20"/>
      <c r="AO41" s="20"/>
      <c r="AP41" s="21"/>
      <c r="AQ41" s="22"/>
      <c r="AR41" s="22"/>
      <c r="AS41" s="22"/>
      <c r="AT41" s="22"/>
      <c r="AU41" s="19"/>
      <c r="AV41" s="20"/>
      <c r="AW41" s="20"/>
      <c r="AX41" s="20"/>
      <c r="AY41" s="20"/>
      <c r="AZ41" s="21"/>
      <c r="BA41" s="22"/>
      <c r="BB41" s="22"/>
      <c r="BC41" s="22"/>
      <c r="BD41" s="22"/>
      <c r="BE41" s="19"/>
      <c r="BF41" s="20"/>
      <c r="BG41" s="20"/>
      <c r="BH41" s="20"/>
      <c r="BI41" s="20"/>
      <c r="BJ41" s="21"/>
      <c r="BK41" s="22"/>
      <c r="BL41" s="22"/>
      <c r="BM41" s="22"/>
      <c r="BN41" s="22"/>
      <c r="BO41" s="19"/>
      <c r="BP41" s="20"/>
      <c r="BQ41" s="20"/>
      <c r="BR41" s="20"/>
      <c r="BS41" s="20"/>
      <c r="BT41" s="21"/>
      <c r="BU41" s="22"/>
      <c r="BV41" s="22"/>
      <c r="BW41" s="22"/>
      <c r="BX41" s="22"/>
      <c r="BY41" s="23"/>
      <c r="BZ41" s="24"/>
      <c r="CA41" s="24"/>
      <c r="CB41" s="24"/>
      <c r="CC41" s="24"/>
      <c r="CD41" s="25"/>
      <c r="CE41" s="26"/>
      <c r="CF41" s="26"/>
      <c r="CG41" s="26"/>
      <c r="CH41" s="26"/>
      <c r="CI41" s="27"/>
      <c r="CJ41" s="28"/>
      <c r="CK41" s="28"/>
      <c r="CL41" s="28"/>
      <c r="CM41" s="28"/>
      <c r="CN41" s="25"/>
      <c r="CO41" s="26"/>
      <c r="CP41" s="26"/>
      <c r="CQ41" s="26"/>
      <c r="CR41" s="26"/>
      <c r="CS41" s="27"/>
      <c r="CT41" s="28"/>
      <c r="CU41" s="28"/>
      <c r="CV41" s="28"/>
      <c r="CW41" s="28"/>
      <c r="CX41" s="25"/>
      <c r="CY41" s="26"/>
      <c r="CZ41" s="26"/>
      <c r="DA41" s="26"/>
      <c r="DB41" s="26"/>
      <c r="DC41" s="27"/>
      <c r="DD41" s="28"/>
      <c r="DE41" s="28"/>
      <c r="DF41" s="28"/>
      <c r="DG41" s="28"/>
      <c r="DH41" s="25"/>
      <c r="DI41" s="26"/>
      <c r="DJ41" s="26"/>
      <c r="DK41" s="26"/>
      <c r="DL41" s="26"/>
      <c r="DM41" s="27"/>
      <c r="DN41" s="28"/>
      <c r="DO41" s="28"/>
      <c r="DP41" s="28"/>
      <c r="DQ41" s="28"/>
      <c r="DR41" s="25"/>
      <c r="DS41" s="26"/>
      <c r="DT41" s="26"/>
      <c r="DU41" s="26"/>
      <c r="DV41" s="26"/>
      <c r="DW41" s="27"/>
      <c r="DX41" s="28"/>
      <c r="DY41" s="28"/>
      <c r="DZ41" s="28"/>
      <c r="EA41" s="28"/>
      <c r="EB41" s="29"/>
      <c r="EC41" s="30"/>
      <c r="ED41" s="30"/>
      <c r="EE41" s="30"/>
      <c r="EF41" s="30"/>
      <c r="EG41" s="31"/>
      <c r="EH41" s="32"/>
      <c r="EI41" s="32"/>
      <c r="EJ41" s="32"/>
      <c r="EK41" s="32"/>
      <c r="EL41" s="29"/>
      <c r="EM41" s="30"/>
      <c r="EN41" s="30"/>
      <c r="EO41" s="30"/>
      <c r="EP41" s="30"/>
      <c r="EQ41" s="31"/>
      <c r="ER41" s="32"/>
      <c r="ES41" s="32"/>
      <c r="ET41" s="32"/>
      <c r="EU41" s="32"/>
      <c r="EV41" s="29"/>
      <c r="EW41" s="30"/>
      <c r="EX41" s="30"/>
      <c r="EY41" s="30"/>
      <c r="EZ41" s="30"/>
      <c r="FA41" s="31"/>
      <c r="FB41" s="32"/>
      <c r="FC41" s="32"/>
      <c r="FD41" s="32"/>
      <c r="FE41" s="32"/>
      <c r="FF41" s="29"/>
      <c r="FG41" s="30"/>
      <c r="FH41" s="30"/>
      <c r="FI41" s="30"/>
      <c r="FJ41" s="30"/>
      <c r="FK41" s="31"/>
      <c r="FL41" s="32"/>
      <c r="FM41" s="32"/>
      <c r="FN41" s="32"/>
      <c r="FO41" s="32"/>
      <c r="FP41" s="29"/>
      <c r="FQ41" s="30"/>
      <c r="FR41" s="30"/>
      <c r="FS41" s="30"/>
      <c r="FT41" s="30"/>
      <c r="FU41" s="31"/>
      <c r="FV41" s="32"/>
      <c r="FW41" s="32"/>
      <c r="FX41" s="32"/>
      <c r="FY41" s="32"/>
      <c r="FZ41" s="29"/>
      <c r="GA41" s="30"/>
      <c r="GB41" s="30"/>
      <c r="GC41" s="30"/>
      <c r="GD41" s="30"/>
    </row>
    <row r="42" spans="1:186" ht="48" x14ac:dyDescent="0.25">
      <c r="A42" s="156">
        <v>33</v>
      </c>
      <c r="B42" s="395">
        <f>'Tier 3 Intervention'!B139</f>
        <v>0</v>
      </c>
      <c r="C42" s="395"/>
      <c r="D42" s="395"/>
      <c r="E42" s="395"/>
      <c r="F42" s="395"/>
      <c r="G42" s="395"/>
      <c r="H42" s="761"/>
      <c r="I42" s="761"/>
      <c r="J42" s="762"/>
      <c r="K42" s="395"/>
      <c r="L42" s="47" t="s">
        <v>819</v>
      </c>
      <c r="M42" s="46"/>
      <c r="N42" s="46"/>
      <c r="O42" s="46"/>
      <c r="P42" s="49"/>
      <c r="Q42" s="19"/>
      <c r="R42" s="20"/>
      <c r="S42" s="20"/>
      <c r="T42" s="20"/>
      <c r="U42" s="20"/>
      <c r="V42" s="21"/>
      <c r="W42" s="22"/>
      <c r="X42" s="22"/>
      <c r="Y42" s="22"/>
      <c r="Z42" s="22"/>
      <c r="AA42" s="19"/>
      <c r="AB42" s="20"/>
      <c r="AC42" s="20"/>
      <c r="AD42" s="20"/>
      <c r="AE42" s="20"/>
      <c r="AF42" s="21"/>
      <c r="AG42" s="22"/>
      <c r="AH42" s="22"/>
      <c r="AI42" s="22"/>
      <c r="AJ42" s="22"/>
      <c r="AK42" s="19"/>
      <c r="AL42" s="20"/>
      <c r="AM42" s="20"/>
      <c r="AN42" s="20"/>
      <c r="AO42" s="20"/>
      <c r="AP42" s="21"/>
      <c r="AQ42" s="22"/>
      <c r="AR42" s="22"/>
      <c r="AS42" s="22"/>
      <c r="AT42" s="22"/>
      <c r="AU42" s="19"/>
      <c r="AV42" s="20"/>
      <c r="AW42" s="20"/>
      <c r="AX42" s="20"/>
      <c r="AY42" s="20"/>
      <c r="AZ42" s="21"/>
      <c r="BA42" s="22"/>
      <c r="BB42" s="22"/>
      <c r="BC42" s="22"/>
      <c r="BD42" s="22"/>
      <c r="BE42" s="19"/>
      <c r="BF42" s="20"/>
      <c r="BG42" s="20"/>
      <c r="BH42" s="20"/>
      <c r="BI42" s="20"/>
      <c r="BJ42" s="21"/>
      <c r="BK42" s="22"/>
      <c r="BL42" s="22"/>
      <c r="BM42" s="22"/>
      <c r="BN42" s="22"/>
      <c r="BO42" s="19"/>
      <c r="BP42" s="20"/>
      <c r="BQ42" s="20"/>
      <c r="BR42" s="20"/>
      <c r="BS42" s="20"/>
      <c r="BT42" s="21"/>
      <c r="BU42" s="22"/>
      <c r="BV42" s="22"/>
      <c r="BW42" s="22"/>
      <c r="BX42" s="22"/>
      <c r="BY42" s="23"/>
      <c r="BZ42" s="24"/>
      <c r="CA42" s="24"/>
      <c r="CB42" s="24"/>
      <c r="CC42" s="24"/>
      <c r="CD42" s="25"/>
      <c r="CE42" s="26"/>
      <c r="CF42" s="26"/>
      <c r="CG42" s="26"/>
      <c r="CH42" s="26"/>
      <c r="CI42" s="27"/>
      <c r="CJ42" s="28"/>
      <c r="CK42" s="28"/>
      <c r="CL42" s="28"/>
      <c r="CM42" s="28"/>
      <c r="CN42" s="25"/>
      <c r="CO42" s="26"/>
      <c r="CP42" s="26"/>
      <c r="CQ42" s="26"/>
      <c r="CR42" s="26"/>
      <c r="CS42" s="27"/>
      <c r="CT42" s="28"/>
      <c r="CU42" s="28"/>
      <c r="CV42" s="28"/>
      <c r="CW42" s="28"/>
      <c r="CX42" s="25"/>
      <c r="CY42" s="26"/>
      <c r="CZ42" s="26"/>
      <c r="DA42" s="26"/>
      <c r="DB42" s="26"/>
      <c r="DC42" s="27"/>
      <c r="DD42" s="28"/>
      <c r="DE42" s="28"/>
      <c r="DF42" s="28"/>
      <c r="DG42" s="28"/>
      <c r="DH42" s="25"/>
      <c r="DI42" s="26"/>
      <c r="DJ42" s="26"/>
      <c r="DK42" s="26"/>
      <c r="DL42" s="26"/>
      <c r="DM42" s="27"/>
      <c r="DN42" s="28"/>
      <c r="DO42" s="28"/>
      <c r="DP42" s="28"/>
      <c r="DQ42" s="28"/>
      <c r="DR42" s="25"/>
      <c r="DS42" s="26"/>
      <c r="DT42" s="26"/>
      <c r="DU42" s="26"/>
      <c r="DV42" s="26"/>
      <c r="DW42" s="27"/>
      <c r="DX42" s="28"/>
      <c r="DY42" s="28"/>
      <c r="DZ42" s="28"/>
      <c r="EA42" s="28"/>
      <c r="EB42" s="29"/>
      <c r="EC42" s="30"/>
      <c r="ED42" s="30"/>
      <c r="EE42" s="30"/>
      <c r="EF42" s="30"/>
      <c r="EG42" s="31"/>
      <c r="EH42" s="32"/>
      <c r="EI42" s="32"/>
      <c r="EJ42" s="32"/>
      <c r="EK42" s="32"/>
      <c r="EL42" s="29"/>
      <c r="EM42" s="30"/>
      <c r="EN42" s="30"/>
      <c r="EO42" s="30"/>
      <c r="EP42" s="30"/>
      <c r="EQ42" s="31"/>
      <c r="ER42" s="32"/>
      <c r="ES42" s="32"/>
      <c r="ET42" s="32"/>
      <c r="EU42" s="32"/>
      <c r="EV42" s="29"/>
      <c r="EW42" s="30"/>
      <c r="EX42" s="30"/>
      <c r="EY42" s="30"/>
      <c r="EZ42" s="30"/>
      <c r="FA42" s="31"/>
      <c r="FB42" s="32"/>
      <c r="FC42" s="32"/>
      <c r="FD42" s="32"/>
      <c r="FE42" s="32"/>
      <c r="FF42" s="29"/>
      <c r="FG42" s="30"/>
      <c r="FH42" s="30"/>
      <c r="FI42" s="30"/>
      <c r="FJ42" s="30"/>
      <c r="FK42" s="31"/>
      <c r="FL42" s="32"/>
      <c r="FM42" s="32"/>
      <c r="FN42" s="32"/>
      <c r="FO42" s="32"/>
      <c r="FP42" s="29"/>
      <c r="FQ42" s="30"/>
      <c r="FR42" s="30"/>
      <c r="FS42" s="30"/>
      <c r="FT42" s="30"/>
      <c r="FU42" s="31"/>
      <c r="FV42" s="32"/>
      <c r="FW42" s="32"/>
      <c r="FX42" s="32"/>
      <c r="FY42" s="32"/>
      <c r="FZ42" s="29"/>
      <c r="GA42" s="30"/>
      <c r="GB42" s="30"/>
      <c r="GC42" s="30"/>
      <c r="GD42" s="30"/>
    </row>
    <row r="43" spans="1:186" ht="48" x14ac:dyDescent="0.25">
      <c r="A43" s="156">
        <v>34</v>
      </c>
      <c r="B43" s="395">
        <f>'Tier 3 Intervention'!B143</f>
        <v>0</v>
      </c>
      <c r="C43" s="395"/>
      <c r="D43" s="395"/>
      <c r="E43" s="395"/>
      <c r="F43" s="395"/>
      <c r="G43" s="395"/>
      <c r="H43" s="761"/>
      <c r="I43" s="761"/>
      <c r="J43" s="762"/>
      <c r="K43" s="395"/>
      <c r="L43" s="47" t="s">
        <v>820</v>
      </c>
      <c r="M43" s="46"/>
      <c r="N43" s="46"/>
      <c r="O43" s="46"/>
      <c r="P43" s="49"/>
      <c r="Q43" s="19"/>
      <c r="R43" s="20"/>
      <c r="S43" s="20"/>
      <c r="T43" s="20"/>
      <c r="U43" s="20"/>
      <c r="V43" s="21"/>
      <c r="W43" s="22"/>
      <c r="X43" s="22"/>
      <c r="Y43" s="22"/>
      <c r="Z43" s="22"/>
      <c r="AA43" s="19"/>
      <c r="AB43" s="20"/>
      <c r="AC43" s="20"/>
      <c r="AD43" s="20"/>
      <c r="AE43" s="20"/>
      <c r="AF43" s="21"/>
      <c r="AG43" s="22"/>
      <c r="AH43" s="22"/>
      <c r="AI43" s="22"/>
      <c r="AJ43" s="22"/>
      <c r="AK43" s="19"/>
      <c r="AL43" s="20"/>
      <c r="AM43" s="20"/>
      <c r="AN43" s="20"/>
      <c r="AO43" s="20"/>
      <c r="AP43" s="21"/>
      <c r="AQ43" s="22"/>
      <c r="AR43" s="22"/>
      <c r="AS43" s="22"/>
      <c r="AT43" s="22"/>
      <c r="AU43" s="19"/>
      <c r="AV43" s="20"/>
      <c r="AW43" s="20"/>
      <c r="AX43" s="20"/>
      <c r="AY43" s="20"/>
      <c r="AZ43" s="21"/>
      <c r="BA43" s="22"/>
      <c r="BB43" s="22"/>
      <c r="BC43" s="22"/>
      <c r="BD43" s="22"/>
      <c r="BE43" s="19"/>
      <c r="BF43" s="20"/>
      <c r="BG43" s="20"/>
      <c r="BH43" s="20"/>
      <c r="BI43" s="20"/>
      <c r="BJ43" s="21"/>
      <c r="BK43" s="22"/>
      <c r="BL43" s="22"/>
      <c r="BM43" s="22"/>
      <c r="BN43" s="22"/>
      <c r="BO43" s="19"/>
      <c r="BP43" s="20"/>
      <c r="BQ43" s="20"/>
      <c r="BR43" s="20"/>
      <c r="BS43" s="20"/>
      <c r="BT43" s="21"/>
      <c r="BU43" s="22"/>
      <c r="BV43" s="22"/>
      <c r="BW43" s="22"/>
      <c r="BX43" s="22"/>
      <c r="BY43" s="23"/>
      <c r="BZ43" s="24"/>
      <c r="CA43" s="24"/>
      <c r="CB43" s="24"/>
      <c r="CC43" s="24"/>
      <c r="CD43" s="25"/>
      <c r="CE43" s="26"/>
      <c r="CF43" s="26"/>
      <c r="CG43" s="26"/>
      <c r="CH43" s="26"/>
      <c r="CI43" s="27"/>
      <c r="CJ43" s="28"/>
      <c r="CK43" s="28"/>
      <c r="CL43" s="28"/>
      <c r="CM43" s="28"/>
      <c r="CN43" s="25"/>
      <c r="CO43" s="26"/>
      <c r="CP43" s="26"/>
      <c r="CQ43" s="26"/>
      <c r="CR43" s="26"/>
      <c r="CS43" s="27"/>
      <c r="CT43" s="28"/>
      <c r="CU43" s="28"/>
      <c r="CV43" s="28"/>
      <c r="CW43" s="28"/>
      <c r="CX43" s="25"/>
      <c r="CY43" s="26"/>
      <c r="CZ43" s="26"/>
      <c r="DA43" s="26"/>
      <c r="DB43" s="26"/>
      <c r="DC43" s="27"/>
      <c r="DD43" s="28"/>
      <c r="DE43" s="28"/>
      <c r="DF43" s="28"/>
      <c r="DG43" s="28"/>
      <c r="DH43" s="25"/>
      <c r="DI43" s="26"/>
      <c r="DJ43" s="26"/>
      <c r="DK43" s="26"/>
      <c r="DL43" s="26"/>
      <c r="DM43" s="27"/>
      <c r="DN43" s="28"/>
      <c r="DO43" s="28"/>
      <c r="DP43" s="28"/>
      <c r="DQ43" s="28"/>
      <c r="DR43" s="25"/>
      <c r="DS43" s="26"/>
      <c r="DT43" s="26"/>
      <c r="DU43" s="26"/>
      <c r="DV43" s="26"/>
      <c r="DW43" s="27"/>
      <c r="DX43" s="28"/>
      <c r="DY43" s="28"/>
      <c r="DZ43" s="28"/>
      <c r="EA43" s="28"/>
      <c r="EB43" s="29"/>
      <c r="EC43" s="30"/>
      <c r="ED43" s="30"/>
      <c r="EE43" s="30"/>
      <c r="EF43" s="30"/>
      <c r="EG43" s="31"/>
      <c r="EH43" s="32"/>
      <c r="EI43" s="32"/>
      <c r="EJ43" s="32"/>
      <c r="EK43" s="32"/>
      <c r="EL43" s="29"/>
      <c r="EM43" s="30"/>
      <c r="EN43" s="30"/>
      <c r="EO43" s="30"/>
      <c r="EP43" s="30"/>
      <c r="EQ43" s="31"/>
      <c r="ER43" s="32"/>
      <c r="ES43" s="32"/>
      <c r="ET43" s="32"/>
      <c r="EU43" s="32"/>
      <c r="EV43" s="29"/>
      <c r="EW43" s="30"/>
      <c r="EX43" s="30"/>
      <c r="EY43" s="30"/>
      <c r="EZ43" s="30"/>
      <c r="FA43" s="31"/>
      <c r="FB43" s="32"/>
      <c r="FC43" s="32"/>
      <c r="FD43" s="32"/>
      <c r="FE43" s="32"/>
      <c r="FF43" s="29"/>
      <c r="FG43" s="30"/>
      <c r="FH43" s="30"/>
      <c r="FI43" s="30"/>
      <c r="FJ43" s="30"/>
      <c r="FK43" s="31"/>
      <c r="FL43" s="32"/>
      <c r="FM43" s="32"/>
      <c r="FN43" s="32"/>
      <c r="FO43" s="32"/>
      <c r="FP43" s="29"/>
      <c r="FQ43" s="30"/>
      <c r="FR43" s="30"/>
      <c r="FS43" s="30"/>
      <c r="FT43" s="30"/>
      <c r="FU43" s="31"/>
      <c r="FV43" s="32"/>
      <c r="FW43" s="32"/>
      <c r="FX43" s="32"/>
      <c r="FY43" s="32"/>
      <c r="FZ43" s="29"/>
      <c r="GA43" s="30"/>
      <c r="GB43" s="30"/>
      <c r="GC43" s="30"/>
      <c r="GD43" s="30"/>
    </row>
    <row r="44" spans="1:186" ht="48" x14ac:dyDescent="0.25">
      <c r="A44" s="156">
        <v>35</v>
      </c>
      <c r="B44" s="395">
        <f>'Tier 3 Intervention'!B147</f>
        <v>0</v>
      </c>
      <c r="C44" s="395"/>
      <c r="D44" s="395"/>
      <c r="E44" s="395"/>
      <c r="F44" s="395"/>
      <c r="G44" s="395"/>
      <c r="H44" s="761"/>
      <c r="I44" s="761"/>
      <c r="J44" s="762"/>
      <c r="K44" s="395"/>
      <c r="L44" s="47" t="s">
        <v>821</v>
      </c>
      <c r="M44" s="46"/>
      <c r="N44" s="46"/>
      <c r="O44" s="46"/>
      <c r="P44" s="49"/>
      <c r="Q44" s="19"/>
      <c r="R44" s="20"/>
      <c r="S44" s="20"/>
      <c r="T44" s="20"/>
      <c r="U44" s="20"/>
      <c r="V44" s="21"/>
      <c r="W44" s="22"/>
      <c r="X44" s="22"/>
      <c r="Y44" s="22"/>
      <c r="Z44" s="22"/>
      <c r="AA44" s="19"/>
      <c r="AB44" s="20"/>
      <c r="AC44" s="20"/>
      <c r="AD44" s="20"/>
      <c r="AE44" s="20"/>
      <c r="AF44" s="21"/>
      <c r="AG44" s="22"/>
      <c r="AH44" s="22"/>
      <c r="AI44" s="22"/>
      <c r="AJ44" s="22"/>
      <c r="AK44" s="19"/>
      <c r="AL44" s="20"/>
      <c r="AM44" s="20"/>
      <c r="AN44" s="20"/>
      <c r="AO44" s="20"/>
      <c r="AP44" s="21"/>
      <c r="AQ44" s="22"/>
      <c r="AR44" s="22"/>
      <c r="AS44" s="22"/>
      <c r="AT44" s="22"/>
      <c r="AU44" s="19"/>
      <c r="AV44" s="20"/>
      <c r="AW44" s="20"/>
      <c r="AX44" s="20"/>
      <c r="AY44" s="20"/>
      <c r="AZ44" s="21"/>
      <c r="BA44" s="22"/>
      <c r="BB44" s="22"/>
      <c r="BC44" s="22"/>
      <c r="BD44" s="22"/>
      <c r="BE44" s="19"/>
      <c r="BF44" s="20"/>
      <c r="BG44" s="20"/>
      <c r="BH44" s="20"/>
      <c r="BI44" s="20"/>
      <c r="BJ44" s="21"/>
      <c r="BK44" s="22"/>
      <c r="BL44" s="22"/>
      <c r="BM44" s="22"/>
      <c r="BN44" s="22"/>
      <c r="BO44" s="19"/>
      <c r="BP44" s="20"/>
      <c r="BQ44" s="20"/>
      <c r="BR44" s="20"/>
      <c r="BS44" s="20"/>
      <c r="BT44" s="21"/>
      <c r="BU44" s="22"/>
      <c r="BV44" s="22"/>
      <c r="BW44" s="22"/>
      <c r="BX44" s="22"/>
      <c r="BY44" s="23"/>
      <c r="BZ44" s="24"/>
      <c r="CA44" s="24"/>
      <c r="CB44" s="24"/>
      <c r="CC44" s="24"/>
      <c r="CD44" s="25"/>
      <c r="CE44" s="26"/>
      <c r="CF44" s="26"/>
      <c r="CG44" s="26"/>
      <c r="CH44" s="26"/>
      <c r="CI44" s="27"/>
      <c r="CJ44" s="28"/>
      <c r="CK44" s="28"/>
      <c r="CL44" s="28"/>
      <c r="CM44" s="28"/>
      <c r="CN44" s="25"/>
      <c r="CO44" s="26"/>
      <c r="CP44" s="26"/>
      <c r="CQ44" s="26"/>
      <c r="CR44" s="26"/>
      <c r="CS44" s="27"/>
      <c r="CT44" s="28"/>
      <c r="CU44" s="28"/>
      <c r="CV44" s="28"/>
      <c r="CW44" s="28"/>
      <c r="CX44" s="25"/>
      <c r="CY44" s="26"/>
      <c r="CZ44" s="26"/>
      <c r="DA44" s="26"/>
      <c r="DB44" s="26"/>
      <c r="DC44" s="27"/>
      <c r="DD44" s="28"/>
      <c r="DE44" s="28"/>
      <c r="DF44" s="28"/>
      <c r="DG44" s="28"/>
      <c r="DH44" s="25"/>
      <c r="DI44" s="26"/>
      <c r="DJ44" s="26"/>
      <c r="DK44" s="26"/>
      <c r="DL44" s="26"/>
      <c r="DM44" s="27"/>
      <c r="DN44" s="28"/>
      <c r="DO44" s="28"/>
      <c r="DP44" s="28"/>
      <c r="DQ44" s="28"/>
      <c r="DR44" s="25"/>
      <c r="DS44" s="26"/>
      <c r="DT44" s="26"/>
      <c r="DU44" s="26"/>
      <c r="DV44" s="26"/>
      <c r="DW44" s="27"/>
      <c r="DX44" s="28"/>
      <c r="DY44" s="28"/>
      <c r="DZ44" s="28"/>
      <c r="EA44" s="28"/>
      <c r="EB44" s="29"/>
      <c r="EC44" s="30"/>
      <c r="ED44" s="30"/>
      <c r="EE44" s="30"/>
      <c r="EF44" s="30"/>
      <c r="EG44" s="31"/>
      <c r="EH44" s="32"/>
      <c r="EI44" s="32"/>
      <c r="EJ44" s="32"/>
      <c r="EK44" s="32"/>
      <c r="EL44" s="29"/>
      <c r="EM44" s="30"/>
      <c r="EN44" s="30"/>
      <c r="EO44" s="30"/>
      <c r="EP44" s="30"/>
      <c r="EQ44" s="31"/>
      <c r="ER44" s="32"/>
      <c r="ES44" s="32"/>
      <c r="ET44" s="32"/>
      <c r="EU44" s="32"/>
      <c r="EV44" s="29"/>
      <c r="EW44" s="30"/>
      <c r="EX44" s="30"/>
      <c r="EY44" s="30"/>
      <c r="EZ44" s="30"/>
      <c r="FA44" s="31"/>
      <c r="FB44" s="32"/>
      <c r="FC44" s="32"/>
      <c r="FD44" s="32"/>
      <c r="FE44" s="32"/>
      <c r="FF44" s="29"/>
      <c r="FG44" s="30"/>
      <c r="FH44" s="30"/>
      <c r="FI44" s="30"/>
      <c r="FJ44" s="30"/>
      <c r="FK44" s="31"/>
      <c r="FL44" s="32"/>
      <c r="FM44" s="32"/>
      <c r="FN44" s="32"/>
      <c r="FO44" s="32"/>
      <c r="FP44" s="29"/>
      <c r="FQ44" s="30"/>
      <c r="FR44" s="30"/>
      <c r="FS44" s="30"/>
      <c r="FT44" s="30"/>
      <c r="FU44" s="31"/>
      <c r="FV44" s="32"/>
      <c r="FW44" s="32"/>
      <c r="FX44" s="32"/>
      <c r="FY44" s="32"/>
      <c r="FZ44" s="29"/>
      <c r="GA44" s="30"/>
      <c r="GB44" s="30"/>
      <c r="GC44" s="30"/>
      <c r="GD44" s="30"/>
    </row>
    <row r="45" spans="1:186" ht="48" x14ac:dyDescent="0.25">
      <c r="A45" s="156">
        <v>36</v>
      </c>
      <c r="B45" s="395">
        <f>'Tier 3 Intervention'!B151</f>
        <v>0</v>
      </c>
      <c r="C45" s="395"/>
      <c r="D45" s="395"/>
      <c r="E45" s="395"/>
      <c r="F45" s="395"/>
      <c r="G45" s="395"/>
      <c r="H45" s="761"/>
      <c r="I45" s="761"/>
      <c r="J45" s="762"/>
      <c r="K45" s="395"/>
      <c r="L45" s="47" t="s">
        <v>822</v>
      </c>
      <c r="M45" s="46"/>
      <c r="N45" s="46"/>
      <c r="O45" s="46"/>
      <c r="P45" s="49"/>
      <c r="Q45" s="19"/>
      <c r="R45" s="20"/>
      <c r="S45" s="20"/>
      <c r="T45" s="20"/>
      <c r="U45" s="20"/>
      <c r="V45" s="21"/>
      <c r="W45" s="22"/>
      <c r="X45" s="22"/>
      <c r="Y45" s="22"/>
      <c r="Z45" s="22"/>
      <c r="AA45" s="19"/>
      <c r="AB45" s="20"/>
      <c r="AC45" s="20"/>
      <c r="AD45" s="20"/>
      <c r="AE45" s="20"/>
      <c r="AF45" s="21"/>
      <c r="AG45" s="22"/>
      <c r="AH45" s="22"/>
      <c r="AI45" s="22"/>
      <c r="AJ45" s="22"/>
      <c r="AK45" s="19"/>
      <c r="AL45" s="20"/>
      <c r="AM45" s="20"/>
      <c r="AN45" s="20"/>
      <c r="AO45" s="20"/>
      <c r="AP45" s="21"/>
      <c r="AQ45" s="22"/>
      <c r="AR45" s="22"/>
      <c r="AS45" s="22"/>
      <c r="AT45" s="22"/>
      <c r="AU45" s="19"/>
      <c r="AV45" s="20"/>
      <c r="AW45" s="20"/>
      <c r="AX45" s="20"/>
      <c r="AY45" s="20"/>
      <c r="AZ45" s="21"/>
      <c r="BA45" s="22"/>
      <c r="BB45" s="22"/>
      <c r="BC45" s="22"/>
      <c r="BD45" s="22"/>
      <c r="BE45" s="19"/>
      <c r="BF45" s="20"/>
      <c r="BG45" s="20"/>
      <c r="BH45" s="20"/>
      <c r="BI45" s="20"/>
      <c r="BJ45" s="21"/>
      <c r="BK45" s="22"/>
      <c r="BL45" s="22"/>
      <c r="BM45" s="22"/>
      <c r="BN45" s="22"/>
      <c r="BO45" s="19"/>
      <c r="BP45" s="20"/>
      <c r="BQ45" s="20"/>
      <c r="BR45" s="20"/>
      <c r="BS45" s="20"/>
      <c r="BT45" s="21"/>
      <c r="BU45" s="22"/>
      <c r="BV45" s="22"/>
      <c r="BW45" s="22"/>
      <c r="BX45" s="22"/>
      <c r="BY45" s="23"/>
      <c r="BZ45" s="24"/>
      <c r="CA45" s="24"/>
      <c r="CB45" s="24"/>
      <c r="CC45" s="24"/>
      <c r="CD45" s="25"/>
      <c r="CE45" s="26"/>
      <c r="CF45" s="26"/>
      <c r="CG45" s="26"/>
      <c r="CH45" s="26"/>
      <c r="CI45" s="27"/>
      <c r="CJ45" s="28"/>
      <c r="CK45" s="28"/>
      <c r="CL45" s="28"/>
      <c r="CM45" s="28"/>
      <c r="CN45" s="25"/>
      <c r="CO45" s="26"/>
      <c r="CP45" s="26"/>
      <c r="CQ45" s="26"/>
      <c r="CR45" s="26"/>
      <c r="CS45" s="27"/>
      <c r="CT45" s="28"/>
      <c r="CU45" s="28"/>
      <c r="CV45" s="28"/>
      <c r="CW45" s="28"/>
      <c r="CX45" s="25"/>
      <c r="CY45" s="26"/>
      <c r="CZ45" s="26"/>
      <c r="DA45" s="26"/>
      <c r="DB45" s="26"/>
      <c r="DC45" s="27"/>
      <c r="DD45" s="28"/>
      <c r="DE45" s="28"/>
      <c r="DF45" s="28"/>
      <c r="DG45" s="28"/>
      <c r="DH45" s="25"/>
      <c r="DI45" s="26"/>
      <c r="DJ45" s="26"/>
      <c r="DK45" s="26"/>
      <c r="DL45" s="26"/>
      <c r="DM45" s="27"/>
      <c r="DN45" s="28"/>
      <c r="DO45" s="28"/>
      <c r="DP45" s="28"/>
      <c r="DQ45" s="28"/>
      <c r="DR45" s="25"/>
      <c r="DS45" s="26"/>
      <c r="DT45" s="26"/>
      <c r="DU45" s="26"/>
      <c r="DV45" s="26"/>
      <c r="DW45" s="27"/>
      <c r="DX45" s="28"/>
      <c r="DY45" s="28"/>
      <c r="DZ45" s="28"/>
      <c r="EA45" s="28"/>
      <c r="EB45" s="29"/>
      <c r="EC45" s="30"/>
      <c r="ED45" s="30"/>
      <c r="EE45" s="30"/>
      <c r="EF45" s="30"/>
      <c r="EG45" s="31"/>
      <c r="EH45" s="32"/>
      <c r="EI45" s="32"/>
      <c r="EJ45" s="32"/>
      <c r="EK45" s="32"/>
      <c r="EL45" s="29"/>
      <c r="EM45" s="30"/>
      <c r="EN45" s="30"/>
      <c r="EO45" s="30"/>
      <c r="EP45" s="30"/>
      <c r="EQ45" s="31"/>
      <c r="ER45" s="32"/>
      <c r="ES45" s="32"/>
      <c r="ET45" s="32"/>
      <c r="EU45" s="32"/>
      <c r="EV45" s="29"/>
      <c r="EW45" s="30"/>
      <c r="EX45" s="30"/>
      <c r="EY45" s="30"/>
      <c r="EZ45" s="30"/>
      <c r="FA45" s="31"/>
      <c r="FB45" s="32"/>
      <c r="FC45" s="32"/>
      <c r="FD45" s="32"/>
      <c r="FE45" s="32"/>
      <c r="FF45" s="29"/>
      <c r="FG45" s="30"/>
      <c r="FH45" s="30"/>
      <c r="FI45" s="30"/>
      <c r="FJ45" s="30"/>
      <c r="FK45" s="31"/>
      <c r="FL45" s="32"/>
      <c r="FM45" s="32"/>
      <c r="FN45" s="32"/>
      <c r="FO45" s="32"/>
      <c r="FP45" s="29"/>
      <c r="FQ45" s="30"/>
      <c r="FR45" s="30"/>
      <c r="FS45" s="30"/>
      <c r="FT45" s="30"/>
      <c r="FU45" s="31"/>
      <c r="FV45" s="32"/>
      <c r="FW45" s="32"/>
      <c r="FX45" s="32"/>
      <c r="FY45" s="32"/>
      <c r="FZ45" s="29"/>
      <c r="GA45" s="30"/>
      <c r="GB45" s="30"/>
      <c r="GC45" s="30"/>
      <c r="GD45" s="30"/>
    </row>
    <row r="46" spans="1:186" ht="48" x14ac:dyDescent="0.25">
      <c r="A46" s="156">
        <v>37</v>
      </c>
      <c r="B46" s="395">
        <f>'Tier 3 Intervention'!B155</f>
        <v>0</v>
      </c>
      <c r="C46" s="395"/>
      <c r="D46" s="395"/>
      <c r="E46" s="395"/>
      <c r="F46" s="395"/>
      <c r="G46" s="395"/>
      <c r="H46" s="761"/>
      <c r="I46" s="761"/>
      <c r="J46" s="762"/>
      <c r="K46" s="395"/>
      <c r="L46" s="47" t="s">
        <v>823</v>
      </c>
      <c r="M46" s="46"/>
      <c r="N46" s="46"/>
      <c r="O46" s="46"/>
      <c r="P46" s="49"/>
      <c r="Q46" s="19"/>
      <c r="R46" s="20"/>
      <c r="S46" s="20"/>
      <c r="T46" s="20"/>
      <c r="U46" s="20"/>
      <c r="V46" s="21"/>
      <c r="W46" s="22"/>
      <c r="X46" s="22"/>
      <c r="Y46" s="22"/>
      <c r="Z46" s="22"/>
      <c r="AA46" s="19"/>
      <c r="AB46" s="20"/>
      <c r="AC46" s="20"/>
      <c r="AD46" s="20"/>
      <c r="AE46" s="20"/>
      <c r="AF46" s="21"/>
      <c r="AG46" s="22"/>
      <c r="AH46" s="22"/>
      <c r="AI46" s="22"/>
      <c r="AJ46" s="22"/>
      <c r="AK46" s="19"/>
      <c r="AL46" s="20"/>
      <c r="AM46" s="20"/>
      <c r="AN46" s="20"/>
      <c r="AO46" s="20"/>
      <c r="AP46" s="21"/>
      <c r="AQ46" s="22"/>
      <c r="AR46" s="22"/>
      <c r="AS46" s="22"/>
      <c r="AT46" s="22"/>
      <c r="AU46" s="19"/>
      <c r="AV46" s="20"/>
      <c r="AW46" s="20"/>
      <c r="AX46" s="20"/>
      <c r="AY46" s="20"/>
      <c r="AZ46" s="21"/>
      <c r="BA46" s="22"/>
      <c r="BB46" s="22"/>
      <c r="BC46" s="22"/>
      <c r="BD46" s="22"/>
      <c r="BE46" s="19"/>
      <c r="BF46" s="20"/>
      <c r="BG46" s="20"/>
      <c r="BH46" s="20"/>
      <c r="BI46" s="20"/>
      <c r="BJ46" s="21"/>
      <c r="BK46" s="22"/>
      <c r="BL46" s="22"/>
      <c r="BM46" s="22"/>
      <c r="BN46" s="22"/>
      <c r="BO46" s="19"/>
      <c r="BP46" s="20"/>
      <c r="BQ46" s="20"/>
      <c r="BR46" s="20"/>
      <c r="BS46" s="20"/>
      <c r="BT46" s="21"/>
      <c r="BU46" s="22"/>
      <c r="BV46" s="22"/>
      <c r="BW46" s="22"/>
      <c r="BX46" s="22"/>
      <c r="BY46" s="23"/>
      <c r="BZ46" s="24"/>
      <c r="CA46" s="24"/>
      <c r="CB46" s="24"/>
      <c r="CC46" s="24"/>
      <c r="CD46" s="25"/>
      <c r="CE46" s="26"/>
      <c r="CF46" s="26"/>
      <c r="CG46" s="26"/>
      <c r="CH46" s="26"/>
      <c r="CI46" s="27"/>
      <c r="CJ46" s="28"/>
      <c r="CK46" s="28"/>
      <c r="CL46" s="28"/>
      <c r="CM46" s="28"/>
      <c r="CN46" s="25"/>
      <c r="CO46" s="26"/>
      <c r="CP46" s="26"/>
      <c r="CQ46" s="26"/>
      <c r="CR46" s="26"/>
      <c r="CS46" s="27"/>
      <c r="CT46" s="28"/>
      <c r="CU46" s="28"/>
      <c r="CV46" s="28"/>
      <c r="CW46" s="28"/>
      <c r="CX46" s="25"/>
      <c r="CY46" s="26"/>
      <c r="CZ46" s="26"/>
      <c r="DA46" s="26"/>
      <c r="DB46" s="26"/>
      <c r="DC46" s="27"/>
      <c r="DD46" s="28"/>
      <c r="DE46" s="28"/>
      <c r="DF46" s="28"/>
      <c r="DG46" s="28"/>
      <c r="DH46" s="25"/>
      <c r="DI46" s="26"/>
      <c r="DJ46" s="26"/>
      <c r="DK46" s="26"/>
      <c r="DL46" s="26"/>
      <c r="DM46" s="27"/>
      <c r="DN46" s="28"/>
      <c r="DO46" s="28"/>
      <c r="DP46" s="28"/>
      <c r="DQ46" s="28"/>
      <c r="DR46" s="25"/>
      <c r="DS46" s="26"/>
      <c r="DT46" s="26"/>
      <c r="DU46" s="26"/>
      <c r="DV46" s="26"/>
      <c r="DW46" s="27"/>
      <c r="DX46" s="28"/>
      <c r="DY46" s="28"/>
      <c r="DZ46" s="28"/>
      <c r="EA46" s="28"/>
      <c r="EB46" s="29"/>
      <c r="EC46" s="30"/>
      <c r="ED46" s="30"/>
      <c r="EE46" s="30"/>
      <c r="EF46" s="30"/>
      <c r="EG46" s="31"/>
      <c r="EH46" s="32"/>
      <c r="EI46" s="32"/>
      <c r="EJ46" s="32"/>
      <c r="EK46" s="32"/>
      <c r="EL46" s="29"/>
      <c r="EM46" s="30"/>
      <c r="EN46" s="30"/>
      <c r="EO46" s="30"/>
      <c r="EP46" s="30"/>
      <c r="EQ46" s="31"/>
      <c r="ER46" s="32"/>
      <c r="ES46" s="32"/>
      <c r="ET46" s="32"/>
      <c r="EU46" s="32"/>
      <c r="EV46" s="29"/>
      <c r="EW46" s="30"/>
      <c r="EX46" s="30"/>
      <c r="EY46" s="30"/>
      <c r="EZ46" s="30"/>
      <c r="FA46" s="31"/>
      <c r="FB46" s="32"/>
      <c r="FC46" s="32"/>
      <c r="FD46" s="32"/>
      <c r="FE46" s="32"/>
      <c r="FF46" s="29"/>
      <c r="FG46" s="30"/>
      <c r="FH46" s="30"/>
      <c r="FI46" s="30"/>
      <c r="FJ46" s="30"/>
      <c r="FK46" s="31"/>
      <c r="FL46" s="32"/>
      <c r="FM46" s="32"/>
      <c r="FN46" s="32"/>
      <c r="FO46" s="32"/>
      <c r="FP46" s="29"/>
      <c r="FQ46" s="30"/>
      <c r="FR46" s="30"/>
      <c r="FS46" s="30"/>
      <c r="FT46" s="30"/>
      <c r="FU46" s="31"/>
      <c r="FV46" s="32"/>
      <c r="FW46" s="32"/>
      <c r="FX46" s="32"/>
      <c r="FY46" s="32"/>
      <c r="FZ46" s="29"/>
      <c r="GA46" s="30"/>
      <c r="GB46" s="30"/>
      <c r="GC46" s="30"/>
      <c r="GD46" s="30"/>
    </row>
    <row r="47" spans="1:186" ht="48" x14ac:dyDescent="0.25">
      <c r="A47" s="156">
        <v>38</v>
      </c>
      <c r="B47" s="395">
        <f>'Tier 3 Intervention'!B159</f>
        <v>0</v>
      </c>
      <c r="C47" s="395"/>
      <c r="D47" s="395"/>
      <c r="E47" s="395"/>
      <c r="F47" s="395"/>
      <c r="G47" s="395"/>
      <c r="H47" s="761"/>
      <c r="I47" s="761"/>
      <c r="J47" s="762"/>
      <c r="K47" s="395"/>
      <c r="L47" s="47" t="s">
        <v>824</v>
      </c>
      <c r="M47" s="46"/>
      <c r="N47" s="46"/>
      <c r="O47" s="46"/>
      <c r="P47" s="49"/>
      <c r="Q47" s="19"/>
      <c r="R47" s="20"/>
      <c r="S47" s="20"/>
      <c r="T47" s="20"/>
      <c r="U47" s="20"/>
      <c r="V47" s="21"/>
      <c r="W47" s="22"/>
      <c r="X47" s="22"/>
      <c r="Y47" s="22"/>
      <c r="Z47" s="22"/>
      <c r="AA47" s="19"/>
      <c r="AB47" s="20"/>
      <c r="AC47" s="20"/>
      <c r="AD47" s="20"/>
      <c r="AE47" s="20"/>
      <c r="AF47" s="21"/>
      <c r="AG47" s="22"/>
      <c r="AH47" s="22"/>
      <c r="AI47" s="22"/>
      <c r="AJ47" s="22"/>
      <c r="AK47" s="19"/>
      <c r="AL47" s="20"/>
      <c r="AM47" s="20"/>
      <c r="AN47" s="20"/>
      <c r="AO47" s="20"/>
      <c r="AP47" s="21"/>
      <c r="AQ47" s="22"/>
      <c r="AR47" s="22"/>
      <c r="AS47" s="22"/>
      <c r="AT47" s="22"/>
      <c r="AU47" s="19"/>
      <c r="AV47" s="20"/>
      <c r="AW47" s="20"/>
      <c r="AX47" s="20"/>
      <c r="AY47" s="20"/>
      <c r="AZ47" s="21"/>
      <c r="BA47" s="22"/>
      <c r="BB47" s="22"/>
      <c r="BC47" s="22"/>
      <c r="BD47" s="22"/>
      <c r="BE47" s="19"/>
      <c r="BF47" s="20"/>
      <c r="BG47" s="20"/>
      <c r="BH47" s="20"/>
      <c r="BI47" s="20"/>
      <c r="BJ47" s="21"/>
      <c r="BK47" s="22"/>
      <c r="BL47" s="22"/>
      <c r="BM47" s="22"/>
      <c r="BN47" s="22"/>
      <c r="BO47" s="19"/>
      <c r="BP47" s="20"/>
      <c r="BQ47" s="20"/>
      <c r="BR47" s="20"/>
      <c r="BS47" s="20"/>
      <c r="BT47" s="21"/>
      <c r="BU47" s="22"/>
      <c r="BV47" s="22"/>
      <c r="BW47" s="22"/>
      <c r="BX47" s="22"/>
      <c r="BY47" s="23"/>
      <c r="BZ47" s="24"/>
      <c r="CA47" s="24"/>
      <c r="CB47" s="24"/>
      <c r="CC47" s="24"/>
      <c r="CD47" s="25"/>
      <c r="CE47" s="26"/>
      <c r="CF47" s="26"/>
      <c r="CG47" s="26"/>
      <c r="CH47" s="26"/>
      <c r="CI47" s="27"/>
      <c r="CJ47" s="28"/>
      <c r="CK47" s="28"/>
      <c r="CL47" s="28"/>
      <c r="CM47" s="28"/>
      <c r="CN47" s="25"/>
      <c r="CO47" s="26"/>
      <c r="CP47" s="26"/>
      <c r="CQ47" s="26"/>
      <c r="CR47" s="26"/>
      <c r="CS47" s="27"/>
      <c r="CT47" s="28"/>
      <c r="CU47" s="28"/>
      <c r="CV47" s="28"/>
      <c r="CW47" s="28"/>
      <c r="CX47" s="25"/>
      <c r="CY47" s="26"/>
      <c r="CZ47" s="26"/>
      <c r="DA47" s="26"/>
      <c r="DB47" s="26"/>
      <c r="DC47" s="27"/>
      <c r="DD47" s="28"/>
      <c r="DE47" s="28"/>
      <c r="DF47" s="28"/>
      <c r="DG47" s="28"/>
      <c r="DH47" s="25"/>
      <c r="DI47" s="26"/>
      <c r="DJ47" s="26"/>
      <c r="DK47" s="26"/>
      <c r="DL47" s="26"/>
      <c r="DM47" s="27"/>
      <c r="DN47" s="28"/>
      <c r="DO47" s="28"/>
      <c r="DP47" s="28"/>
      <c r="DQ47" s="28"/>
      <c r="DR47" s="25"/>
      <c r="DS47" s="26"/>
      <c r="DT47" s="26"/>
      <c r="DU47" s="26"/>
      <c r="DV47" s="26"/>
      <c r="DW47" s="27"/>
      <c r="DX47" s="28"/>
      <c r="DY47" s="28"/>
      <c r="DZ47" s="28"/>
      <c r="EA47" s="28"/>
      <c r="EB47" s="29"/>
      <c r="EC47" s="30"/>
      <c r="ED47" s="30"/>
      <c r="EE47" s="30"/>
      <c r="EF47" s="30"/>
      <c r="EG47" s="31"/>
      <c r="EH47" s="32"/>
      <c r="EI47" s="32"/>
      <c r="EJ47" s="32"/>
      <c r="EK47" s="32"/>
      <c r="EL47" s="29"/>
      <c r="EM47" s="30"/>
      <c r="EN47" s="30"/>
      <c r="EO47" s="30"/>
      <c r="EP47" s="30"/>
      <c r="EQ47" s="31"/>
      <c r="ER47" s="32"/>
      <c r="ES47" s="32"/>
      <c r="ET47" s="32"/>
      <c r="EU47" s="32"/>
      <c r="EV47" s="29"/>
      <c r="EW47" s="30"/>
      <c r="EX47" s="30"/>
      <c r="EY47" s="30"/>
      <c r="EZ47" s="30"/>
      <c r="FA47" s="31"/>
      <c r="FB47" s="32"/>
      <c r="FC47" s="32"/>
      <c r="FD47" s="32"/>
      <c r="FE47" s="32"/>
      <c r="FF47" s="29"/>
      <c r="FG47" s="30"/>
      <c r="FH47" s="30"/>
      <c r="FI47" s="30"/>
      <c r="FJ47" s="30"/>
      <c r="FK47" s="31"/>
      <c r="FL47" s="32"/>
      <c r="FM47" s="32"/>
      <c r="FN47" s="32"/>
      <c r="FO47" s="32"/>
      <c r="FP47" s="29"/>
      <c r="FQ47" s="30"/>
      <c r="FR47" s="30"/>
      <c r="FS47" s="30"/>
      <c r="FT47" s="30"/>
      <c r="FU47" s="31"/>
      <c r="FV47" s="32"/>
      <c r="FW47" s="32"/>
      <c r="FX47" s="32"/>
      <c r="FY47" s="32"/>
      <c r="FZ47" s="29"/>
      <c r="GA47" s="30"/>
      <c r="GB47" s="30"/>
      <c r="GC47" s="30"/>
      <c r="GD47" s="30"/>
    </row>
    <row r="48" spans="1:186" ht="48" x14ac:dyDescent="0.25">
      <c r="A48" s="156">
        <v>39</v>
      </c>
      <c r="B48" s="395">
        <f>'Tier 3 Intervention'!B163</f>
        <v>0</v>
      </c>
      <c r="C48" s="395"/>
      <c r="D48" s="395"/>
      <c r="E48" s="395"/>
      <c r="F48" s="395"/>
      <c r="G48" s="395"/>
      <c r="H48" s="761"/>
      <c r="I48" s="761"/>
      <c r="J48" s="762"/>
      <c r="K48" s="395"/>
      <c r="L48" s="47" t="s">
        <v>825</v>
      </c>
      <c r="M48" s="46"/>
      <c r="N48" s="46"/>
      <c r="O48" s="46"/>
      <c r="P48" s="49"/>
      <c r="Q48" s="19"/>
      <c r="R48" s="20"/>
      <c r="S48" s="20"/>
      <c r="T48" s="20"/>
      <c r="U48" s="20"/>
      <c r="V48" s="21"/>
      <c r="W48" s="22"/>
      <c r="X48" s="22"/>
      <c r="Y48" s="22"/>
      <c r="Z48" s="22"/>
      <c r="AA48" s="19"/>
      <c r="AB48" s="20"/>
      <c r="AC48" s="20"/>
      <c r="AD48" s="20"/>
      <c r="AE48" s="20"/>
      <c r="AF48" s="21"/>
      <c r="AG48" s="22"/>
      <c r="AH48" s="22"/>
      <c r="AI48" s="22"/>
      <c r="AJ48" s="22"/>
      <c r="AK48" s="19"/>
      <c r="AL48" s="20"/>
      <c r="AM48" s="20"/>
      <c r="AN48" s="20"/>
      <c r="AO48" s="20"/>
      <c r="AP48" s="21"/>
      <c r="AQ48" s="22"/>
      <c r="AR48" s="22"/>
      <c r="AS48" s="22"/>
      <c r="AT48" s="22"/>
      <c r="AU48" s="19"/>
      <c r="AV48" s="20"/>
      <c r="AW48" s="20"/>
      <c r="AX48" s="20"/>
      <c r="AY48" s="20"/>
      <c r="AZ48" s="21"/>
      <c r="BA48" s="22"/>
      <c r="BB48" s="22"/>
      <c r="BC48" s="22"/>
      <c r="BD48" s="22"/>
      <c r="BE48" s="19"/>
      <c r="BF48" s="20"/>
      <c r="BG48" s="20"/>
      <c r="BH48" s="20"/>
      <c r="BI48" s="20"/>
      <c r="BJ48" s="21"/>
      <c r="BK48" s="22"/>
      <c r="BL48" s="22"/>
      <c r="BM48" s="22"/>
      <c r="BN48" s="22"/>
      <c r="BO48" s="19"/>
      <c r="BP48" s="20"/>
      <c r="BQ48" s="20"/>
      <c r="BR48" s="20"/>
      <c r="BS48" s="20"/>
      <c r="BT48" s="21"/>
      <c r="BU48" s="22"/>
      <c r="BV48" s="22"/>
      <c r="BW48" s="22"/>
      <c r="BX48" s="22"/>
      <c r="BY48" s="23"/>
      <c r="BZ48" s="24"/>
      <c r="CA48" s="24"/>
      <c r="CB48" s="24"/>
      <c r="CC48" s="24"/>
      <c r="CD48" s="25"/>
      <c r="CE48" s="26"/>
      <c r="CF48" s="26"/>
      <c r="CG48" s="26"/>
      <c r="CH48" s="26"/>
      <c r="CI48" s="27"/>
      <c r="CJ48" s="28"/>
      <c r="CK48" s="28"/>
      <c r="CL48" s="28"/>
      <c r="CM48" s="28"/>
      <c r="CN48" s="25"/>
      <c r="CO48" s="26"/>
      <c r="CP48" s="26"/>
      <c r="CQ48" s="26"/>
      <c r="CR48" s="26"/>
      <c r="CS48" s="27"/>
      <c r="CT48" s="28"/>
      <c r="CU48" s="28"/>
      <c r="CV48" s="28"/>
      <c r="CW48" s="28"/>
      <c r="CX48" s="25"/>
      <c r="CY48" s="26"/>
      <c r="CZ48" s="26"/>
      <c r="DA48" s="26"/>
      <c r="DB48" s="26"/>
      <c r="DC48" s="27"/>
      <c r="DD48" s="28"/>
      <c r="DE48" s="28"/>
      <c r="DF48" s="28"/>
      <c r="DG48" s="28"/>
      <c r="DH48" s="25"/>
      <c r="DI48" s="26"/>
      <c r="DJ48" s="26"/>
      <c r="DK48" s="26"/>
      <c r="DL48" s="26"/>
      <c r="DM48" s="27"/>
      <c r="DN48" s="28"/>
      <c r="DO48" s="28"/>
      <c r="DP48" s="28"/>
      <c r="DQ48" s="28"/>
      <c r="DR48" s="25"/>
      <c r="DS48" s="26"/>
      <c r="DT48" s="26"/>
      <c r="DU48" s="26"/>
      <c r="DV48" s="26"/>
      <c r="DW48" s="27"/>
      <c r="DX48" s="28"/>
      <c r="DY48" s="28"/>
      <c r="DZ48" s="28"/>
      <c r="EA48" s="28"/>
      <c r="EB48" s="29"/>
      <c r="EC48" s="30"/>
      <c r="ED48" s="30"/>
      <c r="EE48" s="30"/>
      <c r="EF48" s="30"/>
      <c r="EG48" s="31"/>
      <c r="EH48" s="32"/>
      <c r="EI48" s="32"/>
      <c r="EJ48" s="32"/>
      <c r="EK48" s="32"/>
      <c r="EL48" s="29"/>
      <c r="EM48" s="30"/>
      <c r="EN48" s="30"/>
      <c r="EO48" s="30"/>
      <c r="EP48" s="30"/>
      <c r="EQ48" s="31"/>
      <c r="ER48" s="32"/>
      <c r="ES48" s="32"/>
      <c r="ET48" s="32"/>
      <c r="EU48" s="32"/>
      <c r="EV48" s="29"/>
      <c r="EW48" s="30"/>
      <c r="EX48" s="30"/>
      <c r="EY48" s="30"/>
      <c r="EZ48" s="30"/>
      <c r="FA48" s="31"/>
      <c r="FB48" s="32"/>
      <c r="FC48" s="32"/>
      <c r="FD48" s="32"/>
      <c r="FE48" s="32"/>
      <c r="FF48" s="29"/>
      <c r="FG48" s="30"/>
      <c r="FH48" s="30"/>
      <c r="FI48" s="30"/>
      <c r="FJ48" s="30"/>
      <c r="FK48" s="31"/>
      <c r="FL48" s="32"/>
      <c r="FM48" s="32"/>
      <c r="FN48" s="32"/>
      <c r="FO48" s="32"/>
      <c r="FP48" s="29"/>
      <c r="FQ48" s="30"/>
      <c r="FR48" s="30"/>
      <c r="FS48" s="30"/>
      <c r="FT48" s="30"/>
      <c r="FU48" s="31"/>
      <c r="FV48" s="32"/>
      <c r="FW48" s="32"/>
      <c r="FX48" s="32"/>
      <c r="FY48" s="32"/>
      <c r="FZ48" s="29"/>
      <c r="GA48" s="30"/>
      <c r="GB48" s="30"/>
      <c r="GC48" s="30"/>
      <c r="GD48" s="30"/>
    </row>
    <row r="49" spans="1:186" ht="48" x14ac:dyDescent="0.25">
      <c r="A49" s="156">
        <v>40</v>
      </c>
      <c r="B49" s="395">
        <f>'Tier 3 Intervention'!B167</f>
        <v>0</v>
      </c>
      <c r="C49" s="395"/>
      <c r="D49" s="395"/>
      <c r="E49" s="395"/>
      <c r="F49" s="395"/>
      <c r="G49" s="395"/>
      <c r="H49" s="761"/>
      <c r="I49" s="761"/>
      <c r="J49" s="762"/>
      <c r="K49" s="395"/>
      <c r="L49" s="47" t="s">
        <v>826</v>
      </c>
      <c r="M49" s="46"/>
      <c r="N49" s="46"/>
      <c r="O49" s="46"/>
      <c r="P49" s="49"/>
      <c r="Q49" s="19"/>
      <c r="R49" s="20"/>
      <c r="S49" s="20"/>
      <c r="T49" s="20"/>
      <c r="U49" s="20"/>
      <c r="V49" s="21"/>
      <c r="W49" s="22"/>
      <c r="X49" s="22"/>
      <c r="Y49" s="22"/>
      <c r="Z49" s="22"/>
      <c r="AA49" s="19"/>
      <c r="AB49" s="20"/>
      <c r="AC49" s="20"/>
      <c r="AD49" s="20"/>
      <c r="AE49" s="20"/>
      <c r="AF49" s="21"/>
      <c r="AG49" s="22"/>
      <c r="AH49" s="22"/>
      <c r="AI49" s="22"/>
      <c r="AJ49" s="22"/>
      <c r="AK49" s="19"/>
      <c r="AL49" s="20"/>
      <c r="AM49" s="20"/>
      <c r="AN49" s="20"/>
      <c r="AO49" s="20"/>
      <c r="AP49" s="21"/>
      <c r="AQ49" s="22"/>
      <c r="AR49" s="22"/>
      <c r="AS49" s="22"/>
      <c r="AT49" s="22"/>
      <c r="AU49" s="19"/>
      <c r="AV49" s="20"/>
      <c r="AW49" s="20"/>
      <c r="AX49" s="20"/>
      <c r="AY49" s="20"/>
      <c r="AZ49" s="21"/>
      <c r="BA49" s="22"/>
      <c r="BB49" s="22"/>
      <c r="BC49" s="22"/>
      <c r="BD49" s="22"/>
      <c r="BE49" s="19"/>
      <c r="BF49" s="20"/>
      <c r="BG49" s="20"/>
      <c r="BH49" s="20"/>
      <c r="BI49" s="20"/>
      <c r="BJ49" s="21"/>
      <c r="BK49" s="22"/>
      <c r="BL49" s="22"/>
      <c r="BM49" s="22"/>
      <c r="BN49" s="22"/>
      <c r="BO49" s="19"/>
      <c r="BP49" s="20"/>
      <c r="BQ49" s="20"/>
      <c r="BR49" s="20"/>
      <c r="BS49" s="20"/>
      <c r="BT49" s="21"/>
      <c r="BU49" s="22"/>
      <c r="BV49" s="22"/>
      <c r="BW49" s="22"/>
      <c r="BX49" s="22"/>
      <c r="BY49" s="23"/>
      <c r="BZ49" s="24"/>
      <c r="CA49" s="24"/>
      <c r="CB49" s="24"/>
      <c r="CC49" s="24"/>
      <c r="CD49" s="25"/>
      <c r="CE49" s="26"/>
      <c r="CF49" s="26"/>
      <c r="CG49" s="26"/>
      <c r="CH49" s="26"/>
      <c r="CI49" s="27"/>
      <c r="CJ49" s="28"/>
      <c r="CK49" s="28"/>
      <c r="CL49" s="28"/>
      <c r="CM49" s="28"/>
      <c r="CN49" s="25"/>
      <c r="CO49" s="26"/>
      <c r="CP49" s="26"/>
      <c r="CQ49" s="26"/>
      <c r="CR49" s="26"/>
      <c r="CS49" s="27"/>
      <c r="CT49" s="28"/>
      <c r="CU49" s="28"/>
      <c r="CV49" s="28"/>
      <c r="CW49" s="28"/>
      <c r="CX49" s="25"/>
      <c r="CY49" s="26"/>
      <c r="CZ49" s="26"/>
      <c r="DA49" s="26"/>
      <c r="DB49" s="26"/>
      <c r="DC49" s="27"/>
      <c r="DD49" s="28"/>
      <c r="DE49" s="28"/>
      <c r="DF49" s="28"/>
      <c r="DG49" s="28"/>
      <c r="DH49" s="25"/>
      <c r="DI49" s="26"/>
      <c r="DJ49" s="26"/>
      <c r="DK49" s="26"/>
      <c r="DL49" s="26"/>
      <c r="DM49" s="27"/>
      <c r="DN49" s="28"/>
      <c r="DO49" s="28"/>
      <c r="DP49" s="28"/>
      <c r="DQ49" s="28"/>
      <c r="DR49" s="25"/>
      <c r="DS49" s="26"/>
      <c r="DT49" s="26"/>
      <c r="DU49" s="26"/>
      <c r="DV49" s="26"/>
      <c r="DW49" s="27"/>
      <c r="DX49" s="28"/>
      <c r="DY49" s="28"/>
      <c r="DZ49" s="28"/>
      <c r="EA49" s="28"/>
      <c r="EB49" s="29"/>
      <c r="EC49" s="30"/>
      <c r="ED49" s="30"/>
      <c r="EE49" s="30"/>
      <c r="EF49" s="30"/>
      <c r="EG49" s="31"/>
      <c r="EH49" s="32"/>
      <c r="EI49" s="32"/>
      <c r="EJ49" s="32"/>
      <c r="EK49" s="32"/>
      <c r="EL49" s="29"/>
      <c r="EM49" s="30"/>
      <c r="EN49" s="30"/>
      <c r="EO49" s="30"/>
      <c r="EP49" s="30"/>
      <c r="EQ49" s="31"/>
      <c r="ER49" s="32"/>
      <c r="ES49" s="32"/>
      <c r="ET49" s="32"/>
      <c r="EU49" s="32"/>
      <c r="EV49" s="29"/>
      <c r="EW49" s="30"/>
      <c r="EX49" s="30"/>
      <c r="EY49" s="30"/>
      <c r="EZ49" s="30"/>
      <c r="FA49" s="31"/>
      <c r="FB49" s="32"/>
      <c r="FC49" s="32"/>
      <c r="FD49" s="32"/>
      <c r="FE49" s="32"/>
      <c r="FF49" s="29"/>
      <c r="FG49" s="30"/>
      <c r="FH49" s="30"/>
      <c r="FI49" s="30"/>
      <c r="FJ49" s="30"/>
      <c r="FK49" s="31"/>
      <c r="FL49" s="32"/>
      <c r="FM49" s="32"/>
      <c r="FN49" s="32"/>
      <c r="FO49" s="32"/>
      <c r="FP49" s="29"/>
      <c r="FQ49" s="30"/>
      <c r="FR49" s="30"/>
      <c r="FS49" s="30"/>
      <c r="FT49" s="30"/>
      <c r="FU49" s="31"/>
      <c r="FV49" s="32"/>
      <c r="FW49" s="32"/>
      <c r="FX49" s="32"/>
      <c r="FY49" s="32"/>
      <c r="FZ49" s="29"/>
      <c r="GA49" s="30"/>
      <c r="GB49" s="30"/>
      <c r="GC49" s="30"/>
      <c r="GD49" s="30"/>
    </row>
    <row r="50" spans="1:186" ht="48" x14ac:dyDescent="0.25">
      <c r="A50" s="156">
        <v>41</v>
      </c>
      <c r="B50" s="395">
        <f>'Tier 3 Intervention'!B171</f>
        <v>0</v>
      </c>
      <c r="C50" s="395"/>
      <c r="D50" s="395"/>
      <c r="E50" s="395"/>
      <c r="F50" s="395"/>
      <c r="G50" s="395"/>
      <c r="H50" s="761"/>
      <c r="I50" s="761"/>
      <c r="J50" s="762"/>
      <c r="K50" s="395"/>
      <c r="L50" s="47" t="s">
        <v>827</v>
      </c>
      <c r="M50" s="46"/>
      <c r="N50" s="46"/>
      <c r="O50" s="46"/>
      <c r="P50" s="49"/>
      <c r="Q50" s="19"/>
      <c r="R50" s="20"/>
      <c r="S50" s="20"/>
      <c r="T50" s="20"/>
      <c r="U50" s="20"/>
      <c r="V50" s="21"/>
      <c r="W50" s="22"/>
      <c r="X50" s="22"/>
      <c r="Y50" s="22"/>
      <c r="Z50" s="22"/>
      <c r="AA50" s="19"/>
      <c r="AB50" s="20"/>
      <c r="AC50" s="20"/>
      <c r="AD50" s="20"/>
      <c r="AE50" s="20"/>
      <c r="AF50" s="21"/>
      <c r="AG50" s="22"/>
      <c r="AH50" s="22"/>
      <c r="AI50" s="22"/>
      <c r="AJ50" s="22"/>
      <c r="AK50" s="19"/>
      <c r="AL50" s="20"/>
      <c r="AM50" s="20"/>
      <c r="AN50" s="20"/>
      <c r="AO50" s="20"/>
      <c r="AP50" s="21"/>
      <c r="AQ50" s="22"/>
      <c r="AR50" s="22"/>
      <c r="AS50" s="22"/>
      <c r="AT50" s="22"/>
      <c r="AU50" s="19"/>
      <c r="AV50" s="20"/>
      <c r="AW50" s="20"/>
      <c r="AX50" s="20"/>
      <c r="AY50" s="20"/>
      <c r="AZ50" s="21"/>
      <c r="BA50" s="22"/>
      <c r="BB50" s="22"/>
      <c r="BC50" s="22"/>
      <c r="BD50" s="22"/>
      <c r="BE50" s="19"/>
      <c r="BF50" s="20"/>
      <c r="BG50" s="20"/>
      <c r="BH50" s="20"/>
      <c r="BI50" s="20"/>
      <c r="BJ50" s="21"/>
      <c r="BK50" s="22"/>
      <c r="BL50" s="22"/>
      <c r="BM50" s="22"/>
      <c r="BN50" s="22"/>
      <c r="BO50" s="19"/>
      <c r="BP50" s="20"/>
      <c r="BQ50" s="20"/>
      <c r="BR50" s="20"/>
      <c r="BS50" s="20"/>
      <c r="BT50" s="21"/>
      <c r="BU50" s="22"/>
      <c r="BV50" s="22"/>
      <c r="BW50" s="22"/>
      <c r="BX50" s="22"/>
      <c r="BY50" s="23"/>
      <c r="BZ50" s="24"/>
      <c r="CA50" s="24"/>
      <c r="CB50" s="24"/>
      <c r="CC50" s="24"/>
      <c r="CD50" s="25"/>
      <c r="CE50" s="26"/>
      <c r="CF50" s="26"/>
      <c r="CG50" s="26"/>
      <c r="CH50" s="26"/>
      <c r="CI50" s="27"/>
      <c r="CJ50" s="28"/>
      <c r="CK50" s="28"/>
      <c r="CL50" s="28"/>
      <c r="CM50" s="28"/>
      <c r="CN50" s="25"/>
      <c r="CO50" s="26"/>
      <c r="CP50" s="26"/>
      <c r="CQ50" s="26"/>
      <c r="CR50" s="26"/>
      <c r="CS50" s="27"/>
      <c r="CT50" s="28"/>
      <c r="CU50" s="28"/>
      <c r="CV50" s="28"/>
      <c r="CW50" s="28"/>
      <c r="CX50" s="25"/>
      <c r="CY50" s="26"/>
      <c r="CZ50" s="26"/>
      <c r="DA50" s="26"/>
      <c r="DB50" s="26"/>
      <c r="DC50" s="27"/>
      <c r="DD50" s="28"/>
      <c r="DE50" s="28"/>
      <c r="DF50" s="28"/>
      <c r="DG50" s="28"/>
      <c r="DH50" s="25"/>
      <c r="DI50" s="26"/>
      <c r="DJ50" s="26"/>
      <c r="DK50" s="26"/>
      <c r="DL50" s="26"/>
      <c r="DM50" s="27"/>
      <c r="DN50" s="28"/>
      <c r="DO50" s="28"/>
      <c r="DP50" s="28"/>
      <c r="DQ50" s="28"/>
      <c r="DR50" s="25"/>
      <c r="DS50" s="26"/>
      <c r="DT50" s="26"/>
      <c r="DU50" s="26"/>
      <c r="DV50" s="26"/>
      <c r="DW50" s="27"/>
      <c r="DX50" s="28"/>
      <c r="DY50" s="28"/>
      <c r="DZ50" s="28"/>
      <c r="EA50" s="28"/>
      <c r="EB50" s="29"/>
      <c r="EC50" s="30"/>
      <c r="ED50" s="30"/>
      <c r="EE50" s="30"/>
      <c r="EF50" s="30"/>
      <c r="EG50" s="31"/>
      <c r="EH50" s="32"/>
      <c r="EI50" s="32"/>
      <c r="EJ50" s="32"/>
      <c r="EK50" s="32"/>
      <c r="EL50" s="29"/>
      <c r="EM50" s="30"/>
      <c r="EN50" s="30"/>
      <c r="EO50" s="30"/>
      <c r="EP50" s="30"/>
      <c r="EQ50" s="31"/>
      <c r="ER50" s="32"/>
      <c r="ES50" s="32"/>
      <c r="ET50" s="32"/>
      <c r="EU50" s="32"/>
      <c r="EV50" s="29"/>
      <c r="EW50" s="30"/>
      <c r="EX50" s="30"/>
      <c r="EY50" s="30"/>
      <c r="EZ50" s="30"/>
      <c r="FA50" s="31"/>
      <c r="FB50" s="32"/>
      <c r="FC50" s="32"/>
      <c r="FD50" s="32"/>
      <c r="FE50" s="32"/>
      <c r="FF50" s="29"/>
      <c r="FG50" s="30"/>
      <c r="FH50" s="30"/>
      <c r="FI50" s="30"/>
      <c r="FJ50" s="30"/>
      <c r="FK50" s="31"/>
      <c r="FL50" s="32"/>
      <c r="FM50" s="32"/>
      <c r="FN50" s="32"/>
      <c r="FO50" s="32"/>
      <c r="FP50" s="29"/>
      <c r="FQ50" s="30"/>
      <c r="FR50" s="30"/>
      <c r="FS50" s="30"/>
      <c r="FT50" s="30"/>
      <c r="FU50" s="31"/>
      <c r="FV50" s="32"/>
      <c r="FW50" s="32"/>
      <c r="FX50" s="32"/>
      <c r="FY50" s="32"/>
      <c r="FZ50" s="29"/>
      <c r="GA50" s="30"/>
      <c r="GB50" s="30"/>
      <c r="GC50" s="30"/>
      <c r="GD50" s="30"/>
    </row>
    <row r="51" spans="1:186" ht="48" x14ac:dyDescent="0.25">
      <c r="A51" s="156">
        <v>42</v>
      </c>
      <c r="B51" s="395">
        <f>'Tier 3 Intervention'!B175</f>
        <v>0</v>
      </c>
      <c r="C51" s="395"/>
      <c r="D51" s="395"/>
      <c r="E51" s="395"/>
      <c r="F51" s="395"/>
      <c r="G51" s="395"/>
      <c r="H51" s="761"/>
      <c r="I51" s="761"/>
      <c r="J51" s="762"/>
      <c r="K51" s="395"/>
      <c r="L51" s="47" t="s">
        <v>828</v>
      </c>
      <c r="M51" s="46"/>
      <c r="N51" s="46"/>
      <c r="O51" s="46"/>
      <c r="P51" s="49"/>
      <c r="Q51" s="19"/>
      <c r="R51" s="20"/>
      <c r="S51" s="20"/>
      <c r="T51" s="20"/>
      <c r="U51" s="20"/>
      <c r="V51" s="21"/>
      <c r="W51" s="22"/>
      <c r="X51" s="22"/>
      <c r="Y51" s="22"/>
      <c r="Z51" s="22"/>
      <c r="AA51" s="19"/>
      <c r="AB51" s="20"/>
      <c r="AC51" s="20"/>
      <c r="AD51" s="20"/>
      <c r="AE51" s="20"/>
      <c r="AF51" s="21"/>
      <c r="AG51" s="22"/>
      <c r="AH51" s="22"/>
      <c r="AI51" s="22"/>
      <c r="AJ51" s="22"/>
      <c r="AK51" s="19"/>
      <c r="AL51" s="20"/>
      <c r="AM51" s="20"/>
      <c r="AN51" s="20"/>
      <c r="AO51" s="20"/>
      <c r="AP51" s="21"/>
      <c r="AQ51" s="22"/>
      <c r="AR51" s="22"/>
      <c r="AS51" s="22"/>
      <c r="AT51" s="22"/>
      <c r="AU51" s="19"/>
      <c r="AV51" s="20"/>
      <c r="AW51" s="20"/>
      <c r="AX51" s="20"/>
      <c r="AY51" s="20"/>
      <c r="AZ51" s="21"/>
      <c r="BA51" s="22"/>
      <c r="BB51" s="22"/>
      <c r="BC51" s="22"/>
      <c r="BD51" s="22"/>
      <c r="BE51" s="19"/>
      <c r="BF51" s="20"/>
      <c r="BG51" s="20"/>
      <c r="BH51" s="20"/>
      <c r="BI51" s="20"/>
      <c r="BJ51" s="21"/>
      <c r="BK51" s="22"/>
      <c r="BL51" s="22"/>
      <c r="BM51" s="22"/>
      <c r="BN51" s="22"/>
      <c r="BO51" s="19"/>
      <c r="BP51" s="20"/>
      <c r="BQ51" s="20"/>
      <c r="BR51" s="20"/>
      <c r="BS51" s="20"/>
      <c r="BT51" s="21"/>
      <c r="BU51" s="22"/>
      <c r="BV51" s="22"/>
      <c r="BW51" s="22"/>
      <c r="BX51" s="22"/>
      <c r="BY51" s="23"/>
      <c r="BZ51" s="24"/>
      <c r="CA51" s="24"/>
      <c r="CB51" s="24"/>
      <c r="CC51" s="24"/>
      <c r="CD51" s="25"/>
      <c r="CE51" s="26"/>
      <c r="CF51" s="26"/>
      <c r="CG51" s="26"/>
      <c r="CH51" s="26"/>
      <c r="CI51" s="27"/>
      <c r="CJ51" s="28"/>
      <c r="CK51" s="28"/>
      <c r="CL51" s="28"/>
      <c r="CM51" s="28"/>
      <c r="CN51" s="25"/>
      <c r="CO51" s="26"/>
      <c r="CP51" s="26"/>
      <c r="CQ51" s="26"/>
      <c r="CR51" s="26"/>
      <c r="CS51" s="27"/>
      <c r="CT51" s="28"/>
      <c r="CU51" s="28"/>
      <c r="CV51" s="28"/>
      <c r="CW51" s="28"/>
      <c r="CX51" s="25"/>
      <c r="CY51" s="26"/>
      <c r="CZ51" s="26"/>
      <c r="DA51" s="26"/>
      <c r="DB51" s="26"/>
      <c r="DC51" s="27"/>
      <c r="DD51" s="28"/>
      <c r="DE51" s="28"/>
      <c r="DF51" s="28"/>
      <c r="DG51" s="28"/>
      <c r="DH51" s="25"/>
      <c r="DI51" s="26"/>
      <c r="DJ51" s="26"/>
      <c r="DK51" s="26"/>
      <c r="DL51" s="26"/>
      <c r="DM51" s="27"/>
      <c r="DN51" s="28"/>
      <c r="DO51" s="28"/>
      <c r="DP51" s="28"/>
      <c r="DQ51" s="28"/>
      <c r="DR51" s="25"/>
      <c r="DS51" s="26"/>
      <c r="DT51" s="26"/>
      <c r="DU51" s="26"/>
      <c r="DV51" s="26"/>
      <c r="DW51" s="27"/>
      <c r="DX51" s="28"/>
      <c r="DY51" s="28"/>
      <c r="DZ51" s="28"/>
      <c r="EA51" s="28"/>
      <c r="EB51" s="29"/>
      <c r="EC51" s="30"/>
      <c r="ED51" s="30"/>
      <c r="EE51" s="30"/>
      <c r="EF51" s="30"/>
      <c r="EG51" s="31"/>
      <c r="EH51" s="32"/>
      <c r="EI51" s="32"/>
      <c r="EJ51" s="32"/>
      <c r="EK51" s="32"/>
      <c r="EL51" s="29"/>
      <c r="EM51" s="30"/>
      <c r="EN51" s="30"/>
      <c r="EO51" s="30"/>
      <c r="EP51" s="30"/>
      <c r="EQ51" s="31"/>
      <c r="ER51" s="32"/>
      <c r="ES51" s="32"/>
      <c r="ET51" s="32"/>
      <c r="EU51" s="32"/>
      <c r="EV51" s="29"/>
      <c r="EW51" s="30"/>
      <c r="EX51" s="30"/>
      <c r="EY51" s="30"/>
      <c r="EZ51" s="30"/>
      <c r="FA51" s="31"/>
      <c r="FB51" s="32"/>
      <c r="FC51" s="32"/>
      <c r="FD51" s="32"/>
      <c r="FE51" s="32"/>
      <c r="FF51" s="29"/>
      <c r="FG51" s="30"/>
      <c r="FH51" s="30"/>
      <c r="FI51" s="30"/>
      <c r="FJ51" s="30"/>
      <c r="FK51" s="31"/>
      <c r="FL51" s="32"/>
      <c r="FM51" s="32"/>
      <c r="FN51" s="32"/>
      <c r="FO51" s="32"/>
      <c r="FP51" s="29"/>
      <c r="FQ51" s="30"/>
      <c r="FR51" s="30"/>
      <c r="FS51" s="30"/>
      <c r="FT51" s="30"/>
      <c r="FU51" s="31"/>
      <c r="FV51" s="32"/>
      <c r="FW51" s="32"/>
      <c r="FX51" s="32"/>
      <c r="FY51" s="32"/>
      <c r="FZ51" s="29"/>
      <c r="GA51" s="30"/>
      <c r="GB51" s="30"/>
      <c r="GC51" s="30"/>
      <c r="GD51" s="30"/>
    </row>
    <row r="52" spans="1:186" ht="48" x14ac:dyDescent="0.25">
      <c r="A52" s="156">
        <v>43</v>
      </c>
      <c r="B52" s="395">
        <f>'Tier 3 Intervention'!B179</f>
        <v>0</v>
      </c>
      <c r="C52" s="395"/>
      <c r="D52" s="395"/>
      <c r="E52" s="395"/>
      <c r="F52" s="395"/>
      <c r="G52" s="395"/>
      <c r="H52" s="761"/>
      <c r="I52" s="761"/>
      <c r="J52" s="762"/>
      <c r="K52" s="395"/>
      <c r="L52" s="47" t="s">
        <v>829</v>
      </c>
      <c r="M52" s="46"/>
      <c r="N52" s="46"/>
      <c r="O52" s="46"/>
      <c r="P52" s="49"/>
      <c r="Q52" s="19"/>
      <c r="R52" s="20"/>
      <c r="S52" s="20"/>
      <c r="T52" s="20"/>
      <c r="U52" s="20"/>
      <c r="V52" s="21"/>
      <c r="W52" s="22"/>
      <c r="X52" s="22"/>
      <c r="Y52" s="22"/>
      <c r="Z52" s="22"/>
      <c r="AA52" s="19"/>
      <c r="AB52" s="20"/>
      <c r="AC52" s="20"/>
      <c r="AD52" s="20"/>
      <c r="AE52" s="20"/>
      <c r="AF52" s="21"/>
      <c r="AG52" s="22"/>
      <c r="AH52" s="22"/>
      <c r="AI52" s="22"/>
      <c r="AJ52" s="22"/>
      <c r="AK52" s="19"/>
      <c r="AL52" s="20"/>
      <c r="AM52" s="20"/>
      <c r="AN52" s="20"/>
      <c r="AO52" s="20"/>
      <c r="AP52" s="21"/>
      <c r="AQ52" s="22"/>
      <c r="AR52" s="22"/>
      <c r="AS52" s="22"/>
      <c r="AT52" s="22"/>
      <c r="AU52" s="19"/>
      <c r="AV52" s="20"/>
      <c r="AW52" s="20"/>
      <c r="AX52" s="20"/>
      <c r="AY52" s="20"/>
      <c r="AZ52" s="21"/>
      <c r="BA52" s="22"/>
      <c r="BB52" s="22"/>
      <c r="BC52" s="22"/>
      <c r="BD52" s="22"/>
      <c r="BE52" s="19"/>
      <c r="BF52" s="20"/>
      <c r="BG52" s="20"/>
      <c r="BH52" s="20"/>
      <c r="BI52" s="20"/>
      <c r="BJ52" s="21"/>
      <c r="BK52" s="22"/>
      <c r="BL52" s="22"/>
      <c r="BM52" s="22"/>
      <c r="BN52" s="22"/>
      <c r="BO52" s="19"/>
      <c r="BP52" s="20"/>
      <c r="BQ52" s="20"/>
      <c r="BR52" s="20"/>
      <c r="BS52" s="20"/>
      <c r="BT52" s="21"/>
      <c r="BU52" s="22"/>
      <c r="BV52" s="22"/>
      <c r="BW52" s="22"/>
      <c r="BX52" s="22"/>
      <c r="BY52" s="23"/>
      <c r="BZ52" s="24"/>
      <c r="CA52" s="24"/>
      <c r="CB52" s="24"/>
      <c r="CC52" s="24"/>
      <c r="CD52" s="25"/>
      <c r="CE52" s="26"/>
      <c r="CF52" s="26"/>
      <c r="CG52" s="26"/>
      <c r="CH52" s="26"/>
      <c r="CI52" s="27"/>
      <c r="CJ52" s="28"/>
      <c r="CK52" s="28"/>
      <c r="CL52" s="28"/>
      <c r="CM52" s="28"/>
      <c r="CN52" s="25"/>
      <c r="CO52" s="26"/>
      <c r="CP52" s="26"/>
      <c r="CQ52" s="26"/>
      <c r="CR52" s="26"/>
      <c r="CS52" s="27"/>
      <c r="CT52" s="28"/>
      <c r="CU52" s="28"/>
      <c r="CV52" s="28"/>
      <c r="CW52" s="28"/>
      <c r="CX52" s="25"/>
      <c r="CY52" s="26"/>
      <c r="CZ52" s="26"/>
      <c r="DA52" s="26"/>
      <c r="DB52" s="26"/>
      <c r="DC52" s="27"/>
      <c r="DD52" s="28"/>
      <c r="DE52" s="28"/>
      <c r="DF52" s="28"/>
      <c r="DG52" s="28"/>
      <c r="DH52" s="25"/>
      <c r="DI52" s="26"/>
      <c r="DJ52" s="26"/>
      <c r="DK52" s="26"/>
      <c r="DL52" s="26"/>
      <c r="DM52" s="27"/>
      <c r="DN52" s="28"/>
      <c r="DO52" s="28"/>
      <c r="DP52" s="28"/>
      <c r="DQ52" s="28"/>
      <c r="DR52" s="25"/>
      <c r="DS52" s="26"/>
      <c r="DT52" s="26"/>
      <c r="DU52" s="26"/>
      <c r="DV52" s="26"/>
      <c r="DW52" s="27"/>
      <c r="DX52" s="28"/>
      <c r="DY52" s="28"/>
      <c r="DZ52" s="28"/>
      <c r="EA52" s="28"/>
      <c r="EB52" s="29"/>
      <c r="EC52" s="30"/>
      <c r="ED52" s="30"/>
      <c r="EE52" s="30"/>
      <c r="EF52" s="30"/>
      <c r="EG52" s="31"/>
      <c r="EH52" s="32"/>
      <c r="EI52" s="32"/>
      <c r="EJ52" s="32"/>
      <c r="EK52" s="32"/>
      <c r="EL52" s="29"/>
      <c r="EM52" s="30"/>
      <c r="EN52" s="30"/>
      <c r="EO52" s="30"/>
      <c r="EP52" s="30"/>
      <c r="EQ52" s="31"/>
      <c r="ER52" s="32"/>
      <c r="ES52" s="32"/>
      <c r="ET52" s="32"/>
      <c r="EU52" s="32"/>
      <c r="EV52" s="29"/>
      <c r="EW52" s="30"/>
      <c r="EX52" s="30"/>
      <c r="EY52" s="30"/>
      <c r="EZ52" s="30"/>
      <c r="FA52" s="31"/>
      <c r="FB52" s="32"/>
      <c r="FC52" s="32"/>
      <c r="FD52" s="32"/>
      <c r="FE52" s="32"/>
      <c r="FF52" s="29"/>
      <c r="FG52" s="30"/>
      <c r="FH52" s="30"/>
      <c r="FI52" s="30"/>
      <c r="FJ52" s="30"/>
      <c r="FK52" s="31"/>
      <c r="FL52" s="32"/>
      <c r="FM52" s="32"/>
      <c r="FN52" s="32"/>
      <c r="FO52" s="32"/>
      <c r="FP52" s="29"/>
      <c r="FQ52" s="30"/>
      <c r="FR52" s="30"/>
      <c r="FS52" s="30"/>
      <c r="FT52" s="30"/>
      <c r="FU52" s="31"/>
      <c r="FV52" s="32"/>
      <c r="FW52" s="32"/>
      <c r="FX52" s="32"/>
      <c r="FY52" s="32"/>
      <c r="FZ52" s="29"/>
      <c r="GA52" s="30"/>
      <c r="GB52" s="30"/>
      <c r="GC52" s="30"/>
      <c r="GD52" s="30"/>
    </row>
    <row r="53" spans="1:186" ht="48" x14ac:dyDescent="0.25">
      <c r="A53" s="156">
        <v>44</v>
      </c>
      <c r="B53" s="395">
        <f>'Tier 3 Intervention'!B183</f>
        <v>0</v>
      </c>
      <c r="C53" s="395"/>
      <c r="D53" s="395"/>
      <c r="E53" s="395"/>
      <c r="F53" s="395"/>
      <c r="G53" s="395"/>
      <c r="H53" s="761"/>
      <c r="I53" s="761"/>
      <c r="J53" s="762"/>
      <c r="K53" s="395"/>
      <c r="L53" s="47" t="s">
        <v>830</v>
      </c>
      <c r="M53" s="46"/>
      <c r="N53" s="46"/>
      <c r="O53" s="46"/>
      <c r="P53" s="49"/>
      <c r="Q53" s="19"/>
      <c r="R53" s="20"/>
      <c r="S53" s="20"/>
      <c r="T53" s="20"/>
      <c r="U53" s="20"/>
      <c r="V53" s="21"/>
      <c r="W53" s="22"/>
      <c r="X53" s="22"/>
      <c r="Y53" s="22"/>
      <c r="Z53" s="22"/>
      <c r="AA53" s="19"/>
      <c r="AB53" s="20"/>
      <c r="AC53" s="20"/>
      <c r="AD53" s="20"/>
      <c r="AE53" s="20"/>
      <c r="AF53" s="21"/>
      <c r="AG53" s="22"/>
      <c r="AH53" s="22"/>
      <c r="AI53" s="22"/>
      <c r="AJ53" s="22"/>
      <c r="AK53" s="19"/>
      <c r="AL53" s="20"/>
      <c r="AM53" s="20"/>
      <c r="AN53" s="20"/>
      <c r="AO53" s="20"/>
      <c r="AP53" s="21"/>
      <c r="AQ53" s="22"/>
      <c r="AR53" s="22"/>
      <c r="AS53" s="22"/>
      <c r="AT53" s="22"/>
      <c r="AU53" s="19"/>
      <c r="AV53" s="20"/>
      <c r="AW53" s="20"/>
      <c r="AX53" s="20"/>
      <c r="AY53" s="20"/>
      <c r="AZ53" s="21"/>
      <c r="BA53" s="22"/>
      <c r="BB53" s="22"/>
      <c r="BC53" s="22"/>
      <c r="BD53" s="22"/>
      <c r="BE53" s="19"/>
      <c r="BF53" s="20"/>
      <c r="BG53" s="20"/>
      <c r="BH53" s="20"/>
      <c r="BI53" s="20"/>
      <c r="BJ53" s="21"/>
      <c r="BK53" s="22"/>
      <c r="BL53" s="22"/>
      <c r="BM53" s="22"/>
      <c r="BN53" s="22"/>
      <c r="BO53" s="19"/>
      <c r="BP53" s="20"/>
      <c r="BQ53" s="20"/>
      <c r="BR53" s="20"/>
      <c r="BS53" s="20"/>
      <c r="BT53" s="21"/>
      <c r="BU53" s="22"/>
      <c r="BV53" s="22"/>
      <c r="BW53" s="22"/>
      <c r="BX53" s="22"/>
      <c r="BY53" s="23"/>
      <c r="BZ53" s="24"/>
      <c r="CA53" s="24"/>
      <c r="CB53" s="24"/>
      <c r="CC53" s="24"/>
      <c r="CD53" s="25"/>
      <c r="CE53" s="26"/>
      <c r="CF53" s="26"/>
      <c r="CG53" s="26"/>
      <c r="CH53" s="26"/>
      <c r="CI53" s="27"/>
      <c r="CJ53" s="28"/>
      <c r="CK53" s="28"/>
      <c r="CL53" s="28"/>
      <c r="CM53" s="28"/>
      <c r="CN53" s="25"/>
      <c r="CO53" s="26"/>
      <c r="CP53" s="26"/>
      <c r="CQ53" s="26"/>
      <c r="CR53" s="26"/>
      <c r="CS53" s="27"/>
      <c r="CT53" s="28"/>
      <c r="CU53" s="28"/>
      <c r="CV53" s="28"/>
      <c r="CW53" s="28"/>
      <c r="CX53" s="25"/>
      <c r="CY53" s="26"/>
      <c r="CZ53" s="26"/>
      <c r="DA53" s="26"/>
      <c r="DB53" s="26"/>
      <c r="DC53" s="27"/>
      <c r="DD53" s="28"/>
      <c r="DE53" s="28"/>
      <c r="DF53" s="28"/>
      <c r="DG53" s="28"/>
      <c r="DH53" s="25"/>
      <c r="DI53" s="26"/>
      <c r="DJ53" s="26"/>
      <c r="DK53" s="26"/>
      <c r="DL53" s="26"/>
      <c r="DM53" s="27"/>
      <c r="DN53" s="28"/>
      <c r="DO53" s="28"/>
      <c r="DP53" s="28"/>
      <c r="DQ53" s="28"/>
      <c r="DR53" s="25"/>
      <c r="DS53" s="26"/>
      <c r="DT53" s="26"/>
      <c r="DU53" s="26"/>
      <c r="DV53" s="26"/>
      <c r="DW53" s="27"/>
      <c r="DX53" s="28"/>
      <c r="DY53" s="28"/>
      <c r="DZ53" s="28"/>
      <c r="EA53" s="28"/>
      <c r="EB53" s="29"/>
      <c r="EC53" s="30"/>
      <c r="ED53" s="30"/>
      <c r="EE53" s="30"/>
      <c r="EF53" s="30"/>
      <c r="EG53" s="31"/>
      <c r="EH53" s="32"/>
      <c r="EI53" s="32"/>
      <c r="EJ53" s="32"/>
      <c r="EK53" s="32"/>
      <c r="EL53" s="29"/>
      <c r="EM53" s="30"/>
      <c r="EN53" s="30"/>
      <c r="EO53" s="30"/>
      <c r="EP53" s="30"/>
      <c r="EQ53" s="31"/>
      <c r="ER53" s="32"/>
      <c r="ES53" s="32"/>
      <c r="ET53" s="32"/>
      <c r="EU53" s="32"/>
      <c r="EV53" s="29"/>
      <c r="EW53" s="30"/>
      <c r="EX53" s="30"/>
      <c r="EY53" s="30"/>
      <c r="EZ53" s="30"/>
      <c r="FA53" s="31"/>
      <c r="FB53" s="32"/>
      <c r="FC53" s="32"/>
      <c r="FD53" s="32"/>
      <c r="FE53" s="32"/>
      <c r="FF53" s="29"/>
      <c r="FG53" s="30"/>
      <c r="FH53" s="30"/>
      <c r="FI53" s="30"/>
      <c r="FJ53" s="30"/>
      <c r="FK53" s="31"/>
      <c r="FL53" s="32"/>
      <c r="FM53" s="32"/>
      <c r="FN53" s="32"/>
      <c r="FO53" s="32"/>
      <c r="FP53" s="29"/>
      <c r="FQ53" s="30"/>
      <c r="FR53" s="30"/>
      <c r="FS53" s="30"/>
      <c r="FT53" s="30"/>
      <c r="FU53" s="31"/>
      <c r="FV53" s="32"/>
      <c r="FW53" s="32"/>
      <c r="FX53" s="32"/>
      <c r="FY53" s="32"/>
      <c r="FZ53" s="29"/>
      <c r="GA53" s="30"/>
      <c r="GB53" s="30"/>
      <c r="GC53" s="30"/>
      <c r="GD53" s="30"/>
    </row>
    <row r="54" spans="1:186" ht="48" x14ac:dyDescent="0.25">
      <c r="A54" s="156">
        <v>45</v>
      </c>
      <c r="B54" s="395">
        <f>'Tier 3 Intervention'!B187</f>
        <v>0</v>
      </c>
      <c r="C54" s="395"/>
      <c r="D54" s="395"/>
      <c r="E54" s="395"/>
      <c r="F54" s="395"/>
      <c r="G54" s="395"/>
      <c r="H54" s="761" t="e">
        <f>'Tier 3 Intervention'!AA187+30</f>
        <v>#VALUE!</v>
      </c>
      <c r="I54" s="761"/>
      <c r="J54" s="762" t="e">
        <f t="shared" si="1"/>
        <v>#VALUE!</v>
      </c>
      <c r="K54" s="395"/>
      <c r="L54" s="47" t="s">
        <v>831</v>
      </c>
      <c r="M54" s="46"/>
      <c r="N54" s="46"/>
      <c r="O54" s="46"/>
      <c r="P54" s="49"/>
      <c r="Q54" s="19"/>
      <c r="R54" s="20"/>
      <c r="S54" s="20"/>
      <c r="T54" s="20"/>
      <c r="U54" s="20"/>
      <c r="V54" s="21"/>
      <c r="W54" s="22"/>
      <c r="X54" s="22"/>
      <c r="Y54" s="22"/>
      <c r="Z54" s="22"/>
      <c r="AA54" s="19"/>
      <c r="AB54" s="20"/>
      <c r="AC54" s="20"/>
      <c r="AD54" s="20"/>
      <c r="AE54" s="20"/>
      <c r="AF54" s="21"/>
      <c r="AG54" s="22"/>
      <c r="AH54" s="22"/>
      <c r="AI54" s="22"/>
      <c r="AJ54" s="22"/>
      <c r="AK54" s="19"/>
      <c r="AL54" s="20"/>
      <c r="AM54" s="20"/>
      <c r="AN54" s="20"/>
      <c r="AO54" s="20"/>
      <c r="AP54" s="21"/>
      <c r="AQ54" s="22"/>
      <c r="AR54" s="22"/>
      <c r="AS54" s="22"/>
      <c r="AT54" s="22"/>
      <c r="AU54" s="19"/>
      <c r="AV54" s="20"/>
      <c r="AW54" s="20"/>
      <c r="AX54" s="20"/>
      <c r="AY54" s="20"/>
      <c r="AZ54" s="21"/>
      <c r="BA54" s="22"/>
      <c r="BB54" s="22"/>
      <c r="BC54" s="22"/>
      <c r="BD54" s="22"/>
      <c r="BE54" s="19"/>
      <c r="BF54" s="20"/>
      <c r="BG54" s="20"/>
      <c r="BH54" s="20"/>
      <c r="BI54" s="20"/>
      <c r="BJ54" s="21"/>
      <c r="BK54" s="22"/>
      <c r="BL54" s="22"/>
      <c r="BM54" s="22"/>
      <c r="BN54" s="22"/>
      <c r="BO54" s="19"/>
      <c r="BP54" s="20"/>
      <c r="BQ54" s="20"/>
      <c r="BR54" s="20"/>
      <c r="BS54" s="20"/>
      <c r="BT54" s="21"/>
      <c r="BU54" s="22"/>
      <c r="BV54" s="22"/>
      <c r="BW54" s="22"/>
      <c r="BX54" s="22"/>
      <c r="BY54" s="23"/>
      <c r="BZ54" s="24"/>
      <c r="CA54" s="24"/>
      <c r="CB54" s="24"/>
      <c r="CC54" s="24"/>
      <c r="CD54" s="25"/>
      <c r="CE54" s="26"/>
      <c r="CF54" s="26"/>
      <c r="CG54" s="26"/>
      <c r="CH54" s="26"/>
      <c r="CI54" s="27"/>
      <c r="CJ54" s="28"/>
      <c r="CK54" s="28"/>
      <c r="CL54" s="28"/>
      <c r="CM54" s="28"/>
      <c r="CN54" s="25"/>
      <c r="CO54" s="26"/>
      <c r="CP54" s="26"/>
      <c r="CQ54" s="26"/>
      <c r="CR54" s="26"/>
      <c r="CS54" s="27"/>
      <c r="CT54" s="28"/>
      <c r="CU54" s="28"/>
      <c r="CV54" s="28"/>
      <c r="CW54" s="28"/>
      <c r="CX54" s="25"/>
      <c r="CY54" s="26"/>
      <c r="CZ54" s="26"/>
      <c r="DA54" s="26"/>
      <c r="DB54" s="26"/>
      <c r="DC54" s="27"/>
      <c r="DD54" s="28"/>
      <c r="DE54" s="28"/>
      <c r="DF54" s="28"/>
      <c r="DG54" s="28"/>
      <c r="DH54" s="25"/>
      <c r="DI54" s="26"/>
      <c r="DJ54" s="26"/>
      <c r="DK54" s="26"/>
      <c r="DL54" s="26"/>
      <c r="DM54" s="27"/>
      <c r="DN54" s="28"/>
      <c r="DO54" s="28"/>
      <c r="DP54" s="28"/>
      <c r="DQ54" s="28"/>
      <c r="DR54" s="25"/>
      <c r="DS54" s="26"/>
      <c r="DT54" s="26"/>
      <c r="DU54" s="26"/>
      <c r="DV54" s="26"/>
      <c r="DW54" s="27"/>
      <c r="DX54" s="28"/>
      <c r="DY54" s="28"/>
      <c r="DZ54" s="28"/>
      <c r="EA54" s="28"/>
      <c r="EB54" s="29"/>
      <c r="EC54" s="30"/>
      <c r="ED54" s="30"/>
      <c r="EE54" s="30"/>
      <c r="EF54" s="30"/>
      <c r="EG54" s="31"/>
      <c r="EH54" s="32"/>
      <c r="EI54" s="32"/>
      <c r="EJ54" s="32"/>
      <c r="EK54" s="32"/>
      <c r="EL54" s="29"/>
      <c r="EM54" s="30"/>
      <c r="EN54" s="30"/>
      <c r="EO54" s="30"/>
      <c r="EP54" s="30"/>
      <c r="EQ54" s="31"/>
      <c r="ER54" s="32"/>
      <c r="ES54" s="32"/>
      <c r="ET54" s="32"/>
      <c r="EU54" s="32"/>
      <c r="EV54" s="29"/>
      <c r="EW54" s="30"/>
      <c r="EX54" s="30"/>
      <c r="EY54" s="30"/>
      <c r="EZ54" s="30"/>
      <c r="FA54" s="31"/>
      <c r="FB54" s="32"/>
      <c r="FC54" s="32"/>
      <c r="FD54" s="32"/>
      <c r="FE54" s="32"/>
      <c r="FF54" s="29"/>
      <c r="FG54" s="30"/>
      <c r="FH54" s="30"/>
      <c r="FI54" s="30"/>
      <c r="FJ54" s="30"/>
      <c r="FK54" s="31"/>
      <c r="FL54" s="32"/>
      <c r="FM54" s="32"/>
      <c r="FN54" s="32"/>
      <c r="FO54" s="32"/>
      <c r="FP54" s="29"/>
      <c r="FQ54" s="30"/>
      <c r="FR54" s="30"/>
      <c r="FS54" s="30"/>
      <c r="FT54" s="30"/>
      <c r="FU54" s="31"/>
      <c r="FV54" s="32"/>
      <c r="FW54" s="32"/>
      <c r="FX54" s="32"/>
      <c r="FY54" s="32"/>
      <c r="FZ54" s="29"/>
      <c r="GA54" s="30"/>
      <c r="GB54" s="30"/>
      <c r="GC54" s="30"/>
      <c r="GD54" s="30"/>
    </row>
    <row r="55" spans="1:186" ht="48" x14ac:dyDescent="0.25">
      <c r="A55" s="156">
        <v>46</v>
      </c>
      <c r="B55" s="395">
        <f>'Tier 3 Intervention'!B191</f>
        <v>0</v>
      </c>
      <c r="C55" s="395"/>
      <c r="D55" s="395"/>
      <c r="E55" s="395"/>
      <c r="F55" s="395"/>
      <c r="G55" s="395"/>
      <c r="H55" s="761" t="e">
        <f>'Tier 3 Intervention'!AA191+30</f>
        <v>#VALUE!</v>
      </c>
      <c r="I55" s="761"/>
      <c r="J55" s="762" t="e">
        <f t="shared" si="1"/>
        <v>#VALUE!</v>
      </c>
      <c r="K55" s="395"/>
      <c r="L55" s="47" t="s">
        <v>832</v>
      </c>
      <c r="M55" s="46"/>
      <c r="N55" s="46"/>
      <c r="O55" s="46"/>
      <c r="P55" s="49"/>
      <c r="Q55" s="19"/>
      <c r="R55" s="20"/>
      <c r="S55" s="20"/>
      <c r="T55" s="20"/>
      <c r="U55" s="20"/>
      <c r="V55" s="21"/>
      <c r="W55" s="22"/>
      <c r="X55" s="22"/>
      <c r="Y55" s="22"/>
      <c r="Z55" s="22"/>
      <c r="AA55" s="19"/>
      <c r="AB55" s="20"/>
      <c r="AC55" s="20"/>
      <c r="AD55" s="20"/>
      <c r="AE55" s="20"/>
      <c r="AF55" s="21"/>
      <c r="AG55" s="22"/>
      <c r="AH55" s="22"/>
      <c r="AI55" s="22"/>
      <c r="AJ55" s="22"/>
      <c r="AK55" s="19"/>
      <c r="AL55" s="20"/>
      <c r="AM55" s="20"/>
      <c r="AN55" s="20"/>
      <c r="AO55" s="20"/>
      <c r="AP55" s="21"/>
      <c r="AQ55" s="22"/>
      <c r="AR55" s="22"/>
      <c r="AS55" s="22"/>
      <c r="AT55" s="22"/>
      <c r="AU55" s="19"/>
      <c r="AV55" s="20"/>
      <c r="AW55" s="20"/>
      <c r="AX55" s="20"/>
      <c r="AY55" s="20"/>
      <c r="AZ55" s="21"/>
      <c r="BA55" s="22"/>
      <c r="BB55" s="22"/>
      <c r="BC55" s="22"/>
      <c r="BD55" s="22"/>
      <c r="BE55" s="19"/>
      <c r="BF55" s="20"/>
      <c r="BG55" s="20"/>
      <c r="BH55" s="20"/>
      <c r="BI55" s="20"/>
      <c r="BJ55" s="21"/>
      <c r="BK55" s="22"/>
      <c r="BL55" s="22"/>
      <c r="BM55" s="22"/>
      <c r="BN55" s="22"/>
      <c r="BO55" s="19"/>
      <c r="BP55" s="20"/>
      <c r="BQ55" s="20"/>
      <c r="BR55" s="20"/>
      <c r="BS55" s="20"/>
      <c r="BT55" s="21"/>
      <c r="BU55" s="22"/>
      <c r="BV55" s="22"/>
      <c r="BW55" s="22"/>
      <c r="BX55" s="22"/>
      <c r="BY55" s="23"/>
      <c r="BZ55" s="24"/>
      <c r="CA55" s="24"/>
      <c r="CB55" s="24"/>
      <c r="CC55" s="24"/>
      <c r="CD55" s="25"/>
      <c r="CE55" s="26"/>
      <c r="CF55" s="26"/>
      <c r="CG55" s="26"/>
      <c r="CH55" s="26"/>
      <c r="CI55" s="27"/>
      <c r="CJ55" s="28"/>
      <c r="CK55" s="28"/>
      <c r="CL55" s="28"/>
      <c r="CM55" s="28"/>
      <c r="CN55" s="25"/>
      <c r="CO55" s="26"/>
      <c r="CP55" s="26"/>
      <c r="CQ55" s="26"/>
      <c r="CR55" s="26"/>
      <c r="CS55" s="27"/>
      <c r="CT55" s="28"/>
      <c r="CU55" s="28"/>
      <c r="CV55" s="28"/>
      <c r="CW55" s="28"/>
      <c r="CX55" s="25"/>
      <c r="CY55" s="26"/>
      <c r="CZ55" s="26"/>
      <c r="DA55" s="26"/>
      <c r="DB55" s="26"/>
      <c r="DC55" s="27"/>
      <c r="DD55" s="28"/>
      <c r="DE55" s="28"/>
      <c r="DF55" s="28"/>
      <c r="DG55" s="28"/>
      <c r="DH55" s="25"/>
      <c r="DI55" s="26"/>
      <c r="DJ55" s="26"/>
      <c r="DK55" s="26"/>
      <c r="DL55" s="26"/>
      <c r="DM55" s="27"/>
      <c r="DN55" s="28"/>
      <c r="DO55" s="28"/>
      <c r="DP55" s="28"/>
      <c r="DQ55" s="28"/>
      <c r="DR55" s="25"/>
      <c r="DS55" s="26"/>
      <c r="DT55" s="26"/>
      <c r="DU55" s="26"/>
      <c r="DV55" s="26"/>
      <c r="DW55" s="27"/>
      <c r="DX55" s="28"/>
      <c r="DY55" s="28"/>
      <c r="DZ55" s="28"/>
      <c r="EA55" s="28"/>
      <c r="EB55" s="29"/>
      <c r="EC55" s="30"/>
      <c r="ED55" s="30"/>
      <c r="EE55" s="30"/>
      <c r="EF55" s="30"/>
      <c r="EG55" s="31"/>
      <c r="EH55" s="32"/>
      <c r="EI55" s="32"/>
      <c r="EJ55" s="32"/>
      <c r="EK55" s="32"/>
      <c r="EL55" s="29"/>
      <c r="EM55" s="30"/>
      <c r="EN55" s="30"/>
      <c r="EO55" s="30"/>
      <c r="EP55" s="30"/>
      <c r="EQ55" s="31"/>
      <c r="ER55" s="32"/>
      <c r="ES55" s="32"/>
      <c r="ET55" s="32"/>
      <c r="EU55" s="32"/>
      <c r="EV55" s="29"/>
      <c r="EW55" s="30"/>
      <c r="EX55" s="30"/>
      <c r="EY55" s="30"/>
      <c r="EZ55" s="30"/>
      <c r="FA55" s="31"/>
      <c r="FB55" s="32"/>
      <c r="FC55" s="32"/>
      <c r="FD55" s="32"/>
      <c r="FE55" s="32"/>
      <c r="FF55" s="29"/>
      <c r="FG55" s="30"/>
      <c r="FH55" s="30"/>
      <c r="FI55" s="30"/>
      <c r="FJ55" s="30"/>
      <c r="FK55" s="31"/>
      <c r="FL55" s="32"/>
      <c r="FM55" s="32"/>
      <c r="FN55" s="32"/>
      <c r="FO55" s="32"/>
      <c r="FP55" s="29"/>
      <c r="FQ55" s="30"/>
      <c r="FR55" s="30"/>
      <c r="FS55" s="30"/>
      <c r="FT55" s="30"/>
      <c r="FU55" s="31"/>
      <c r="FV55" s="32"/>
      <c r="FW55" s="32"/>
      <c r="FX55" s="32"/>
      <c r="FY55" s="32"/>
      <c r="FZ55" s="29"/>
      <c r="GA55" s="30"/>
      <c r="GB55" s="30"/>
      <c r="GC55" s="30"/>
      <c r="GD55" s="30"/>
    </row>
    <row r="56" spans="1:186" ht="48" x14ac:dyDescent="0.25">
      <c r="A56" s="156">
        <v>47</v>
      </c>
      <c r="B56" s="395">
        <f>'Tier 3 Intervention'!B195</f>
        <v>0</v>
      </c>
      <c r="C56" s="395"/>
      <c r="D56" s="395"/>
      <c r="E56" s="395"/>
      <c r="F56" s="395"/>
      <c r="G56" s="395"/>
      <c r="H56" s="761" t="e">
        <f>'Tier 3 Intervention'!AA195+30</f>
        <v>#VALUE!</v>
      </c>
      <c r="I56" s="761"/>
      <c r="J56" s="762" t="e">
        <f t="shared" si="1"/>
        <v>#VALUE!</v>
      </c>
      <c r="K56" s="395"/>
      <c r="L56" s="47" t="s">
        <v>833</v>
      </c>
      <c r="M56" s="46"/>
      <c r="N56" s="46"/>
      <c r="O56" s="46"/>
      <c r="P56" s="49"/>
      <c r="Q56" s="19"/>
      <c r="R56" s="20"/>
      <c r="S56" s="20"/>
      <c r="T56" s="20"/>
      <c r="U56" s="20"/>
      <c r="V56" s="21"/>
      <c r="W56" s="22"/>
      <c r="X56" s="22"/>
      <c r="Y56" s="22"/>
      <c r="Z56" s="22"/>
      <c r="AA56" s="19"/>
      <c r="AB56" s="20"/>
      <c r="AC56" s="20"/>
      <c r="AD56" s="20"/>
      <c r="AE56" s="20"/>
      <c r="AF56" s="21"/>
      <c r="AG56" s="22"/>
      <c r="AH56" s="22"/>
      <c r="AI56" s="22"/>
      <c r="AJ56" s="22"/>
      <c r="AK56" s="19"/>
      <c r="AL56" s="20"/>
      <c r="AM56" s="20"/>
      <c r="AN56" s="20"/>
      <c r="AO56" s="20"/>
      <c r="AP56" s="21"/>
      <c r="AQ56" s="22"/>
      <c r="AR56" s="22"/>
      <c r="AS56" s="22"/>
      <c r="AT56" s="22"/>
      <c r="AU56" s="19"/>
      <c r="AV56" s="20"/>
      <c r="AW56" s="20"/>
      <c r="AX56" s="20"/>
      <c r="AY56" s="20"/>
      <c r="AZ56" s="21"/>
      <c r="BA56" s="22"/>
      <c r="BB56" s="22"/>
      <c r="BC56" s="22"/>
      <c r="BD56" s="22"/>
      <c r="BE56" s="19"/>
      <c r="BF56" s="20"/>
      <c r="BG56" s="20"/>
      <c r="BH56" s="20"/>
      <c r="BI56" s="20"/>
      <c r="BJ56" s="21"/>
      <c r="BK56" s="22"/>
      <c r="BL56" s="22"/>
      <c r="BM56" s="22"/>
      <c r="BN56" s="22"/>
      <c r="BO56" s="19"/>
      <c r="BP56" s="20"/>
      <c r="BQ56" s="20"/>
      <c r="BR56" s="20"/>
      <c r="BS56" s="20"/>
      <c r="BT56" s="21"/>
      <c r="BU56" s="22"/>
      <c r="BV56" s="22"/>
      <c r="BW56" s="22"/>
      <c r="BX56" s="22"/>
      <c r="BY56" s="23"/>
      <c r="BZ56" s="24"/>
      <c r="CA56" s="24"/>
      <c r="CB56" s="24"/>
      <c r="CC56" s="24"/>
      <c r="CD56" s="25"/>
      <c r="CE56" s="26"/>
      <c r="CF56" s="26"/>
      <c r="CG56" s="26"/>
      <c r="CH56" s="26"/>
      <c r="CI56" s="27"/>
      <c r="CJ56" s="28"/>
      <c r="CK56" s="28"/>
      <c r="CL56" s="28"/>
      <c r="CM56" s="28"/>
      <c r="CN56" s="25"/>
      <c r="CO56" s="26"/>
      <c r="CP56" s="26"/>
      <c r="CQ56" s="26"/>
      <c r="CR56" s="26"/>
      <c r="CS56" s="27"/>
      <c r="CT56" s="28"/>
      <c r="CU56" s="28"/>
      <c r="CV56" s="28"/>
      <c r="CW56" s="28"/>
      <c r="CX56" s="25"/>
      <c r="CY56" s="26"/>
      <c r="CZ56" s="26"/>
      <c r="DA56" s="26"/>
      <c r="DB56" s="26"/>
      <c r="DC56" s="27"/>
      <c r="DD56" s="28"/>
      <c r="DE56" s="28"/>
      <c r="DF56" s="28"/>
      <c r="DG56" s="28"/>
      <c r="DH56" s="25"/>
      <c r="DI56" s="26"/>
      <c r="DJ56" s="26"/>
      <c r="DK56" s="26"/>
      <c r="DL56" s="26"/>
      <c r="DM56" s="27"/>
      <c r="DN56" s="28"/>
      <c r="DO56" s="28"/>
      <c r="DP56" s="28"/>
      <c r="DQ56" s="28"/>
      <c r="DR56" s="25"/>
      <c r="DS56" s="26"/>
      <c r="DT56" s="26"/>
      <c r="DU56" s="26"/>
      <c r="DV56" s="26"/>
      <c r="DW56" s="27"/>
      <c r="DX56" s="28"/>
      <c r="DY56" s="28"/>
      <c r="DZ56" s="28"/>
      <c r="EA56" s="28"/>
      <c r="EB56" s="29"/>
      <c r="EC56" s="30"/>
      <c r="ED56" s="30"/>
      <c r="EE56" s="30"/>
      <c r="EF56" s="30"/>
      <c r="EG56" s="31"/>
      <c r="EH56" s="32"/>
      <c r="EI56" s="32"/>
      <c r="EJ56" s="32"/>
      <c r="EK56" s="32"/>
      <c r="EL56" s="29"/>
      <c r="EM56" s="30"/>
      <c r="EN56" s="30"/>
      <c r="EO56" s="30"/>
      <c r="EP56" s="30"/>
      <c r="EQ56" s="31"/>
      <c r="ER56" s="32"/>
      <c r="ES56" s="32"/>
      <c r="ET56" s="32"/>
      <c r="EU56" s="32"/>
      <c r="EV56" s="29"/>
      <c r="EW56" s="30"/>
      <c r="EX56" s="30"/>
      <c r="EY56" s="30"/>
      <c r="EZ56" s="30"/>
      <c r="FA56" s="31"/>
      <c r="FB56" s="32"/>
      <c r="FC56" s="32"/>
      <c r="FD56" s="32"/>
      <c r="FE56" s="32"/>
      <c r="FF56" s="29"/>
      <c r="FG56" s="30"/>
      <c r="FH56" s="30"/>
      <c r="FI56" s="30"/>
      <c r="FJ56" s="30"/>
      <c r="FK56" s="31"/>
      <c r="FL56" s="32"/>
      <c r="FM56" s="32"/>
      <c r="FN56" s="32"/>
      <c r="FO56" s="32"/>
      <c r="FP56" s="29"/>
      <c r="FQ56" s="30"/>
      <c r="FR56" s="30"/>
      <c r="FS56" s="30"/>
      <c r="FT56" s="30"/>
      <c r="FU56" s="31"/>
      <c r="FV56" s="32"/>
      <c r="FW56" s="32"/>
      <c r="FX56" s="32"/>
      <c r="FY56" s="32"/>
      <c r="FZ56" s="29"/>
      <c r="GA56" s="30"/>
      <c r="GB56" s="30"/>
      <c r="GC56" s="30"/>
      <c r="GD56" s="30"/>
    </row>
    <row r="57" spans="1:186" ht="48" x14ac:dyDescent="0.25">
      <c r="A57" s="156">
        <v>48</v>
      </c>
      <c r="B57" s="395">
        <f>'Tier 3 Intervention'!B199</f>
        <v>0</v>
      </c>
      <c r="C57" s="395"/>
      <c r="D57" s="395"/>
      <c r="E57" s="395"/>
      <c r="F57" s="395"/>
      <c r="G57" s="395"/>
      <c r="H57" s="761" t="e">
        <f>'Tier 3 Intervention'!AA199+30</f>
        <v>#VALUE!</v>
      </c>
      <c r="I57" s="761"/>
      <c r="J57" s="762" t="e">
        <f t="shared" si="1"/>
        <v>#VALUE!</v>
      </c>
      <c r="K57" s="395"/>
      <c r="L57" s="47" t="s">
        <v>834</v>
      </c>
      <c r="M57" s="46"/>
      <c r="N57" s="46"/>
      <c r="O57" s="46"/>
      <c r="P57" s="49"/>
      <c r="Q57" s="19"/>
      <c r="R57" s="20"/>
      <c r="S57" s="20"/>
      <c r="T57" s="20"/>
      <c r="U57" s="20"/>
      <c r="V57" s="21"/>
      <c r="W57" s="22"/>
      <c r="X57" s="22"/>
      <c r="Y57" s="22"/>
      <c r="Z57" s="22"/>
      <c r="AA57" s="19"/>
      <c r="AB57" s="20"/>
      <c r="AC57" s="20"/>
      <c r="AD57" s="20"/>
      <c r="AE57" s="20"/>
      <c r="AF57" s="21"/>
      <c r="AG57" s="22"/>
      <c r="AH57" s="22"/>
      <c r="AI57" s="22"/>
      <c r="AJ57" s="22"/>
      <c r="AK57" s="19"/>
      <c r="AL57" s="20"/>
      <c r="AM57" s="20"/>
      <c r="AN57" s="20"/>
      <c r="AO57" s="20"/>
      <c r="AP57" s="21"/>
      <c r="AQ57" s="22"/>
      <c r="AR57" s="22"/>
      <c r="AS57" s="22"/>
      <c r="AT57" s="22"/>
      <c r="AU57" s="19"/>
      <c r="AV57" s="20"/>
      <c r="AW57" s="20"/>
      <c r="AX57" s="20"/>
      <c r="AY57" s="20"/>
      <c r="AZ57" s="21"/>
      <c r="BA57" s="22"/>
      <c r="BB57" s="22"/>
      <c r="BC57" s="22"/>
      <c r="BD57" s="22"/>
      <c r="BE57" s="19"/>
      <c r="BF57" s="20"/>
      <c r="BG57" s="20"/>
      <c r="BH57" s="20"/>
      <c r="BI57" s="20"/>
      <c r="BJ57" s="21"/>
      <c r="BK57" s="22"/>
      <c r="BL57" s="22"/>
      <c r="BM57" s="22"/>
      <c r="BN57" s="22"/>
      <c r="BO57" s="19"/>
      <c r="BP57" s="20"/>
      <c r="BQ57" s="20"/>
      <c r="BR57" s="20"/>
      <c r="BS57" s="20"/>
      <c r="BT57" s="21"/>
      <c r="BU57" s="22"/>
      <c r="BV57" s="22"/>
      <c r="BW57" s="22"/>
      <c r="BX57" s="22"/>
      <c r="BY57" s="23"/>
      <c r="BZ57" s="24"/>
      <c r="CA57" s="24"/>
      <c r="CB57" s="24"/>
      <c r="CC57" s="24"/>
      <c r="CD57" s="25"/>
      <c r="CE57" s="26"/>
      <c r="CF57" s="26"/>
      <c r="CG57" s="26"/>
      <c r="CH57" s="26"/>
      <c r="CI57" s="27"/>
      <c r="CJ57" s="28"/>
      <c r="CK57" s="28"/>
      <c r="CL57" s="28"/>
      <c r="CM57" s="28"/>
      <c r="CN57" s="25"/>
      <c r="CO57" s="26"/>
      <c r="CP57" s="26"/>
      <c r="CQ57" s="26"/>
      <c r="CR57" s="26"/>
      <c r="CS57" s="27"/>
      <c r="CT57" s="28"/>
      <c r="CU57" s="28"/>
      <c r="CV57" s="28"/>
      <c r="CW57" s="28"/>
      <c r="CX57" s="25"/>
      <c r="CY57" s="26"/>
      <c r="CZ57" s="26"/>
      <c r="DA57" s="26"/>
      <c r="DB57" s="26"/>
      <c r="DC57" s="27"/>
      <c r="DD57" s="28"/>
      <c r="DE57" s="28"/>
      <c r="DF57" s="28"/>
      <c r="DG57" s="28"/>
      <c r="DH57" s="25"/>
      <c r="DI57" s="26"/>
      <c r="DJ57" s="26"/>
      <c r="DK57" s="26"/>
      <c r="DL57" s="26"/>
      <c r="DM57" s="27"/>
      <c r="DN57" s="28"/>
      <c r="DO57" s="28"/>
      <c r="DP57" s="28"/>
      <c r="DQ57" s="28"/>
      <c r="DR57" s="25"/>
      <c r="DS57" s="26"/>
      <c r="DT57" s="26"/>
      <c r="DU57" s="26"/>
      <c r="DV57" s="26"/>
      <c r="DW57" s="27"/>
      <c r="DX57" s="28"/>
      <c r="DY57" s="28"/>
      <c r="DZ57" s="28"/>
      <c r="EA57" s="28"/>
      <c r="EB57" s="29"/>
      <c r="EC57" s="30"/>
      <c r="ED57" s="30"/>
      <c r="EE57" s="30"/>
      <c r="EF57" s="30"/>
      <c r="EG57" s="31"/>
      <c r="EH57" s="32"/>
      <c r="EI57" s="32"/>
      <c r="EJ57" s="32"/>
      <c r="EK57" s="32"/>
      <c r="EL57" s="29"/>
      <c r="EM57" s="30"/>
      <c r="EN57" s="30"/>
      <c r="EO57" s="30"/>
      <c r="EP57" s="30"/>
      <c r="EQ57" s="31"/>
      <c r="ER57" s="32"/>
      <c r="ES57" s="32"/>
      <c r="ET57" s="32"/>
      <c r="EU57" s="32"/>
      <c r="EV57" s="29"/>
      <c r="EW57" s="30"/>
      <c r="EX57" s="30"/>
      <c r="EY57" s="30"/>
      <c r="EZ57" s="30"/>
      <c r="FA57" s="31"/>
      <c r="FB57" s="32"/>
      <c r="FC57" s="32"/>
      <c r="FD57" s="32"/>
      <c r="FE57" s="32"/>
      <c r="FF57" s="29"/>
      <c r="FG57" s="30"/>
      <c r="FH57" s="30"/>
      <c r="FI57" s="30"/>
      <c r="FJ57" s="30"/>
      <c r="FK57" s="31"/>
      <c r="FL57" s="32"/>
      <c r="FM57" s="32"/>
      <c r="FN57" s="32"/>
      <c r="FO57" s="32"/>
      <c r="FP57" s="29"/>
      <c r="FQ57" s="30"/>
      <c r="FR57" s="30"/>
      <c r="FS57" s="30"/>
      <c r="FT57" s="30"/>
      <c r="FU57" s="31"/>
      <c r="FV57" s="32"/>
      <c r="FW57" s="32"/>
      <c r="FX57" s="32"/>
      <c r="FY57" s="32"/>
      <c r="FZ57" s="29"/>
      <c r="GA57" s="30"/>
      <c r="GB57" s="30"/>
      <c r="GC57" s="30"/>
      <c r="GD57" s="30"/>
    </row>
    <row r="58" spans="1:186" ht="48" x14ac:dyDescent="0.25">
      <c r="A58" s="156">
        <v>49</v>
      </c>
      <c r="B58" s="395">
        <f>'Tier 3 Intervention'!B203</f>
        <v>0</v>
      </c>
      <c r="C58" s="395"/>
      <c r="D58" s="395"/>
      <c r="E58" s="395"/>
      <c r="F58" s="395"/>
      <c r="G58" s="395"/>
      <c r="H58" s="761" t="e">
        <f>'Tier 3 Intervention'!AA203+30</f>
        <v>#VALUE!</v>
      </c>
      <c r="I58" s="761"/>
      <c r="J58" s="762" t="e">
        <f t="shared" si="1"/>
        <v>#VALUE!</v>
      </c>
      <c r="K58" s="395"/>
      <c r="L58" s="47" t="s">
        <v>835</v>
      </c>
      <c r="M58" s="46"/>
      <c r="N58" s="46"/>
      <c r="O58" s="46"/>
      <c r="P58" s="49"/>
      <c r="Q58" s="19"/>
      <c r="R58" s="20"/>
      <c r="S58" s="20"/>
      <c r="T58" s="20"/>
      <c r="U58" s="20"/>
      <c r="V58" s="21"/>
      <c r="W58" s="22"/>
      <c r="X58" s="22"/>
      <c r="Y58" s="22"/>
      <c r="Z58" s="22"/>
      <c r="AA58" s="19"/>
      <c r="AB58" s="20"/>
      <c r="AC58" s="20"/>
      <c r="AD58" s="20"/>
      <c r="AE58" s="20"/>
      <c r="AF58" s="21"/>
      <c r="AG58" s="22"/>
      <c r="AH58" s="22"/>
      <c r="AI58" s="22"/>
      <c r="AJ58" s="22"/>
      <c r="AK58" s="19"/>
      <c r="AL58" s="20"/>
      <c r="AM58" s="20"/>
      <c r="AN58" s="20"/>
      <c r="AO58" s="20"/>
      <c r="AP58" s="21"/>
      <c r="AQ58" s="22"/>
      <c r="AR58" s="22"/>
      <c r="AS58" s="22"/>
      <c r="AT58" s="22"/>
      <c r="AU58" s="19"/>
      <c r="AV58" s="20"/>
      <c r="AW58" s="20"/>
      <c r="AX58" s="20"/>
      <c r="AY58" s="20"/>
      <c r="AZ58" s="21"/>
      <c r="BA58" s="22"/>
      <c r="BB58" s="22"/>
      <c r="BC58" s="22"/>
      <c r="BD58" s="22"/>
      <c r="BE58" s="19"/>
      <c r="BF58" s="20"/>
      <c r="BG58" s="20"/>
      <c r="BH58" s="20"/>
      <c r="BI58" s="20"/>
      <c r="BJ58" s="21"/>
      <c r="BK58" s="22"/>
      <c r="BL58" s="22"/>
      <c r="BM58" s="22"/>
      <c r="BN58" s="22"/>
      <c r="BO58" s="19"/>
      <c r="BP58" s="20"/>
      <c r="BQ58" s="20"/>
      <c r="BR58" s="20"/>
      <c r="BS58" s="20"/>
      <c r="BT58" s="21"/>
      <c r="BU58" s="22"/>
      <c r="BV58" s="22"/>
      <c r="BW58" s="22"/>
      <c r="BX58" s="22"/>
      <c r="BY58" s="23"/>
      <c r="BZ58" s="24"/>
      <c r="CA58" s="24"/>
      <c r="CB58" s="24"/>
      <c r="CC58" s="24"/>
      <c r="CD58" s="25"/>
      <c r="CE58" s="26"/>
      <c r="CF58" s="26"/>
      <c r="CG58" s="26"/>
      <c r="CH58" s="26"/>
      <c r="CI58" s="27"/>
      <c r="CJ58" s="28"/>
      <c r="CK58" s="28"/>
      <c r="CL58" s="28"/>
      <c r="CM58" s="28"/>
      <c r="CN58" s="25"/>
      <c r="CO58" s="26"/>
      <c r="CP58" s="26"/>
      <c r="CQ58" s="26"/>
      <c r="CR58" s="26"/>
      <c r="CS58" s="27"/>
      <c r="CT58" s="28"/>
      <c r="CU58" s="28"/>
      <c r="CV58" s="28"/>
      <c r="CW58" s="28"/>
      <c r="CX58" s="25"/>
      <c r="CY58" s="26"/>
      <c r="CZ58" s="26"/>
      <c r="DA58" s="26"/>
      <c r="DB58" s="26"/>
      <c r="DC58" s="27"/>
      <c r="DD58" s="28"/>
      <c r="DE58" s="28"/>
      <c r="DF58" s="28"/>
      <c r="DG58" s="28"/>
      <c r="DH58" s="25"/>
      <c r="DI58" s="26"/>
      <c r="DJ58" s="26"/>
      <c r="DK58" s="26"/>
      <c r="DL58" s="26"/>
      <c r="DM58" s="27"/>
      <c r="DN58" s="28"/>
      <c r="DO58" s="28"/>
      <c r="DP58" s="28"/>
      <c r="DQ58" s="28"/>
      <c r="DR58" s="25"/>
      <c r="DS58" s="26"/>
      <c r="DT58" s="26"/>
      <c r="DU58" s="26"/>
      <c r="DV58" s="26"/>
      <c r="DW58" s="27"/>
      <c r="DX58" s="28"/>
      <c r="DY58" s="28"/>
      <c r="DZ58" s="28"/>
      <c r="EA58" s="28"/>
      <c r="EB58" s="29"/>
      <c r="EC58" s="30"/>
      <c r="ED58" s="30"/>
      <c r="EE58" s="30"/>
      <c r="EF58" s="30"/>
      <c r="EG58" s="31"/>
      <c r="EH58" s="32"/>
      <c r="EI58" s="32"/>
      <c r="EJ58" s="32"/>
      <c r="EK58" s="32"/>
      <c r="EL58" s="29"/>
      <c r="EM58" s="30"/>
      <c r="EN58" s="30"/>
      <c r="EO58" s="30"/>
      <c r="EP58" s="30"/>
      <c r="EQ58" s="31"/>
      <c r="ER58" s="32"/>
      <c r="ES58" s="32"/>
      <c r="ET58" s="32"/>
      <c r="EU58" s="32"/>
      <c r="EV58" s="29"/>
      <c r="EW58" s="30"/>
      <c r="EX58" s="30"/>
      <c r="EY58" s="30"/>
      <c r="EZ58" s="30"/>
      <c r="FA58" s="31"/>
      <c r="FB58" s="32"/>
      <c r="FC58" s="32"/>
      <c r="FD58" s="32"/>
      <c r="FE58" s="32"/>
      <c r="FF58" s="29"/>
      <c r="FG58" s="30"/>
      <c r="FH58" s="30"/>
      <c r="FI58" s="30"/>
      <c r="FJ58" s="30"/>
      <c r="FK58" s="31"/>
      <c r="FL58" s="32"/>
      <c r="FM58" s="32"/>
      <c r="FN58" s="32"/>
      <c r="FO58" s="32"/>
      <c r="FP58" s="29"/>
      <c r="FQ58" s="30"/>
      <c r="FR58" s="30"/>
      <c r="FS58" s="30"/>
      <c r="FT58" s="30"/>
      <c r="FU58" s="31"/>
      <c r="FV58" s="32"/>
      <c r="FW58" s="32"/>
      <c r="FX58" s="32"/>
      <c r="FY58" s="32"/>
      <c r="FZ58" s="29"/>
      <c r="GA58" s="30"/>
      <c r="GB58" s="30"/>
      <c r="GC58" s="30"/>
      <c r="GD58" s="30"/>
    </row>
    <row r="59" spans="1:186" ht="48" x14ac:dyDescent="0.25">
      <c r="A59" s="156">
        <v>50</v>
      </c>
      <c r="B59" s="395">
        <f>'Tier 3 Intervention'!B207</f>
        <v>0</v>
      </c>
      <c r="C59" s="395"/>
      <c r="D59" s="395"/>
      <c r="E59" s="395"/>
      <c r="F59" s="395"/>
      <c r="G59" s="395"/>
      <c r="H59" s="761" t="e">
        <f>'Tier 3 Intervention'!AA207+30</f>
        <v>#VALUE!</v>
      </c>
      <c r="I59" s="761"/>
      <c r="J59" s="762" t="e">
        <f t="shared" si="1"/>
        <v>#VALUE!</v>
      </c>
      <c r="K59" s="395"/>
      <c r="L59" s="47" t="s">
        <v>836</v>
      </c>
      <c r="M59" s="46"/>
      <c r="N59" s="46"/>
      <c r="O59" s="46"/>
      <c r="P59" s="49"/>
      <c r="Q59" s="19"/>
      <c r="R59" s="20"/>
      <c r="S59" s="20"/>
      <c r="T59" s="20"/>
      <c r="U59" s="20"/>
      <c r="V59" s="21"/>
      <c r="W59" s="22"/>
      <c r="X59" s="22"/>
      <c r="Y59" s="22"/>
      <c r="Z59" s="22"/>
      <c r="AA59" s="19"/>
      <c r="AB59" s="20"/>
      <c r="AC59" s="20"/>
      <c r="AD59" s="20"/>
      <c r="AE59" s="20"/>
      <c r="AF59" s="21"/>
      <c r="AG59" s="22"/>
      <c r="AH59" s="22"/>
      <c r="AI59" s="22"/>
      <c r="AJ59" s="22"/>
      <c r="AK59" s="19"/>
      <c r="AL59" s="20"/>
      <c r="AM59" s="20"/>
      <c r="AN59" s="20"/>
      <c r="AO59" s="20"/>
      <c r="AP59" s="21"/>
      <c r="AQ59" s="22"/>
      <c r="AR59" s="22"/>
      <c r="AS59" s="22"/>
      <c r="AT59" s="22"/>
      <c r="AU59" s="19"/>
      <c r="AV59" s="20"/>
      <c r="AW59" s="20"/>
      <c r="AX59" s="20"/>
      <c r="AY59" s="20"/>
      <c r="AZ59" s="21"/>
      <c r="BA59" s="22"/>
      <c r="BB59" s="22"/>
      <c r="BC59" s="22"/>
      <c r="BD59" s="22"/>
      <c r="BE59" s="19"/>
      <c r="BF59" s="20"/>
      <c r="BG59" s="20"/>
      <c r="BH59" s="20"/>
      <c r="BI59" s="20"/>
      <c r="BJ59" s="21"/>
      <c r="BK59" s="22"/>
      <c r="BL59" s="22"/>
      <c r="BM59" s="22"/>
      <c r="BN59" s="22"/>
      <c r="BO59" s="19"/>
      <c r="BP59" s="20"/>
      <c r="BQ59" s="20"/>
      <c r="BR59" s="20"/>
      <c r="BS59" s="20"/>
      <c r="BT59" s="21"/>
      <c r="BU59" s="22"/>
      <c r="BV59" s="22"/>
      <c r="BW59" s="22"/>
      <c r="BX59" s="22"/>
      <c r="BY59" s="23"/>
      <c r="BZ59" s="24"/>
      <c r="CA59" s="24"/>
      <c r="CB59" s="24"/>
      <c r="CC59" s="24"/>
      <c r="CD59" s="25"/>
      <c r="CE59" s="26"/>
      <c r="CF59" s="26"/>
      <c r="CG59" s="26"/>
      <c r="CH59" s="26"/>
      <c r="CI59" s="27"/>
      <c r="CJ59" s="28"/>
      <c r="CK59" s="28"/>
      <c r="CL59" s="28"/>
      <c r="CM59" s="28"/>
      <c r="CN59" s="25"/>
      <c r="CO59" s="26"/>
      <c r="CP59" s="26"/>
      <c r="CQ59" s="26"/>
      <c r="CR59" s="26"/>
      <c r="CS59" s="27"/>
      <c r="CT59" s="28"/>
      <c r="CU59" s="28"/>
      <c r="CV59" s="28"/>
      <c r="CW59" s="28"/>
      <c r="CX59" s="25"/>
      <c r="CY59" s="26"/>
      <c r="CZ59" s="26"/>
      <c r="DA59" s="26"/>
      <c r="DB59" s="26"/>
      <c r="DC59" s="27"/>
      <c r="DD59" s="28"/>
      <c r="DE59" s="28"/>
      <c r="DF59" s="28"/>
      <c r="DG59" s="28"/>
      <c r="DH59" s="25"/>
      <c r="DI59" s="26"/>
      <c r="DJ59" s="26"/>
      <c r="DK59" s="26"/>
      <c r="DL59" s="26"/>
      <c r="DM59" s="27"/>
      <c r="DN59" s="28"/>
      <c r="DO59" s="28"/>
      <c r="DP59" s="28"/>
      <c r="DQ59" s="28"/>
      <c r="DR59" s="25"/>
      <c r="DS59" s="26"/>
      <c r="DT59" s="26"/>
      <c r="DU59" s="26"/>
      <c r="DV59" s="26"/>
      <c r="DW59" s="27"/>
      <c r="DX59" s="28"/>
      <c r="DY59" s="28"/>
      <c r="DZ59" s="28"/>
      <c r="EA59" s="28"/>
      <c r="EB59" s="29"/>
      <c r="EC59" s="30"/>
      <c r="ED59" s="30"/>
      <c r="EE59" s="30"/>
      <c r="EF59" s="30"/>
      <c r="EG59" s="31"/>
      <c r="EH59" s="32"/>
      <c r="EI59" s="32"/>
      <c r="EJ59" s="32"/>
      <c r="EK59" s="32"/>
      <c r="EL59" s="29"/>
      <c r="EM59" s="30"/>
      <c r="EN59" s="30"/>
      <c r="EO59" s="30"/>
      <c r="EP59" s="30"/>
      <c r="EQ59" s="31"/>
      <c r="ER59" s="32"/>
      <c r="ES59" s="32"/>
      <c r="ET59" s="32"/>
      <c r="EU59" s="32"/>
      <c r="EV59" s="29"/>
      <c r="EW59" s="30"/>
      <c r="EX59" s="30"/>
      <c r="EY59" s="30"/>
      <c r="EZ59" s="30"/>
      <c r="FA59" s="31"/>
      <c r="FB59" s="32"/>
      <c r="FC59" s="32"/>
      <c r="FD59" s="32"/>
      <c r="FE59" s="32"/>
      <c r="FF59" s="29"/>
      <c r="FG59" s="30"/>
      <c r="FH59" s="30"/>
      <c r="FI59" s="30"/>
      <c r="FJ59" s="30"/>
      <c r="FK59" s="31"/>
      <c r="FL59" s="32"/>
      <c r="FM59" s="32"/>
      <c r="FN59" s="32"/>
      <c r="FO59" s="32"/>
      <c r="FP59" s="29"/>
      <c r="FQ59" s="30"/>
      <c r="FR59" s="30"/>
      <c r="FS59" s="30"/>
      <c r="FT59" s="30"/>
      <c r="FU59" s="31"/>
      <c r="FV59" s="32"/>
      <c r="FW59" s="32"/>
      <c r="FX59" s="32"/>
      <c r="FY59" s="32"/>
      <c r="FZ59" s="29"/>
      <c r="GA59" s="30"/>
      <c r="GB59" s="30"/>
      <c r="GC59" s="30"/>
      <c r="GD59" s="30"/>
    </row>
    <row r="60" spans="1:186" ht="48" x14ac:dyDescent="0.25">
      <c r="A60" s="156">
        <v>51</v>
      </c>
      <c r="B60" s="395">
        <f>'Tier 3 Intervention'!B211</f>
        <v>0</v>
      </c>
      <c r="C60" s="395"/>
      <c r="D60" s="395"/>
      <c r="E60" s="395"/>
      <c r="F60" s="395"/>
      <c r="G60" s="395"/>
      <c r="H60" s="761" t="e">
        <f>'Tier 3 Intervention'!AA211+30</f>
        <v>#VALUE!</v>
      </c>
      <c r="I60" s="761"/>
      <c r="J60" s="762" t="e">
        <f t="shared" si="1"/>
        <v>#VALUE!</v>
      </c>
      <c r="K60" s="395"/>
      <c r="L60" s="47" t="s">
        <v>837</v>
      </c>
      <c r="M60" s="46"/>
      <c r="N60" s="46"/>
      <c r="O60" s="46"/>
      <c r="P60" s="49"/>
      <c r="Q60" s="19"/>
      <c r="R60" s="20"/>
      <c r="S60" s="20"/>
      <c r="T60" s="20"/>
      <c r="U60" s="20"/>
      <c r="V60" s="21"/>
      <c r="W60" s="22"/>
      <c r="X60" s="22"/>
      <c r="Y60" s="22"/>
      <c r="Z60" s="22"/>
      <c r="AA60" s="19"/>
      <c r="AB60" s="20"/>
      <c r="AC60" s="20"/>
      <c r="AD60" s="20"/>
      <c r="AE60" s="20"/>
      <c r="AF60" s="21"/>
      <c r="AG60" s="22"/>
      <c r="AH60" s="22"/>
      <c r="AI60" s="22"/>
      <c r="AJ60" s="22"/>
      <c r="AK60" s="19"/>
      <c r="AL60" s="20"/>
      <c r="AM60" s="20"/>
      <c r="AN60" s="20"/>
      <c r="AO60" s="20"/>
      <c r="AP60" s="21"/>
      <c r="AQ60" s="22"/>
      <c r="AR60" s="22"/>
      <c r="AS60" s="22"/>
      <c r="AT60" s="22"/>
      <c r="AU60" s="19"/>
      <c r="AV60" s="20"/>
      <c r="AW60" s="20"/>
      <c r="AX60" s="20"/>
      <c r="AY60" s="20"/>
      <c r="AZ60" s="21"/>
      <c r="BA60" s="22"/>
      <c r="BB60" s="22"/>
      <c r="BC60" s="22"/>
      <c r="BD60" s="22"/>
      <c r="BE60" s="19"/>
      <c r="BF60" s="20"/>
      <c r="BG60" s="20"/>
      <c r="BH60" s="20"/>
      <c r="BI60" s="20"/>
      <c r="BJ60" s="21"/>
      <c r="BK60" s="22"/>
      <c r="BL60" s="22"/>
      <c r="BM60" s="22"/>
      <c r="BN60" s="22"/>
      <c r="BO60" s="19"/>
      <c r="BP60" s="20"/>
      <c r="BQ60" s="20"/>
      <c r="BR60" s="20"/>
      <c r="BS60" s="20"/>
      <c r="BT60" s="21"/>
      <c r="BU60" s="22"/>
      <c r="BV60" s="22"/>
      <c r="BW60" s="22"/>
      <c r="BX60" s="22"/>
      <c r="BY60" s="23"/>
      <c r="BZ60" s="24"/>
      <c r="CA60" s="24"/>
      <c r="CB60" s="24"/>
      <c r="CC60" s="24"/>
      <c r="CD60" s="25"/>
      <c r="CE60" s="26"/>
      <c r="CF60" s="26"/>
      <c r="CG60" s="26"/>
      <c r="CH60" s="26"/>
      <c r="CI60" s="27"/>
      <c r="CJ60" s="28"/>
      <c r="CK60" s="28"/>
      <c r="CL60" s="28"/>
      <c r="CM60" s="28"/>
      <c r="CN60" s="25"/>
      <c r="CO60" s="26"/>
      <c r="CP60" s="26"/>
      <c r="CQ60" s="26"/>
      <c r="CR60" s="26"/>
      <c r="CS60" s="27"/>
      <c r="CT60" s="28"/>
      <c r="CU60" s="28"/>
      <c r="CV60" s="28"/>
      <c r="CW60" s="28"/>
      <c r="CX60" s="25"/>
      <c r="CY60" s="26"/>
      <c r="CZ60" s="26"/>
      <c r="DA60" s="26"/>
      <c r="DB60" s="26"/>
      <c r="DC60" s="27"/>
      <c r="DD60" s="28"/>
      <c r="DE60" s="28"/>
      <c r="DF60" s="28"/>
      <c r="DG60" s="28"/>
      <c r="DH60" s="25"/>
      <c r="DI60" s="26"/>
      <c r="DJ60" s="26"/>
      <c r="DK60" s="26"/>
      <c r="DL60" s="26"/>
      <c r="DM60" s="27"/>
      <c r="DN60" s="28"/>
      <c r="DO60" s="28"/>
      <c r="DP60" s="28"/>
      <c r="DQ60" s="28"/>
      <c r="DR60" s="25"/>
      <c r="DS60" s="26"/>
      <c r="DT60" s="26"/>
      <c r="DU60" s="26"/>
      <c r="DV60" s="26"/>
      <c r="DW60" s="27"/>
      <c r="DX60" s="28"/>
      <c r="DY60" s="28"/>
      <c r="DZ60" s="28"/>
      <c r="EA60" s="28"/>
      <c r="EB60" s="29"/>
      <c r="EC60" s="30"/>
      <c r="ED60" s="30"/>
      <c r="EE60" s="30"/>
      <c r="EF60" s="30"/>
      <c r="EG60" s="31"/>
      <c r="EH60" s="32"/>
      <c r="EI60" s="32"/>
      <c r="EJ60" s="32"/>
      <c r="EK60" s="32"/>
      <c r="EL60" s="29"/>
      <c r="EM60" s="30"/>
      <c r="EN60" s="30"/>
      <c r="EO60" s="30"/>
      <c r="EP60" s="30"/>
      <c r="EQ60" s="31"/>
      <c r="ER60" s="32"/>
      <c r="ES60" s="32"/>
      <c r="ET60" s="32"/>
      <c r="EU60" s="32"/>
      <c r="EV60" s="29"/>
      <c r="EW60" s="30"/>
      <c r="EX60" s="30"/>
      <c r="EY60" s="30"/>
      <c r="EZ60" s="30"/>
      <c r="FA60" s="31"/>
      <c r="FB60" s="32"/>
      <c r="FC60" s="32"/>
      <c r="FD60" s="32"/>
      <c r="FE60" s="32"/>
      <c r="FF60" s="29"/>
      <c r="FG60" s="30"/>
      <c r="FH60" s="30"/>
      <c r="FI60" s="30"/>
      <c r="FJ60" s="30"/>
      <c r="FK60" s="31"/>
      <c r="FL60" s="32"/>
      <c r="FM60" s="32"/>
      <c r="FN60" s="32"/>
      <c r="FO60" s="32"/>
      <c r="FP60" s="29"/>
      <c r="FQ60" s="30"/>
      <c r="FR60" s="30"/>
      <c r="FS60" s="30"/>
      <c r="FT60" s="30"/>
      <c r="FU60" s="31"/>
      <c r="FV60" s="32"/>
      <c r="FW60" s="32"/>
      <c r="FX60" s="32"/>
      <c r="FY60" s="32"/>
      <c r="FZ60" s="29"/>
      <c r="GA60" s="30"/>
      <c r="GB60" s="30"/>
      <c r="GC60" s="30"/>
      <c r="GD60" s="30"/>
    </row>
    <row r="61" spans="1:186" ht="48" x14ac:dyDescent="0.25">
      <c r="A61" s="156">
        <v>52</v>
      </c>
      <c r="B61" s="395">
        <f>'Tier 3 Intervention'!B215</f>
        <v>0</v>
      </c>
      <c r="C61" s="395"/>
      <c r="D61" s="395"/>
      <c r="E61" s="395"/>
      <c r="F61" s="395"/>
      <c r="G61" s="395"/>
      <c r="H61" s="761" t="e">
        <f>'Tier 3 Intervention'!AA215+30</f>
        <v>#VALUE!</v>
      </c>
      <c r="I61" s="761"/>
      <c r="J61" s="762" t="e">
        <f t="shared" si="1"/>
        <v>#VALUE!</v>
      </c>
      <c r="K61" s="395"/>
      <c r="L61" s="47" t="s">
        <v>838</v>
      </c>
      <c r="M61" s="46"/>
      <c r="N61" s="46"/>
      <c r="O61" s="46"/>
      <c r="P61" s="49"/>
      <c r="Q61" s="19"/>
      <c r="R61" s="20"/>
      <c r="S61" s="20"/>
      <c r="T61" s="20"/>
      <c r="U61" s="20"/>
      <c r="V61" s="21"/>
      <c r="W61" s="22"/>
      <c r="X61" s="22"/>
      <c r="Y61" s="22"/>
      <c r="Z61" s="22"/>
      <c r="AA61" s="19"/>
      <c r="AB61" s="20"/>
      <c r="AC61" s="20"/>
      <c r="AD61" s="20"/>
      <c r="AE61" s="20"/>
      <c r="AF61" s="21"/>
      <c r="AG61" s="22"/>
      <c r="AH61" s="22"/>
      <c r="AI61" s="22"/>
      <c r="AJ61" s="22"/>
      <c r="AK61" s="19"/>
      <c r="AL61" s="20"/>
      <c r="AM61" s="20"/>
      <c r="AN61" s="20"/>
      <c r="AO61" s="20"/>
      <c r="AP61" s="21"/>
      <c r="AQ61" s="22"/>
      <c r="AR61" s="22"/>
      <c r="AS61" s="22"/>
      <c r="AT61" s="22"/>
      <c r="AU61" s="19"/>
      <c r="AV61" s="20"/>
      <c r="AW61" s="20"/>
      <c r="AX61" s="20"/>
      <c r="AY61" s="20"/>
      <c r="AZ61" s="21"/>
      <c r="BA61" s="22"/>
      <c r="BB61" s="22"/>
      <c r="BC61" s="22"/>
      <c r="BD61" s="22"/>
      <c r="BE61" s="19"/>
      <c r="BF61" s="20"/>
      <c r="BG61" s="20"/>
      <c r="BH61" s="20"/>
      <c r="BI61" s="20"/>
      <c r="BJ61" s="21"/>
      <c r="BK61" s="22"/>
      <c r="BL61" s="22"/>
      <c r="BM61" s="22"/>
      <c r="BN61" s="22"/>
      <c r="BO61" s="19"/>
      <c r="BP61" s="20"/>
      <c r="BQ61" s="20"/>
      <c r="BR61" s="20"/>
      <c r="BS61" s="20"/>
      <c r="BT61" s="21"/>
      <c r="BU61" s="22"/>
      <c r="BV61" s="22"/>
      <c r="BW61" s="22"/>
      <c r="BX61" s="22"/>
      <c r="BY61" s="23"/>
      <c r="BZ61" s="24"/>
      <c r="CA61" s="24"/>
      <c r="CB61" s="24"/>
      <c r="CC61" s="24"/>
      <c r="CD61" s="25"/>
      <c r="CE61" s="26"/>
      <c r="CF61" s="26"/>
      <c r="CG61" s="26"/>
      <c r="CH61" s="26"/>
      <c r="CI61" s="27"/>
      <c r="CJ61" s="28"/>
      <c r="CK61" s="28"/>
      <c r="CL61" s="28"/>
      <c r="CM61" s="28"/>
      <c r="CN61" s="25"/>
      <c r="CO61" s="26"/>
      <c r="CP61" s="26"/>
      <c r="CQ61" s="26"/>
      <c r="CR61" s="26"/>
      <c r="CS61" s="27"/>
      <c r="CT61" s="28"/>
      <c r="CU61" s="28"/>
      <c r="CV61" s="28"/>
      <c r="CW61" s="28"/>
      <c r="CX61" s="25"/>
      <c r="CY61" s="26"/>
      <c r="CZ61" s="26"/>
      <c r="DA61" s="26"/>
      <c r="DB61" s="26"/>
      <c r="DC61" s="27"/>
      <c r="DD61" s="28"/>
      <c r="DE61" s="28"/>
      <c r="DF61" s="28"/>
      <c r="DG61" s="28"/>
      <c r="DH61" s="25"/>
      <c r="DI61" s="26"/>
      <c r="DJ61" s="26"/>
      <c r="DK61" s="26"/>
      <c r="DL61" s="26"/>
      <c r="DM61" s="27"/>
      <c r="DN61" s="28"/>
      <c r="DO61" s="28"/>
      <c r="DP61" s="28"/>
      <c r="DQ61" s="28"/>
      <c r="DR61" s="25"/>
      <c r="DS61" s="26"/>
      <c r="DT61" s="26"/>
      <c r="DU61" s="26"/>
      <c r="DV61" s="26"/>
      <c r="DW61" s="27"/>
      <c r="DX61" s="28"/>
      <c r="DY61" s="28"/>
      <c r="DZ61" s="28"/>
      <c r="EA61" s="28"/>
      <c r="EB61" s="29"/>
      <c r="EC61" s="30"/>
      <c r="ED61" s="30"/>
      <c r="EE61" s="30"/>
      <c r="EF61" s="30"/>
      <c r="EG61" s="31"/>
      <c r="EH61" s="32"/>
      <c r="EI61" s="32"/>
      <c r="EJ61" s="32"/>
      <c r="EK61" s="32"/>
      <c r="EL61" s="29"/>
      <c r="EM61" s="30"/>
      <c r="EN61" s="30"/>
      <c r="EO61" s="30"/>
      <c r="EP61" s="30"/>
      <c r="EQ61" s="31"/>
      <c r="ER61" s="32"/>
      <c r="ES61" s="32"/>
      <c r="ET61" s="32"/>
      <c r="EU61" s="32"/>
      <c r="EV61" s="29"/>
      <c r="EW61" s="30"/>
      <c r="EX61" s="30"/>
      <c r="EY61" s="30"/>
      <c r="EZ61" s="30"/>
      <c r="FA61" s="31"/>
      <c r="FB61" s="32"/>
      <c r="FC61" s="32"/>
      <c r="FD61" s="32"/>
      <c r="FE61" s="32"/>
      <c r="FF61" s="29"/>
      <c r="FG61" s="30"/>
      <c r="FH61" s="30"/>
      <c r="FI61" s="30"/>
      <c r="FJ61" s="30"/>
      <c r="FK61" s="31"/>
      <c r="FL61" s="32"/>
      <c r="FM61" s="32"/>
      <c r="FN61" s="32"/>
      <c r="FO61" s="32"/>
      <c r="FP61" s="29"/>
      <c r="FQ61" s="30"/>
      <c r="FR61" s="30"/>
      <c r="FS61" s="30"/>
      <c r="FT61" s="30"/>
      <c r="FU61" s="31"/>
      <c r="FV61" s="32"/>
      <c r="FW61" s="32"/>
      <c r="FX61" s="32"/>
      <c r="FY61" s="32"/>
      <c r="FZ61" s="29"/>
      <c r="GA61" s="30"/>
      <c r="GB61" s="30"/>
      <c r="GC61" s="30"/>
      <c r="GD61" s="30"/>
    </row>
    <row r="62" spans="1:186" ht="48" x14ac:dyDescent="0.25">
      <c r="A62" s="156">
        <v>53</v>
      </c>
      <c r="B62" s="395">
        <f>'Tier 3 Intervention'!B219</f>
        <v>0</v>
      </c>
      <c r="C62" s="395"/>
      <c r="D62" s="395"/>
      <c r="E62" s="395"/>
      <c r="F62" s="395"/>
      <c r="G62" s="395"/>
      <c r="H62" s="761" t="e">
        <f>'Tier 3 Intervention'!AA219+30</f>
        <v>#VALUE!</v>
      </c>
      <c r="I62" s="761"/>
      <c r="J62" s="762" t="e">
        <f t="shared" si="1"/>
        <v>#VALUE!</v>
      </c>
      <c r="K62" s="395"/>
      <c r="L62" s="47" t="s">
        <v>839</v>
      </c>
      <c r="M62" s="46"/>
      <c r="N62" s="46"/>
      <c r="O62" s="46"/>
      <c r="P62" s="49"/>
      <c r="Q62" s="19"/>
      <c r="R62" s="20"/>
      <c r="S62" s="20"/>
      <c r="T62" s="20"/>
      <c r="U62" s="20"/>
      <c r="V62" s="21"/>
      <c r="W62" s="22"/>
      <c r="X62" s="22"/>
      <c r="Y62" s="22"/>
      <c r="Z62" s="22"/>
      <c r="AA62" s="19"/>
      <c r="AB62" s="20"/>
      <c r="AC62" s="20"/>
      <c r="AD62" s="20"/>
      <c r="AE62" s="20"/>
      <c r="AF62" s="21"/>
      <c r="AG62" s="22"/>
      <c r="AH62" s="22"/>
      <c r="AI62" s="22"/>
      <c r="AJ62" s="22"/>
      <c r="AK62" s="19"/>
      <c r="AL62" s="20"/>
      <c r="AM62" s="20"/>
      <c r="AN62" s="20"/>
      <c r="AO62" s="20"/>
      <c r="AP62" s="21"/>
      <c r="AQ62" s="22"/>
      <c r="AR62" s="22"/>
      <c r="AS62" s="22"/>
      <c r="AT62" s="22"/>
      <c r="AU62" s="19"/>
      <c r="AV62" s="20"/>
      <c r="AW62" s="20"/>
      <c r="AX62" s="20"/>
      <c r="AY62" s="20"/>
      <c r="AZ62" s="21"/>
      <c r="BA62" s="22"/>
      <c r="BB62" s="22"/>
      <c r="BC62" s="22"/>
      <c r="BD62" s="22"/>
      <c r="BE62" s="19"/>
      <c r="BF62" s="20"/>
      <c r="BG62" s="20"/>
      <c r="BH62" s="20"/>
      <c r="BI62" s="20"/>
      <c r="BJ62" s="21"/>
      <c r="BK62" s="22"/>
      <c r="BL62" s="22"/>
      <c r="BM62" s="22"/>
      <c r="BN62" s="22"/>
      <c r="BO62" s="19"/>
      <c r="BP62" s="20"/>
      <c r="BQ62" s="20"/>
      <c r="BR62" s="20"/>
      <c r="BS62" s="20"/>
      <c r="BT62" s="21"/>
      <c r="BU62" s="22"/>
      <c r="BV62" s="22"/>
      <c r="BW62" s="22"/>
      <c r="BX62" s="22"/>
      <c r="BY62" s="23"/>
      <c r="BZ62" s="24"/>
      <c r="CA62" s="24"/>
      <c r="CB62" s="24"/>
      <c r="CC62" s="24"/>
      <c r="CD62" s="25"/>
      <c r="CE62" s="26"/>
      <c r="CF62" s="26"/>
      <c r="CG62" s="26"/>
      <c r="CH62" s="26"/>
      <c r="CI62" s="27"/>
      <c r="CJ62" s="28"/>
      <c r="CK62" s="28"/>
      <c r="CL62" s="28"/>
      <c r="CM62" s="28"/>
      <c r="CN62" s="25"/>
      <c r="CO62" s="26"/>
      <c r="CP62" s="26"/>
      <c r="CQ62" s="26"/>
      <c r="CR62" s="26"/>
      <c r="CS62" s="27"/>
      <c r="CT62" s="28"/>
      <c r="CU62" s="28"/>
      <c r="CV62" s="28"/>
      <c r="CW62" s="28"/>
      <c r="CX62" s="25"/>
      <c r="CY62" s="26"/>
      <c r="CZ62" s="26"/>
      <c r="DA62" s="26"/>
      <c r="DB62" s="26"/>
      <c r="DC62" s="27"/>
      <c r="DD62" s="28"/>
      <c r="DE62" s="28"/>
      <c r="DF62" s="28"/>
      <c r="DG62" s="28"/>
      <c r="DH62" s="25"/>
      <c r="DI62" s="26"/>
      <c r="DJ62" s="26"/>
      <c r="DK62" s="26"/>
      <c r="DL62" s="26"/>
      <c r="DM62" s="27"/>
      <c r="DN62" s="28"/>
      <c r="DO62" s="28"/>
      <c r="DP62" s="28"/>
      <c r="DQ62" s="28"/>
      <c r="DR62" s="25"/>
      <c r="DS62" s="26"/>
      <c r="DT62" s="26"/>
      <c r="DU62" s="26"/>
      <c r="DV62" s="26"/>
      <c r="DW62" s="27"/>
      <c r="DX62" s="28"/>
      <c r="DY62" s="28"/>
      <c r="DZ62" s="28"/>
      <c r="EA62" s="28"/>
      <c r="EB62" s="29"/>
      <c r="EC62" s="30"/>
      <c r="ED62" s="30"/>
      <c r="EE62" s="30"/>
      <c r="EF62" s="30"/>
      <c r="EG62" s="31"/>
      <c r="EH62" s="32"/>
      <c r="EI62" s="32"/>
      <c r="EJ62" s="32"/>
      <c r="EK62" s="32"/>
      <c r="EL62" s="29"/>
      <c r="EM62" s="30"/>
      <c r="EN62" s="30"/>
      <c r="EO62" s="30"/>
      <c r="EP62" s="30"/>
      <c r="EQ62" s="31"/>
      <c r="ER62" s="32"/>
      <c r="ES62" s="32"/>
      <c r="ET62" s="32"/>
      <c r="EU62" s="32"/>
      <c r="EV62" s="29"/>
      <c r="EW62" s="30"/>
      <c r="EX62" s="30"/>
      <c r="EY62" s="30"/>
      <c r="EZ62" s="30"/>
      <c r="FA62" s="31"/>
      <c r="FB62" s="32"/>
      <c r="FC62" s="32"/>
      <c r="FD62" s="32"/>
      <c r="FE62" s="32"/>
      <c r="FF62" s="29"/>
      <c r="FG62" s="30"/>
      <c r="FH62" s="30"/>
      <c r="FI62" s="30"/>
      <c r="FJ62" s="30"/>
      <c r="FK62" s="31"/>
      <c r="FL62" s="32"/>
      <c r="FM62" s="32"/>
      <c r="FN62" s="32"/>
      <c r="FO62" s="32"/>
      <c r="FP62" s="29"/>
      <c r="FQ62" s="30"/>
      <c r="FR62" s="30"/>
      <c r="FS62" s="30"/>
      <c r="FT62" s="30"/>
      <c r="FU62" s="31"/>
      <c r="FV62" s="32"/>
      <c r="FW62" s="32"/>
      <c r="FX62" s="32"/>
      <c r="FY62" s="32"/>
      <c r="FZ62" s="29"/>
      <c r="GA62" s="30"/>
      <c r="GB62" s="30"/>
      <c r="GC62" s="30"/>
      <c r="GD62" s="30"/>
    </row>
    <row r="63" spans="1:186" ht="48" x14ac:dyDescent="0.25">
      <c r="A63" s="156">
        <v>54</v>
      </c>
      <c r="B63" s="395">
        <f>'Tier 3 Intervention'!B223</f>
        <v>0</v>
      </c>
      <c r="C63" s="395"/>
      <c r="D63" s="395"/>
      <c r="E63" s="395"/>
      <c r="F63" s="395"/>
      <c r="G63" s="395"/>
      <c r="H63" s="761" t="e">
        <f>'Tier 3 Intervention'!AA223+30</f>
        <v>#VALUE!</v>
      </c>
      <c r="I63" s="761"/>
      <c r="J63" s="762" t="e">
        <f t="shared" si="1"/>
        <v>#VALUE!</v>
      </c>
      <c r="K63" s="395"/>
      <c r="L63" s="47" t="s">
        <v>840</v>
      </c>
      <c r="M63" s="46"/>
      <c r="N63" s="46"/>
      <c r="O63" s="46"/>
      <c r="P63" s="49"/>
      <c r="Q63" s="19"/>
      <c r="R63" s="20"/>
      <c r="S63" s="20"/>
      <c r="T63" s="20"/>
      <c r="U63" s="20"/>
      <c r="V63" s="21"/>
      <c r="W63" s="22"/>
      <c r="X63" s="22"/>
      <c r="Y63" s="22"/>
      <c r="Z63" s="22"/>
      <c r="AA63" s="19"/>
      <c r="AB63" s="20"/>
      <c r="AC63" s="20"/>
      <c r="AD63" s="20"/>
      <c r="AE63" s="20"/>
      <c r="AF63" s="21"/>
      <c r="AG63" s="22"/>
      <c r="AH63" s="22"/>
      <c r="AI63" s="22"/>
      <c r="AJ63" s="22"/>
      <c r="AK63" s="19"/>
      <c r="AL63" s="20"/>
      <c r="AM63" s="20"/>
      <c r="AN63" s="20"/>
      <c r="AO63" s="20"/>
      <c r="AP63" s="21"/>
      <c r="AQ63" s="22"/>
      <c r="AR63" s="22"/>
      <c r="AS63" s="22"/>
      <c r="AT63" s="22"/>
      <c r="AU63" s="19"/>
      <c r="AV63" s="20"/>
      <c r="AW63" s="20"/>
      <c r="AX63" s="20"/>
      <c r="AY63" s="20"/>
      <c r="AZ63" s="21"/>
      <c r="BA63" s="22"/>
      <c r="BB63" s="22"/>
      <c r="BC63" s="22"/>
      <c r="BD63" s="22"/>
      <c r="BE63" s="19"/>
      <c r="BF63" s="20"/>
      <c r="BG63" s="20"/>
      <c r="BH63" s="20"/>
      <c r="BI63" s="20"/>
      <c r="BJ63" s="21"/>
      <c r="BK63" s="22"/>
      <c r="BL63" s="22"/>
      <c r="BM63" s="22"/>
      <c r="BN63" s="22"/>
      <c r="BO63" s="19"/>
      <c r="BP63" s="20"/>
      <c r="BQ63" s="20"/>
      <c r="BR63" s="20"/>
      <c r="BS63" s="20"/>
      <c r="BT63" s="21"/>
      <c r="BU63" s="22"/>
      <c r="BV63" s="22"/>
      <c r="BW63" s="22"/>
      <c r="BX63" s="22"/>
      <c r="BY63" s="23"/>
      <c r="BZ63" s="24"/>
      <c r="CA63" s="24"/>
      <c r="CB63" s="24"/>
      <c r="CC63" s="24"/>
      <c r="CD63" s="25"/>
      <c r="CE63" s="26"/>
      <c r="CF63" s="26"/>
      <c r="CG63" s="26"/>
      <c r="CH63" s="26"/>
      <c r="CI63" s="27"/>
      <c r="CJ63" s="28"/>
      <c r="CK63" s="28"/>
      <c r="CL63" s="28"/>
      <c r="CM63" s="28"/>
      <c r="CN63" s="25"/>
      <c r="CO63" s="26"/>
      <c r="CP63" s="26"/>
      <c r="CQ63" s="26"/>
      <c r="CR63" s="26"/>
      <c r="CS63" s="27"/>
      <c r="CT63" s="28"/>
      <c r="CU63" s="28"/>
      <c r="CV63" s="28"/>
      <c r="CW63" s="28"/>
      <c r="CX63" s="25"/>
      <c r="CY63" s="26"/>
      <c r="CZ63" s="26"/>
      <c r="DA63" s="26"/>
      <c r="DB63" s="26"/>
      <c r="DC63" s="27"/>
      <c r="DD63" s="28"/>
      <c r="DE63" s="28"/>
      <c r="DF63" s="28"/>
      <c r="DG63" s="28"/>
      <c r="DH63" s="25"/>
      <c r="DI63" s="26"/>
      <c r="DJ63" s="26"/>
      <c r="DK63" s="26"/>
      <c r="DL63" s="26"/>
      <c r="DM63" s="27"/>
      <c r="DN63" s="28"/>
      <c r="DO63" s="28"/>
      <c r="DP63" s="28"/>
      <c r="DQ63" s="28"/>
      <c r="DR63" s="25"/>
      <c r="DS63" s="26"/>
      <c r="DT63" s="26"/>
      <c r="DU63" s="26"/>
      <c r="DV63" s="26"/>
      <c r="DW63" s="27"/>
      <c r="DX63" s="28"/>
      <c r="DY63" s="28"/>
      <c r="DZ63" s="28"/>
      <c r="EA63" s="28"/>
      <c r="EB63" s="29"/>
      <c r="EC63" s="30"/>
      <c r="ED63" s="30"/>
      <c r="EE63" s="30"/>
      <c r="EF63" s="30"/>
      <c r="EG63" s="31"/>
      <c r="EH63" s="32"/>
      <c r="EI63" s="32"/>
      <c r="EJ63" s="32"/>
      <c r="EK63" s="32"/>
      <c r="EL63" s="29"/>
      <c r="EM63" s="30"/>
      <c r="EN63" s="30"/>
      <c r="EO63" s="30"/>
      <c r="EP63" s="30"/>
      <c r="EQ63" s="31"/>
      <c r="ER63" s="32"/>
      <c r="ES63" s="32"/>
      <c r="ET63" s="32"/>
      <c r="EU63" s="32"/>
      <c r="EV63" s="29"/>
      <c r="EW63" s="30"/>
      <c r="EX63" s="30"/>
      <c r="EY63" s="30"/>
      <c r="EZ63" s="30"/>
      <c r="FA63" s="31"/>
      <c r="FB63" s="32"/>
      <c r="FC63" s="32"/>
      <c r="FD63" s="32"/>
      <c r="FE63" s="32"/>
      <c r="FF63" s="29"/>
      <c r="FG63" s="30"/>
      <c r="FH63" s="30"/>
      <c r="FI63" s="30"/>
      <c r="FJ63" s="30"/>
      <c r="FK63" s="31"/>
      <c r="FL63" s="32"/>
      <c r="FM63" s="32"/>
      <c r="FN63" s="32"/>
      <c r="FO63" s="32"/>
      <c r="FP63" s="29"/>
      <c r="FQ63" s="30"/>
      <c r="FR63" s="30"/>
      <c r="FS63" s="30"/>
      <c r="FT63" s="30"/>
      <c r="FU63" s="31"/>
      <c r="FV63" s="32"/>
      <c r="FW63" s="32"/>
      <c r="FX63" s="32"/>
      <c r="FY63" s="32"/>
      <c r="FZ63" s="29"/>
      <c r="GA63" s="30"/>
      <c r="GB63" s="30"/>
      <c r="GC63" s="30"/>
      <c r="GD63" s="30"/>
    </row>
    <row r="64" spans="1:186" ht="48" x14ac:dyDescent="0.25">
      <c r="A64" s="156">
        <v>55</v>
      </c>
      <c r="B64" s="395">
        <f>'Tier 3 Intervention'!B227</f>
        <v>0</v>
      </c>
      <c r="C64" s="395"/>
      <c r="D64" s="395"/>
      <c r="E64" s="395"/>
      <c r="F64" s="395"/>
      <c r="G64" s="395"/>
      <c r="H64" s="761" t="e">
        <f>'Tier 3 Intervention'!AA227+30</f>
        <v>#VALUE!</v>
      </c>
      <c r="I64" s="761"/>
      <c r="J64" s="762" t="e">
        <f t="shared" si="1"/>
        <v>#VALUE!</v>
      </c>
      <c r="K64" s="395"/>
      <c r="L64" s="47" t="s">
        <v>841</v>
      </c>
      <c r="M64" s="46"/>
      <c r="N64" s="46"/>
      <c r="O64" s="46"/>
      <c r="P64" s="49"/>
      <c r="Q64" s="19"/>
      <c r="R64" s="20"/>
      <c r="S64" s="20"/>
      <c r="T64" s="20"/>
      <c r="U64" s="20"/>
      <c r="V64" s="21"/>
      <c r="W64" s="22"/>
      <c r="X64" s="22"/>
      <c r="Y64" s="22"/>
      <c r="Z64" s="22"/>
      <c r="AA64" s="19"/>
      <c r="AB64" s="20"/>
      <c r="AC64" s="20"/>
      <c r="AD64" s="20"/>
      <c r="AE64" s="20"/>
      <c r="AF64" s="21"/>
      <c r="AG64" s="22"/>
      <c r="AH64" s="22"/>
      <c r="AI64" s="22"/>
      <c r="AJ64" s="22"/>
      <c r="AK64" s="19"/>
      <c r="AL64" s="20"/>
      <c r="AM64" s="20"/>
      <c r="AN64" s="20"/>
      <c r="AO64" s="20"/>
      <c r="AP64" s="21"/>
      <c r="AQ64" s="22"/>
      <c r="AR64" s="22"/>
      <c r="AS64" s="22"/>
      <c r="AT64" s="22"/>
      <c r="AU64" s="19"/>
      <c r="AV64" s="20"/>
      <c r="AW64" s="20"/>
      <c r="AX64" s="20"/>
      <c r="AY64" s="20"/>
      <c r="AZ64" s="21"/>
      <c r="BA64" s="22"/>
      <c r="BB64" s="22"/>
      <c r="BC64" s="22"/>
      <c r="BD64" s="22"/>
      <c r="BE64" s="19"/>
      <c r="BF64" s="20"/>
      <c r="BG64" s="20"/>
      <c r="BH64" s="20"/>
      <c r="BI64" s="20"/>
      <c r="BJ64" s="21"/>
      <c r="BK64" s="22"/>
      <c r="BL64" s="22"/>
      <c r="BM64" s="22"/>
      <c r="BN64" s="22"/>
      <c r="BO64" s="19"/>
      <c r="BP64" s="20"/>
      <c r="BQ64" s="20"/>
      <c r="BR64" s="20"/>
      <c r="BS64" s="20"/>
      <c r="BT64" s="21"/>
      <c r="BU64" s="22"/>
      <c r="BV64" s="22"/>
      <c r="BW64" s="22"/>
      <c r="BX64" s="22"/>
      <c r="BY64" s="23"/>
      <c r="BZ64" s="24"/>
      <c r="CA64" s="24"/>
      <c r="CB64" s="24"/>
      <c r="CC64" s="24"/>
      <c r="CD64" s="25"/>
      <c r="CE64" s="26"/>
      <c r="CF64" s="26"/>
      <c r="CG64" s="26"/>
      <c r="CH64" s="26"/>
      <c r="CI64" s="27"/>
      <c r="CJ64" s="28"/>
      <c r="CK64" s="28"/>
      <c r="CL64" s="28"/>
      <c r="CM64" s="28"/>
      <c r="CN64" s="25"/>
      <c r="CO64" s="26"/>
      <c r="CP64" s="26"/>
      <c r="CQ64" s="26"/>
      <c r="CR64" s="26"/>
      <c r="CS64" s="27"/>
      <c r="CT64" s="28"/>
      <c r="CU64" s="28"/>
      <c r="CV64" s="28"/>
      <c r="CW64" s="28"/>
      <c r="CX64" s="25"/>
      <c r="CY64" s="26"/>
      <c r="CZ64" s="26"/>
      <c r="DA64" s="26"/>
      <c r="DB64" s="26"/>
      <c r="DC64" s="27"/>
      <c r="DD64" s="28"/>
      <c r="DE64" s="28"/>
      <c r="DF64" s="28"/>
      <c r="DG64" s="28"/>
      <c r="DH64" s="25"/>
      <c r="DI64" s="26"/>
      <c r="DJ64" s="26"/>
      <c r="DK64" s="26"/>
      <c r="DL64" s="26"/>
      <c r="DM64" s="27"/>
      <c r="DN64" s="28"/>
      <c r="DO64" s="28"/>
      <c r="DP64" s="28"/>
      <c r="DQ64" s="28"/>
      <c r="DR64" s="25"/>
      <c r="DS64" s="26"/>
      <c r="DT64" s="26"/>
      <c r="DU64" s="26"/>
      <c r="DV64" s="26"/>
      <c r="DW64" s="27"/>
      <c r="DX64" s="28"/>
      <c r="DY64" s="28"/>
      <c r="DZ64" s="28"/>
      <c r="EA64" s="28"/>
      <c r="EB64" s="29"/>
      <c r="EC64" s="30"/>
      <c r="ED64" s="30"/>
      <c r="EE64" s="30"/>
      <c r="EF64" s="30"/>
      <c r="EG64" s="31"/>
      <c r="EH64" s="32"/>
      <c r="EI64" s="32"/>
      <c r="EJ64" s="32"/>
      <c r="EK64" s="32"/>
      <c r="EL64" s="29"/>
      <c r="EM64" s="30"/>
      <c r="EN64" s="30"/>
      <c r="EO64" s="30"/>
      <c r="EP64" s="30"/>
      <c r="EQ64" s="31"/>
      <c r="ER64" s="32"/>
      <c r="ES64" s="32"/>
      <c r="ET64" s="32"/>
      <c r="EU64" s="32"/>
      <c r="EV64" s="29"/>
      <c r="EW64" s="30"/>
      <c r="EX64" s="30"/>
      <c r="EY64" s="30"/>
      <c r="EZ64" s="30"/>
      <c r="FA64" s="31"/>
      <c r="FB64" s="32"/>
      <c r="FC64" s="32"/>
      <c r="FD64" s="32"/>
      <c r="FE64" s="32"/>
      <c r="FF64" s="29"/>
      <c r="FG64" s="30"/>
      <c r="FH64" s="30"/>
      <c r="FI64" s="30"/>
      <c r="FJ64" s="30"/>
      <c r="FK64" s="31"/>
      <c r="FL64" s="32"/>
      <c r="FM64" s="32"/>
      <c r="FN64" s="32"/>
      <c r="FO64" s="32"/>
      <c r="FP64" s="29"/>
      <c r="FQ64" s="30"/>
      <c r="FR64" s="30"/>
      <c r="FS64" s="30"/>
      <c r="FT64" s="30"/>
      <c r="FU64" s="31"/>
      <c r="FV64" s="32"/>
      <c r="FW64" s="32"/>
      <c r="FX64" s="32"/>
      <c r="FY64" s="32"/>
      <c r="FZ64" s="29"/>
      <c r="GA64" s="30"/>
      <c r="GB64" s="30"/>
      <c r="GC64" s="30"/>
      <c r="GD64" s="30"/>
    </row>
    <row r="65" spans="1:186" ht="48" x14ac:dyDescent="0.25">
      <c r="A65" s="156">
        <v>56</v>
      </c>
      <c r="B65" s="395">
        <f>'Tier 3 Intervention'!B231</f>
        <v>0</v>
      </c>
      <c r="C65" s="395"/>
      <c r="D65" s="395"/>
      <c r="E65" s="395"/>
      <c r="F65" s="395"/>
      <c r="G65" s="395"/>
      <c r="H65" s="761" t="e">
        <f>'Tier 3 Intervention'!AA231+30</f>
        <v>#VALUE!</v>
      </c>
      <c r="I65" s="761"/>
      <c r="J65" s="762" t="e">
        <f t="shared" si="1"/>
        <v>#VALUE!</v>
      </c>
      <c r="K65" s="395"/>
      <c r="L65" s="47" t="s">
        <v>842</v>
      </c>
      <c r="M65" s="46"/>
      <c r="N65" s="46"/>
      <c r="O65" s="46"/>
      <c r="P65" s="49"/>
      <c r="Q65" s="19"/>
      <c r="R65" s="20"/>
      <c r="S65" s="20"/>
      <c r="T65" s="20"/>
      <c r="U65" s="20"/>
      <c r="V65" s="21"/>
      <c r="W65" s="22"/>
      <c r="X65" s="22"/>
      <c r="Y65" s="22"/>
      <c r="Z65" s="22"/>
      <c r="AA65" s="19"/>
      <c r="AB65" s="20"/>
      <c r="AC65" s="20"/>
      <c r="AD65" s="20"/>
      <c r="AE65" s="20"/>
      <c r="AF65" s="21"/>
      <c r="AG65" s="22"/>
      <c r="AH65" s="22"/>
      <c r="AI65" s="22"/>
      <c r="AJ65" s="22"/>
      <c r="AK65" s="19"/>
      <c r="AL65" s="20"/>
      <c r="AM65" s="20"/>
      <c r="AN65" s="20"/>
      <c r="AO65" s="20"/>
      <c r="AP65" s="21"/>
      <c r="AQ65" s="22"/>
      <c r="AR65" s="22"/>
      <c r="AS65" s="22"/>
      <c r="AT65" s="22"/>
      <c r="AU65" s="19"/>
      <c r="AV65" s="20"/>
      <c r="AW65" s="20"/>
      <c r="AX65" s="20"/>
      <c r="AY65" s="20"/>
      <c r="AZ65" s="21"/>
      <c r="BA65" s="22"/>
      <c r="BB65" s="22"/>
      <c r="BC65" s="22"/>
      <c r="BD65" s="22"/>
      <c r="BE65" s="19"/>
      <c r="BF65" s="20"/>
      <c r="BG65" s="20"/>
      <c r="BH65" s="20"/>
      <c r="BI65" s="20"/>
      <c r="BJ65" s="21"/>
      <c r="BK65" s="22"/>
      <c r="BL65" s="22"/>
      <c r="BM65" s="22"/>
      <c r="BN65" s="22"/>
      <c r="BO65" s="19"/>
      <c r="BP65" s="20"/>
      <c r="BQ65" s="20"/>
      <c r="BR65" s="20"/>
      <c r="BS65" s="20"/>
      <c r="BT65" s="21"/>
      <c r="BU65" s="22"/>
      <c r="BV65" s="22"/>
      <c r="BW65" s="22"/>
      <c r="BX65" s="22"/>
      <c r="BY65" s="23"/>
      <c r="BZ65" s="24"/>
      <c r="CA65" s="24"/>
      <c r="CB65" s="24"/>
      <c r="CC65" s="24"/>
      <c r="CD65" s="25"/>
      <c r="CE65" s="26"/>
      <c r="CF65" s="26"/>
      <c r="CG65" s="26"/>
      <c r="CH65" s="26"/>
      <c r="CI65" s="27"/>
      <c r="CJ65" s="28"/>
      <c r="CK65" s="28"/>
      <c r="CL65" s="28"/>
      <c r="CM65" s="28"/>
      <c r="CN65" s="25"/>
      <c r="CO65" s="26"/>
      <c r="CP65" s="26"/>
      <c r="CQ65" s="26"/>
      <c r="CR65" s="26"/>
      <c r="CS65" s="27"/>
      <c r="CT65" s="28"/>
      <c r="CU65" s="28"/>
      <c r="CV65" s="28"/>
      <c r="CW65" s="28"/>
      <c r="CX65" s="25"/>
      <c r="CY65" s="26"/>
      <c r="CZ65" s="26"/>
      <c r="DA65" s="26"/>
      <c r="DB65" s="26"/>
      <c r="DC65" s="27"/>
      <c r="DD65" s="28"/>
      <c r="DE65" s="28"/>
      <c r="DF65" s="28"/>
      <c r="DG65" s="28"/>
      <c r="DH65" s="25"/>
      <c r="DI65" s="26"/>
      <c r="DJ65" s="26"/>
      <c r="DK65" s="26"/>
      <c r="DL65" s="26"/>
      <c r="DM65" s="27"/>
      <c r="DN65" s="28"/>
      <c r="DO65" s="28"/>
      <c r="DP65" s="28"/>
      <c r="DQ65" s="28"/>
      <c r="DR65" s="25"/>
      <c r="DS65" s="26"/>
      <c r="DT65" s="26"/>
      <c r="DU65" s="26"/>
      <c r="DV65" s="26"/>
      <c r="DW65" s="27"/>
      <c r="DX65" s="28"/>
      <c r="DY65" s="28"/>
      <c r="DZ65" s="28"/>
      <c r="EA65" s="28"/>
      <c r="EB65" s="29"/>
      <c r="EC65" s="30"/>
      <c r="ED65" s="30"/>
      <c r="EE65" s="30"/>
      <c r="EF65" s="30"/>
      <c r="EG65" s="31"/>
      <c r="EH65" s="32"/>
      <c r="EI65" s="32"/>
      <c r="EJ65" s="32"/>
      <c r="EK65" s="32"/>
      <c r="EL65" s="29"/>
      <c r="EM65" s="30"/>
      <c r="EN65" s="30"/>
      <c r="EO65" s="30"/>
      <c r="EP65" s="30"/>
      <c r="EQ65" s="31"/>
      <c r="ER65" s="32"/>
      <c r="ES65" s="32"/>
      <c r="ET65" s="32"/>
      <c r="EU65" s="32"/>
      <c r="EV65" s="29"/>
      <c r="EW65" s="30"/>
      <c r="EX65" s="30"/>
      <c r="EY65" s="30"/>
      <c r="EZ65" s="30"/>
      <c r="FA65" s="31"/>
      <c r="FB65" s="32"/>
      <c r="FC65" s="32"/>
      <c r="FD65" s="32"/>
      <c r="FE65" s="32"/>
      <c r="FF65" s="29"/>
      <c r="FG65" s="30"/>
      <c r="FH65" s="30"/>
      <c r="FI65" s="30"/>
      <c r="FJ65" s="30"/>
      <c r="FK65" s="31"/>
      <c r="FL65" s="32"/>
      <c r="FM65" s="32"/>
      <c r="FN65" s="32"/>
      <c r="FO65" s="32"/>
      <c r="FP65" s="29"/>
      <c r="FQ65" s="30"/>
      <c r="FR65" s="30"/>
      <c r="FS65" s="30"/>
      <c r="FT65" s="30"/>
      <c r="FU65" s="31"/>
      <c r="FV65" s="32"/>
      <c r="FW65" s="32"/>
      <c r="FX65" s="32"/>
      <c r="FY65" s="32"/>
      <c r="FZ65" s="29"/>
      <c r="GA65" s="30"/>
      <c r="GB65" s="30"/>
      <c r="GC65" s="30"/>
      <c r="GD65" s="30"/>
    </row>
    <row r="66" spans="1:186" ht="48" x14ac:dyDescent="0.25">
      <c r="A66" s="156">
        <v>57</v>
      </c>
      <c r="B66" s="395">
        <f>'Tier 3 Intervention'!B235</f>
        <v>0</v>
      </c>
      <c r="C66" s="395"/>
      <c r="D66" s="395"/>
      <c r="E66" s="395"/>
      <c r="F66" s="395"/>
      <c r="G66" s="395"/>
      <c r="H66" s="761" t="e">
        <f>'Tier 3 Intervention'!AA235+30</f>
        <v>#VALUE!</v>
      </c>
      <c r="I66" s="761"/>
      <c r="J66" s="762" t="e">
        <f t="shared" si="1"/>
        <v>#VALUE!</v>
      </c>
      <c r="K66" s="395"/>
      <c r="L66" s="47" t="s">
        <v>843</v>
      </c>
      <c r="M66" s="46"/>
      <c r="N66" s="46"/>
      <c r="O66" s="46"/>
      <c r="P66" s="49"/>
      <c r="Q66" s="19"/>
      <c r="R66" s="20"/>
      <c r="S66" s="20"/>
      <c r="T66" s="20"/>
      <c r="U66" s="20"/>
      <c r="V66" s="21"/>
      <c r="W66" s="22"/>
      <c r="X66" s="22"/>
      <c r="Y66" s="22"/>
      <c r="Z66" s="22"/>
      <c r="AA66" s="19"/>
      <c r="AB66" s="20"/>
      <c r="AC66" s="20"/>
      <c r="AD66" s="20"/>
      <c r="AE66" s="20"/>
      <c r="AF66" s="21"/>
      <c r="AG66" s="22"/>
      <c r="AH66" s="22"/>
      <c r="AI66" s="22"/>
      <c r="AJ66" s="22"/>
      <c r="AK66" s="19"/>
      <c r="AL66" s="20"/>
      <c r="AM66" s="20"/>
      <c r="AN66" s="20"/>
      <c r="AO66" s="20"/>
      <c r="AP66" s="21"/>
      <c r="AQ66" s="22"/>
      <c r="AR66" s="22"/>
      <c r="AS66" s="22"/>
      <c r="AT66" s="22"/>
      <c r="AU66" s="19"/>
      <c r="AV66" s="20"/>
      <c r="AW66" s="20"/>
      <c r="AX66" s="20"/>
      <c r="AY66" s="20"/>
      <c r="AZ66" s="21"/>
      <c r="BA66" s="22"/>
      <c r="BB66" s="22"/>
      <c r="BC66" s="22"/>
      <c r="BD66" s="22"/>
      <c r="BE66" s="19"/>
      <c r="BF66" s="20"/>
      <c r="BG66" s="20"/>
      <c r="BH66" s="20"/>
      <c r="BI66" s="20"/>
      <c r="BJ66" s="21"/>
      <c r="BK66" s="22"/>
      <c r="BL66" s="22"/>
      <c r="BM66" s="22"/>
      <c r="BN66" s="22"/>
      <c r="BO66" s="19"/>
      <c r="BP66" s="20"/>
      <c r="BQ66" s="20"/>
      <c r="BR66" s="20"/>
      <c r="BS66" s="20"/>
      <c r="BT66" s="21"/>
      <c r="BU66" s="22"/>
      <c r="BV66" s="22"/>
      <c r="BW66" s="22"/>
      <c r="BX66" s="22"/>
      <c r="BY66" s="23"/>
      <c r="BZ66" s="24"/>
      <c r="CA66" s="24"/>
      <c r="CB66" s="24"/>
      <c r="CC66" s="24"/>
      <c r="CD66" s="25"/>
      <c r="CE66" s="26"/>
      <c r="CF66" s="26"/>
      <c r="CG66" s="26"/>
      <c r="CH66" s="26"/>
      <c r="CI66" s="27"/>
      <c r="CJ66" s="28"/>
      <c r="CK66" s="28"/>
      <c r="CL66" s="28"/>
      <c r="CM66" s="28"/>
      <c r="CN66" s="25"/>
      <c r="CO66" s="26"/>
      <c r="CP66" s="26"/>
      <c r="CQ66" s="26"/>
      <c r="CR66" s="26"/>
      <c r="CS66" s="27"/>
      <c r="CT66" s="28"/>
      <c r="CU66" s="28"/>
      <c r="CV66" s="28"/>
      <c r="CW66" s="28"/>
      <c r="CX66" s="25"/>
      <c r="CY66" s="26"/>
      <c r="CZ66" s="26"/>
      <c r="DA66" s="26"/>
      <c r="DB66" s="26"/>
      <c r="DC66" s="27"/>
      <c r="DD66" s="28"/>
      <c r="DE66" s="28"/>
      <c r="DF66" s="28"/>
      <c r="DG66" s="28"/>
      <c r="DH66" s="25"/>
      <c r="DI66" s="26"/>
      <c r="DJ66" s="26"/>
      <c r="DK66" s="26"/>
      <c r="DL66" s="26"/>
      <c r="DM66" s="27"/>
      <c r="DN66" s="28"/>
      <c r="DO66" s="28"/>
      <c r="DP66" s="28"/>
      <c r="DQ66" s="28"/>
      <c r="DR66" s="25"/>
      <c r="DS66" s="26"/>
      <c r="DT66" s="26"/>
      <c r="DU66" s="26"/>
      <c r="DV66" s="26"/>
      <c r="DW66" s="27"/>
      <c r="DX66" s="28"/>
      <c r="DY66" s="28"/>
      <c r="DZ66" s="28"/>
      <c r="EA66" s="28"/>
      <c r="EB66" s="29"/>
      <c r="EC66" s="30"/>
      <c r="ED66" s="30"/>
      <c r="EE66" s="30"/>
      <c r="EF66" s="30"/>
      <c r="EG66" s="31"/>
      <c r="EH66" s="32"/>
      <c r="EI66" s="32"/>
      <c r="EJ66" s="32"/>
      <c r="EK66" s="32"/>
      <c r="EL66" s="29"/>
      <c r="EM66" s="30"/>
      <c r="EN66" s="30"/>
      <c r="EO66" s="30"/>
      <c r="EP66" s="30"/>
      <c r="EQ66" s="31"/>
      <c r="ER66" s="32"/>
      <c r="ES66" s="32"/>
      <c r="ET66" s="32"/>
      <c r="EU66" s="32"/>
      <c r="EV66" s="29"/>
      <c r="EW66" s="30"/>
      <c r="EX66" s="30"/>
      <c r="EY66" s="30"/>
      <c r="EZ66" s="30"/>
      <c r="FA66" s="31"/>
      <c r="FB66" s="32"/>
      <c r="FC66" s="32"/>
      <c r="FD66" s="32"/>
      <c r="FE66" s="32"/>
      <c r="FF66" s="29"/>
      <c r="FG66" s="30"/>
      <c r="FH66" s="30"/>
      <c r="FI66" s="30"/>
      <c r="FJ66" s="30"/>
      <c r="FK66" s="31"/>
      <c r="FL66" s="32"/>
      <c r="FM66" s="32"/>
      <c r="FN66" s="32"/>
      <c r="FO66" s="32"/>
      <c r="FP66" s="29"/>
      <c r="FQ66" s="30"/>
      <c r="FR66" s="30"/>
      <c r="FS66" s="30"/>
      <c r="FT66" s="30"/>
      <c r="FU66" s="31"/>
      <c r="FV66" s="32"/>
      <c r="FW66" s="32"/>
      <c r="FX66" s="32"/>
      <c r="FY66" s="32"/>
      <c r="FZ66" s="29"/>
      <c r="GA66" s="30"/>
      <c r="GB66" s="30"/>
      <c r="GC66" s="30"/>
      <c r="GD66" s="30"/>
    </row>
    <row r="67" spans="1:186" ht="48" x14ac:dyDescent="0.25">
      <c r="A67" s="156">
        <v>58</v>
      </c>
      <c r="B67" s="395">
        <f>'Tier 3 Intervention'!B239</f>
        <v>0</v>
      </c>
      <c r="C67" s="395"/>
      <c r="D67" s="395"/>
      <c r="E67" s="395"/>
      <c r="F67" s="395"/>
      <c r="G67" s="395"/>
      <c r="H67" s="761" t="e">
        <f>'Tier 3 Intervention'!AA239+30</f>
        <v>#VALUE!</v>
      </c>
      <c r="I67" s="761"/>
      <c r="J67" s="762" t="e">
        <f t="shared" si="1"/>
        <v>#VALUE!</v>
      </c>
      <c r="K67" s="395"/>
      <c r="L67" s="47" t="s">
        <v>844</v>
      </c>
      <c r="M67" s="46"/>
      <c r="N67" s="46"/>
      <c r="O67" s="46"/>
      <c r="P67" s="49"/>
      <c r="Q67" s="19"/>
      <c r="R67" s="20"/>
      <c r="S67" s="20"/>
      <c r="T67" s="20"/>
      <c r="U67" s="20"/>
      <c r="V67" s="21"/>
      <c r="W67" s="22"/>
      <c r="X67" s="22"/>
      <c r="Y67" s="22"/>
      <c r="Z67" s="22"/>
      <c r="AA67" s="19"/>
      <c r="AB67" s="20"/>
      <c r="AC67" s="20"/>
      <c r="AD67" s="20"/>
      <c r="AE67" s="20"/>
      <c r="AF67" s="21"/>
      <c r="AG67" s="22"/>
      <c r="AH67" s="22"/>
      <c r="AI67" s="22"/>
      <c r="AJ67" s="22"/>
      <c r="AK67" s="19"/>
      <c r="AL67" s="20"/>
      <c r="AM67" s="20"/>
      <c r="AN67" s="20"/>
      <c r="AO67" s="20"/>
      <c r="AP67" s="21"/>
      <c r="AQ67" s="22"/>
      <c r="AR67" s="22"/>
      <c r="AS67" s="22"/>
      <c r="AT67" s="22"/>
      <c r="AU67" s="19"/>
      <c r="AV67" s="20"/>
      <c r="AW67" s="20"/>
      <c r="AX67" s="20"/>
      <c r="AY67" s="20"/>
      <c r="AZ67" s="21"/>
      <c r="BA67" s="22"/>
      <c r="BB67" s="22"/>
      <c r="BC67" s="22"/>
      <c r="BD67" s="22"/>
      <c r="BE67" s="19"/>
      <c r="BF67" s="20"/>
      <c r="BG67" s="20"/>
      <c r="BH67" s="20"/>
      <c r="BI67" s="20"/>
      <c r="BJ67" s="21"/>
      <c r="BK67" s="22"/>
      <c r="BL67" s="22"/>
      <c r="BM67" s="22"/>
      <c r="BN67" s="22"/>
      <c r="BO67" s="19"/>
      <c r="BP67" s="20"/>
      <c r="BQ67" s="20"/>
      <c r="BR67" s="20"/>
      <c r="BS67" s="20"/>
      <c r="BT67" s="21"/>
      <c r="BU67" s="22"/>
      <c r="BV67" s="22"/>
      <c r="BW67" s="22"/>
      <c r="BX67" s="22"/>
      <c r="BY67" s="23"/>
      <c r="BZ67" s="24"/>
      <c r="CA67" s="24"/>
      <c r="CB67" s="24"/>
      <c r="CC67" s="24"/>
      <c r="CD67" s="25"/>
      <c r="CE67" s="26"/>
      <c r="CF67" s="26"/>
      <c r="CG67" s="26"/>
      <c r="CH67" s="26"/>
      <c r="CI67" s="27"/>
      <c r="CJ67" s="28"/>
      <c r="CK67" s="28"/>
      <c r="CL67" s="28"/>
      <c r="CM67" s="28"/>
      <c r="CN67" s="25"/>
      <c r="CO67" s="26"/>
      <c r="CP67" s="26"/>
      <c r="CQ67" s="26"/>
      <c r="CR67" s="26"/>
      <c r="CS67" s="27"/>
      <c r="CT67" s="28"/>
      <c r="CU67" s="28"/>
      <c r="CV67" s="28"/>
      <c r="CW67" s="28"/>
      <c r="CX67" s="25"/>
      <c r="CY67" s="26"/>
      <c r="CZ67" s="26"/>
      <c r="DA67" s="26"/>
      <c r="DB67" s="26"/>
      <c r="DC67" s="27"/>
      <c r="DD67" s="28"/>
      <c r="DE67" s="28"/>
      <c r="DF67" s="28"/>
      <c r="DG67" s="28"/>
      <c r="DH67" s="25"/>
      <c r="DI67" s="26"/>
      <c r="DJ67" s="26"/>
      <c r="DK67" s="26"/>
      <c r="DL67" s="26"/>
      <c r="DM67" s="27"/>
      <c r="DN67" s="28"/>
      <c r="DO67" s="28"/>
      <c r="DP67" s="28"/>
      <c r="DQ67" s="28"/>
      <c r="DR67" s="25"/>
      <c r="DS67" s="26"/>
      <c r="DT67" s="26"/>
      <c r="DU67" s="26"/>
      <c r="DV67" s="26"/>
      <c r="DW67" s="27"/>
      <c r="DX67" s="28"/>
      <c r="DY67" s="28"/>
      <c r="DZ67" s="28"/>
      <c r="EA67" s="28"/>
      <c r="EB67" s="29"/>
      <c r="EC67" s="30"/>
      <c r="ED67" s="30"/>
      <c r="EE67" s="30"/>
      <c r="EF67" s="30"/>
      <c r="EG67" s="31"/>
      <c r="EH67" s="32"/>
      <c r="EI67" s="32"/>
      <c r="EJ67" s="32"/>
      <c r="EK67" s="32"/>
      <c r="EL67" s="29"/>
      <c r="EM67" s="30"/>
      <c r="EN67" s="30"/>
      <c r="EO67" s="30"/>
      <c r="EP67" s="30"/>
      <c r="EQ67" s="31"/>
      <c r="ER67" s="32"/>
      <c r="ES67" s="32"/>
      <c r="ET67" s="32"/>
      <c r="EU67" s="32"/>
      <c r="EV67" s="29"/>
      <c r="EW67" s="30"/>
      <c r="EX67" s="30"/>
      <c r="EY67" s="30"/>
      <c r="EZ67" s="30"/>
      <c r="FA67" s="31"/>
      <c r="FB67" s="32"/>
      <c r="FC67" s="32"/>
      <c r="FD67" s="32"/>
      <c r="FE67" s="32"/>
      <c r="FF67" s="29"/>
      <c r="FG67" s="30"/>
      <c r="FH67" s="30"/>
      <c r="FI67" s="30"/>
      <c r="FJ67" s="30"/>
      <c r="FK67" s="31"/>
      <c r="FL67" s="32"/>
      <c r="FM67" s="32"/>
      <c r="FN67" s="32"/>
      <c r="FO67" s="32"/>
      <c r="FP67" s="29"/>
      <c r="FQ67" s="30"/>
      <c r="FR67" s="30"/>
      <c r="FS67" s="30"/>
      <c r="FT67" s="30"/>
      <c r="FU67" s="31"/>
      <c r="FV67" s="32"/>
      <c r="FW67" s="32"/>
      <c r="FX67" s="32"/>
      <c r="FY67" s="32"/>
      <c r="FZ67" s="29"/>
      <c r="GA67" s="30"/>
      <c r="GB67" s="30"/>
      <c r="GC67" s="30"/>
      <c r="GD67" s="30"/>
    </row>
    <row r="68" spans="1:186" ht="48" x14ac:dyDescent="0.25">
      <c r="A68" s="156">
        <v>59</v>
      </c>
      <c r="B68" s="395">
        <f>'Tier 3 Intervention'!B243</f>
        <v>0</v>
      </c>
      <c r="C68" s="395"/>
      <c r="D68" s="395"/>
      <c r="E68" s="395"/>
      <c r="F68" s="395"/>
      <c r="G68" s="395"/>
      <c r="H68" s="761" t="e">
        <f>'Tier 3 Intervention'!AA243+30</f>
        <v>#VALUE!</v>
      </c>
      <c r="I68" s="761"/>
      <c r="J68" s="762" t="e">
        <f t="shared" si="1"/>
        <v>#VALUE!</v>
      </c>
      <c r="K68" s="395"/>
      <c r="L68" s="47" t="s">
        <v>845</v>
      </c>
      <c r="M68" s="46"/>
      <c r="N68" s="46"/>
      <c r="O68" s="46"/>
      <c r="P68" s="49"/>
      <c r="Q68" s="19"/>
      <c r="R68" s="20"/>
      <c r="S68" s="20"/>
      <c r="T68" s="20"/>
      <c r="U68" s="20"/>
      <c r="V68" s="21"/>
      <c r="W68" s="22"/>
      <c r="X68" s="22"/>
      <c r="Y68" s="22"/>
      <c r="Z68" s="22"/>
      <c r="AA68" s="19"/>
      <c r="AB68" s="20"/>
      <c r="AC68" s="20"/>
      <c r="AD68" s="20"/>
      <c r="AE68" s="20"/>
      <c r="AF68" s="21"/>
      <c r="AG68" s="22"/>
      <c r="AH68" s="22"/>
      <c r="AI68" s="22"/>
      <c r="AJ68" s="22"/>
      <c r="AK68" s="19"/>
      <c r="AL68" s="20"/>
      <c r="AM68" s="20"/>
      <c r="AN68" s="20"/>
      <c r="AO68" s="20"/>
      <c r="AP68" s="21"/>
      <c r="AQ68" s="22"/>
      <c r="AR68" s="22"/>
      <c r="AS68" s="22"/>
      <c r="AT68" s="22"/>
      <c r="AU68" s="19"/>
      <c r="AV68" s="20"/>
      <c r="AW68" s="20"/>
      <c r="AX68" s="20"/>
      <c r="AY68" s="20"/>
      <c r="AZ68" s="21"/>
      <c r="BA68" s="22"/>
      <c r="BB68" s="22"/>
      <c r="BC68" s="22"/>
      <c r="BD68" s="22"/>
      <c r="BE68" s="19"/>
      <c r="BF68" s="20"/>
      <c r="BG68" s="20"/>
      <c r="BH68" s="20"/>
      <c r="BI68" s="20"/>
      <c r="BJ68" s="21"/>
      <c r="BK68" s="22"/>
      <c r="BL68" s="22"/>
      <c r="BM68" s="22"/>
      <c r="BN68" s="22"/>
      <c r="BO68" s="19"/>
      <c r="BP68" s="20"/>
      <c r="BQ68" s="20"/>
      <c r="BR68" s="20"/>
      <c r="BS68" s="20"/>
      <c r="BT68" s="21"/>
      <c r="BU68" s="22"/>
      <c r="BV68" s="22"/>
      <c r="BW68" s="22"/>
      <c r="BX68" s="22"/>
      <c r="BY68" s="23"/>
      <c r="BZ68" s="24"/>
      <c r="CA68" s="24"/>
      <c r="CB68" s="24"/>
      <c r="CC68" s="24"/>
      <c r="CD68" s="25"/>
      <c r="CE68" s="26"/>
      <c r="CF68" s="26"/>
      <c r="CG68" s="26"/>
      <c r="CH68" s="26"/>
      <c r="CI68" s="27"/>
      <c r="CJ68" s="28"/>
      <c r="CK68" s="28"/>
      <c r="CL68" s="28"/>
      <c r="CM68" s="28"/>
      <c r="CN68" s="25"/>
      <c r="CO68" s="26"/>
      <c r="CP68" s="26"/>
      <c r="CQ68" s="26"/>
      <c r="CR68" s="26"/>
      <c r="CS68" s="27"/>
      <c r="CT68" s="28"/>
      <c r="CU68" s="28"/>
      <c r="CV68" s="28"/>
      <c r="CW68" s="28"/>
      <c r="CX68" s="25"/>
      <c r="CY68" s="26"/>
      <c r="CZ68" s="26"/>
      <c r="DA68" s="26"/>
      <c r="DB68" s="26"/>
      <c r="DC68" s="27"/>
      <c r="DD68" s="28"/>
      <c r="DE68" s="28"/>
      <c r="DF68" s="28"/>
      <c r="DG68" s="28"/>
      <c r="DH68" s="25"/>
      <c r="DI68" s="26"/>
      <c r="DJ68" s="26"/>
      <c r="DK68" s="26"/>
      <c r="DL68" s="26"/>
      <c r="DM68" s="27"/>
      <c r="DN68" s="28"/>
      <c r="DO68" s="28"/>
      <c r="DP68" s="28"/>
      <c r="DQ68" s="28"/>
      <c r="DR68" s="25"/>
      <c r="DS68" s="26"/>
      <c r="DT68" s="26"/>
      <c r="DU68" s="26"/>
      <c r="DV68" s="26"/>
      <c r="DW68" s="27"/>
      <c r="DX68" s="28"/>
      <c r="DY68" s="28"/>
      <c r="DZ68" s="28"/>
      <c r="EA68" s="28"/>
      <c r="EB68" s="29"/>
      <c r="EC68" s="30"/>
      <c r="ED68" s="30"/>
      <c r="EE68" s="30"/>
      <c r="EF68" s="30"/>
      <c r="EG68" s="31"/>
      <c r="EH68" s="32"/>
      <c r="EI68" s="32"/>
      <c r="EJ68" s="32"/>
      <c r="EK68" s="32"/>
      <c r="EL68" s="29"/>
      <c r="EM68" s="30"/>
      <c r="EN68" s="30"/>
      <c r="EO68" s="30"/>
      <c r="EP68" s="30"/>
      <c r="EQ68" s="31"/>
      <c r="ER68" s="32"/>
      <c r="ES68" s="32"/>
      <c r="ET68" s="32"/>
      <c r="EU68" s="32"/>
      <c r="EV68" s="29"/>
      <c r="EW68" s="30"/>
      <c r="EX68" s="30"/>
      <c r="EY68" s="30"/>
      <c r="EZ68" s="30"/>
      <c r="FA68" s="31"/>
      <c r="FB68" s="32"/>
      <c r="FC68" s="32"/>
      <c r="FD68" s="32"/>
      <c r="FE68" s="32"/>
      <c r="FF68" s="29"/>
      <c r="FG68" s="30"/>
      <c r="FH68" s="30"/>
      <c r="FI68" s="30"/>
      <c r="FJ68" s="30"/>
      <c r="FK68" s="31"/>
      <c r="FL68" s="32"/>
      <c r="FM68" s="32"/>
      <c r="FN68" s="32"/>
      <c r="FO68" s="32"/>
      <c r="FP68" s="29"/>
      <c r="FQ68" s="30"/>
      <c r="FR68" s="30"/>
      <c r="FS68" s="30"/>
      <c r="FT68" s="30"/>
      <c r="FU68" s="31"/>
      <c r="FV68" s="32"/>
      <c r="FW68" s="32"/>
      <c r="FX68" s="32"/>
      <c r="FY68" s="32"/>
      <c r="FZ68" s="29"/>
      <c r="GA68" s="30"/>
      <c r="GB68" s="30"/>
      <c r="GC68" s="30"/>
      <c r="GD68" s="30"/>
    </row>
    <row r="69" spans="1:186" ht="48" x14ac:dyDescent="0.25">
      <c r="A69" s="156">
        <v>60</v>
      </c>
      <c r="B69" s="395">
        <f>'Tier 3 Intervention'!B247</f>
        <v>0</v>
      </c>
      <c r="C69" s="395"/>
      <c r="D69" s="395"/>
      <c r="E69" s="395"/>
      <c r="F69" s="395"/>
      <c r="G69" s="395"/>
      <c r="H69" s="761" t="e">
        <f>'Tier 3 Intervention'!AA247+30</f>
        <v>#VALUE!</v>
      </c>
      <c r="I69" s="761"/>
      <c r="J69" s="762" t="e">
        <f t="shared" si="1"/>
        <v>#VALUE!</v>
      </c>
      <c r="K69" s="395"/>
      <c r="L69" s="47" t="s">
        <v>846</v>
      </c>
      <c r="M69" s="46"/>
      <c r="N69" s="46"/>
      <c r="O69" s="46"/>
      <c r="P69" s="49"/>
      <c r="Q69" s="19"/>
      <c r="R69" s="20"/>
      <c r="S69" s="20"/>
      <c r="T69" s="20"/>
      <c r="U69" s="20"/>
      <c r="V69" s="21"/>
      <c r="W69" s="22"/>
      <c r="X69" s="22"/>
      <c r="Y69" s="22"/>
      <c r="Z69" s="22"/>
      <c r="AA69" s="19"/>
      <c r="AB69" s="20"/>
      <c r="AC69" s="20"/>
      <c r="AD69" s="20"/>
      <c r="AE69" s="20"/>
      <c r="AF69" s="21"/>
      <c r="AG69" s="22"/>
      <c r="AH69" s="22"/>
      <c r="AI69" s="22"/>
      <c r="AJ69" s="22"/>
      <c r="AK69" s="19"/>
      <c r="AL69" s="20"/>
      <c r="AM69" s="20"/>
      <c r="AN69" s="20"/>
      <c r="AO69" s="20"/>
      <c r="AP69" s="21"/>
      <c r="AQ69" s="22"/>
      <c r="AR69" s="22"/>
      <c r="AS69" s="22"/>
      <c r="AT69" s="22"/>
      <c r="AU69" s="19"/>
      <c r="AV69" s="20"/>
      <c r="AW69" s="20"/>
      <c r="AX69" s="20"/>
      <c r="AY69" s="20"/>
      <c r="AZ69" s="21"/>
      <c r="BA69" s="22"/>
      <c r="BB69" s="22"/>
      <c r="BC69" s="22"/>
      <c r="BD69" s="22"/>
      <c r="BE69" s="19"/>
      <c r="BF69" s="20"/>
      <c r="BG69" s="20"/>
      <c r="BH69" s="20"/>
      <c r="BI69" s="20"/>
      <c r="BJ69" s="21"/>
      <c r="BK69" s="22"/>
      <c r="BL69" s="22"/>
      <c r="BM69" s="22"/>
      <c r="BN69" s="22"/>
      <c r="BO69" s="19"/>
      <c r="BP69" s="20"/>
      <c r="BQ69" s="20"/>
      <c r="BR69" s="20"/>
      <c r="BS69" s="20"/>
      <c r="BT69" s="21"/>
      <c r="BU69" s="22"/>
      <c r="BV69" s="22"/>
      <c r="BW69" s="22"/>
      <c r="BX69" s="22"/>
      <c r="BY69" s="23"/>
      <c r="BZ69" s="24"/>
      <c r="CA69" s="24"/>
      <c r="CB69" s="24"/>
      <c r="CC69" s="24"/>
      <c r="CD69" s="25"/>
      <c r="CE69" s="26"/>
      <c r="CF69" s="26"/>
      <c r="CG69" s="26"/>
      <c r="CH69" s="26"/>
      <c r="CI69" s="27"/>
      <c r="CJ69" s="28"/>
      <c r="CK69" s="28"/>
      <c r="CL69" s="28"/>
      <c r="CM69" s="28"/>
      <c r="CN69" s="25"/>
      <c r="CO69" s="26"/>
      <c r="CP69" s="26"/>
      <c r="CQ69" s="26"/>
      <c r="CR69" s="26"/>
      <c r="CS69" s="27"/>
      <c r="CT69" s="28"/>
      <c r="CU69" s="28"/>
      <c r="CV69" s="28"/>
      <c r="CW69" s="28"/>
      <c r="CX69" s="25"/>
      <c r="CY69" s="26"/>
      <c r="CZ69" s="26"/>
      <c r="DA69" s="26"/>
      <c r="DB69" s="26"/>
      <c r="DC69" s="27"/>
      <c r="DD69" s="28"/>
      <c r="DE69" s="28"/>
      <c r="DF69" s="28"/>
      <c r="DG69" s="28"/>
      <c r="DH69" s="25"/>
      <c r="DI69" s="26"/>
      <c r="DJ69" s="26"/>
      <c r="DK69" s="26"/>
      <c r="DL69" s="26"/>
      <c r="DM69" s="27"/>
      <c r="DN69" s="28"/>
      <c r="DO69" s="28"/>
      <c r="DP69" s="28"/>
      <c r="DQ69" s="28"/>
      <c r="DR69" s="25"/>
      <c r="DS69" s="26"/>
      <c r="DT69" s="26"/>
      <c r="DU69" s="26"/>
      <c r="DV69" s="26"/>
      <c r="DW69" s="27"/>
      <c r="DX69" s="28"/>
      <c r="DY69" s="28"/>
      <c r="DZ69" s="28"/>
      <c r="EA69" s="28"/>
      <c r="EB69" s="29"/>
      <c r="EC69" s="30"/>
      <c r="ED69" s="30"/>
      <c r="EE69" s="30"/>
      <c r="EF69" s="30"/>
      <c r="EG69" s="31"/>
      <c r="EH69" s="32"/>
      <c r="EI69" s="32"/>
      <c r="EJ69" s="32"/>
      <c r="EK69" s="32"/>
      <c r="EL69" s="29"/>
      <c r="EM69" s="30"/>
      <c r="EN69" s="30"/>
      <c r="EO69" s="30"/>
      <c r="EP69" s="30"/>
      <c r="EQ69" s="31"/>
      <c r="ER69" s="32"/>
      <c r="ES69" s="32"/>
      <c r="ET69" s="32"/>
      <c r="EU69" s="32"/>
      <c r="EV69" s="29"/>
      <c r="EW69" s="30"/>
      <c r="EX69" s="30"/>
      <c r="EY69" s="30"/>
      <c r="EZ69" s="30"/>
      <c r="FA69" s="31"/>
      <c r="FB69" s="32"/>
      <c r="FC69" s="32"/>
      <c r="FD69" s="32"/>
      <c r="FE69" s="32"/>
      <c r="FF69" s="29"/>
      <c r="FG69" s="30"/>
      <c r="FH69" s="30"/>
      <c r="FI69" s="30"/>
      <c r="FJ69" s="30"/>
      <c r="FK69" s="31"/>
      <c r="FL69" s="32"/>
      <c r="FM69" s="32"/>
      <c r="FN69" s="32"/>
      <c r="FO69" s="32"/>
      <c r="FP69" s="29"/>
      <c r="FQ69" s="30"/>
      <c r="FR69" s="30"/>
      <c r="FS69" s="30"/>
      <c r="FT69" s="30"/>
      <c r="FU69" s="31"/>
      <c r="FV69" s="32"/>
      <c r="FW69" s="32"/>
      <c r="FX69" s="32"/>
      <c r="FY69" s="32"/>
      <c r="FZ69" s="29"/>
      <c r="GA69" s="30"/>
      <c r="GB69" s="30"/>
      <c r="GC69" s="30"/>
      <c r="GD69" s="30"/>
    </row>
    <row r="70" spans="1:186" ht="48" x14ac:dyDescent="0.25">
      <c r="A70" s="156">
        <v>61</v>
      </c>
      <c r="B70" s="395">
        <f>'Tier 3 Intervention'!B251</f>
        <v>0</v>
      </c>
      <c r="C70" s="395"/>
      <c r="D70" s="395"/>
      <c r="E70" s="395"/>
      <c r="F70" s="395"/>
      <c r="G70" s="395"/>
      <c r="H70" s="761" t="e">
        <f>'Tier 3 Intervention'!AA251+30</f>
        <v>#VALUE!</v>
      </c>
      <c r="I70" s="761"/>
      <c r="J70" s="762" t="e">
        <f t="shared" si="1"/>
        <v>#VALUE!</v>
      </c>
      <c r="K70" s="395"/>
      <c r="L70" s="47" t="s">
        <v>847</v>
      </c>
      <c r="M70" s="46"/>
      <c r="N70" s="46"/>
      <c r="O70" s="46"/>
      <c r="P70" s="49"/>
      <c r="Q70" s="19"/>
      <c r="R70" s="20"/>
      <c r="S70" s="20"/>
      <c r="T70" s="20"/>
      <c r="U70" s="20"/>
      <c r="V70" s="21"/>
      <c r="W70" s="22"/>
      <c r="X70" s="22"/>
      <c r="Y70" s="22"/>
      <c r="Z70" s="22"/>
      <c r="AA70" s="19"/>
      <c r="AB70" s="20"/>
      <c r="AC70" s="20"/>
      <c r="AD70" s="20"/>
      <c r="AE70" s="20"/>
      <c r="AF70" s="21"/>
      <c r="AG70" s="22"/>
      <c r="AH70" s="22"/>
      <c r="AI70" s="22"/>
      <c r="AJ70" s="22"/>
      <c r="AK70" s="19"/>
      <c r="AL70" s="20"/>
      <c r="AM70" s="20"/>
      <c r="AN70" s="20"/>
      <c r="AO70" s="20"/>
      <c r="AP70" s="21"/>
      <c r="AQ70" s="22"/>
      <c r="AR70" s="22"/>
      <c r="AS70" s="22"/>
      <c r="AT70" s="22"/>
      <c r="AU70" s="19"/>
      <c r="AV70" s="20"/>
      <c r="AW70" s="20"/>
      <c r="AX70" s="20"/>
      <c r="AY70" s="20"/>
      <c r="AZ70" s="21"/>
      <c r="BA70" s="22"/>
      <c r="BB70" s="22"/>
      <c r="BC70" s="22"/>
      <c r="BD70" s="22"/>
      <c r="BE70" s="19"/>
      <c r="BF70" s="20"/>
      <c r="BG70" s="20"/>
      <c r="BH70" s="20"/>
      <c r="BI70" s="20"/>
      <c r="BJ70" s="21"/>
      <c r="BK70" s="22"/>
      <c r="BL70" s="22"/>
      <c r="BM70" s="22"/>
      <c r="BN70" s="22"/>
      <c r="BO70" s="19"/>
      <c r="BP70" s="20"/>
      <c r="BQ70" s="20"/>
      <c r="BR70" s="20"/>
      <c r="BS70" s="20"/>
      <c r="BT70" s="21"/>
      <c r="BU70" s="22"/>
      <c r="BV70" s="22"/>
      <c r="BW70" s="22"/>
      <c r="BX70" s="22"/>
      <c r="BY70" s="23"/>
      <c r="BZ70" s="24"/>
      <c r="CA70" s="24"/>
      <c r="CB70" s="24"/>
      <c r="CC70" s="24"/>
      <c r="CD70" s="25"/>
      <c r="CE70" s="26"/>
      <c r="CF70" s="26"/>
      <c r="CG70" s="26"/>
      <c r="CH70" s="26"/>
      <c r="CI70" s="27"/>
      <c r="CJ70" s="28"/>
      <c r="CK70" s="28"/>
      <c r="CL70" s="28"/>
      <c r="CM70" s="28"/>
      <c r="CN70" s="25"/>
      <c r="CO70" s="26"/>
      <c r="CP70" s="26"/>
      <c r="CQ70" s="26"/>
      <c r="CR70" s="26"/>
      <c r="CS70" s="27"/>
      <c r="CT70" s="28"/>
      <c r="CU70" s="28"/>
      <c r="CV70" s="28"/>
      <c r="CW70" s="28"/>
      <c r="CX70" s="25"/>
      <c r="CY70" s="26"/>
      <c r="CZ70" s="26"/>
      <c r="DA70" s="26"/>
      <c r="DB70" s="26"/>
      <c r="DC70" s="27"/>
      <c r="DD70" s="28"/>
      <c r="DE70" s="28"/>
      <c r="DF70" s="28"/>
      <c r="DG70" s="28"/>
      <c r="DH70" s="25"/>
      <c r="DI70" s="26"/>
      <c r="DJ70" s="26"/>
      <c r="DK70" s="26"/>
      <c r="DL70" s="26"/>
      <c r="DM70" s="27"/>
      <c r="DN70" s="28"/>
      <c r="DO70" s="28"/>
      <c r="DP70" s="28"/>
      <c r="DQ70" s="28"/>
      <c r="DR70" s="25"/>
      <c r="DS70" s="26"/>
      <c r="DT70" s="26"/>
      <c r="DU70" s="26"/>
      <c r="DV70" s="26"/>
      <c r="DW70" s="27"/>
      <c r="DX70" s="28"/>
      <c r="DY70" s="28"/>
      <c r="DZ70" s="28"/>
      <c r="EA70" s="28"/>
      <c r="EB70" s="29"/>
      <c r="EC70" s="30"/>
      <c r="ED70" s="30"/>
      <c r="EE70" s="30"/>
      <c r="EF70" s="30"/>
      <c r="EG70" s="31"/>
      <c r="EH70" s="32"/>
      <c r="EI70" s="32"/>
      <c r="EJ70" s="32"/>
      <c r="EK70" s="32"/>
      <c r="EL70" s="29"/>
      <c r="EM70" s="30"/>
      <c r="EN70" s="30"/>
      <c r="EO70" s="30"/>
      <c r="EP70" s="30"/>
      <c r="EQ70" s="31"/>
      <c r="ER70" s="32"/>
      <c r="ES70" s="32"/>
      <c r="ET70" s="32"/>
      <c r="EU70" s="32"/>
      <c r="EV70" s="29"/>
      <c r="EW70" s="30"/>
      <c r="EX70" s="30"/>
      <c r="EY70" s="30"/>
      <c r="EZ70" s="30"/>
      <c r="FA70" s="31"/>
      <c r="FB70" s="32"/>
      <c r="FC70" s="32"/>
      <c r="FD70" s="32"/>
      <c r="FE70" s="32"/>
      <c r="FF70" s="29"/>
      <c r="FG70" s="30"/>
      <c r="FH70" s="30"/>
      <c r="FI70" s="30"/>
      <c r="FJ70" s="30"/>
      <c r="FK70" s="31"/>
      <c r="FL70" s="32"/>
      <c r="FM70" s="32"/>
      <c r="FN70" s="32"/>
      <c r="FO70" s="32"/>
      <c r="FP70" s="29"/>
      <c r="FQ70" s="30"/>
      <c r="FR70" s="30"/>
      <c r="FS70" s="30"/>
      <c r="FT70" s="30"/>
      <c r="FU70" s="31"/>
      <c r="FV70" s="32"/>
      <c r="FW70" s="32"/>
      <c r="FX70" s="32"/>
      <c r="FY70" s="32"/>
      <c r="FZ70" s="29"/>
      <c r="GA70" s="30"/>
      <c r="GB70" s="30"/>
      <c r="GC70" s="30"/>
      <c r="GD70" s="30"/>
    </row>
    <row r="71" spans="1:186" ht="48" x14ac:dyDescent="0.25">
      <c r="A71" s="156">
        <v>62</v>
      </c>
      <c r="B71" s="395">
        <f>'Tier 3 Intervention'!B255</f>
        <v>0</v>
      </c>
      <c r="C71" s="395"/>
      <c r="D71" s="395"/>
      <c r="E71" s="395"/>
      <c r="F71" s="395"/>
      <c r="G71" s="395"/>
      <c r="H71" s="761" t="e">
        <f>'Tier 3 Intervention'!AA255+30</f>
        <v>#VALUE!</v>
      </c>
      <c r="I71" s="761"/>
      <c r="J71" s="762" t="e">
        <f t="shared" si="1"/>
        <v>#VALUE!</v>
      </c>
      <c r="K71" s="395"/>
      <c r="L71" s="47" t="s">
        <v>848</v>
      </c>
      <c r="M71" s="46"/>
      <c r="N71" s="46"/>
      <c r="O71" s="46"/>
      <c r="P71" s="49"/>
      <c r="Q71" s="19"/>
      <c r="R71" s="20"/>
      <c r="S71" s="20"/>
      <c r="T71" s="20"/>
      <c r="U71" s="20"/>
      <c r="V71" s="21"/>
      <c r="W71" s="22"/>
      <c r="X71" s="22"/>
      <c r="Y71" s="22"/>
      <c r="Z71" s="22"/>
      <c r="AA71" s="19"/>
      <c r="AB71" s="20"/>
      <c r="AC71" s="20"/>
      <c r="AD71" s="20"/>
      <c r="AE71" s="20"/>
      <c r="AF71" s="21"/>
      <c r="AG71" s="22"/>
      <c r="AH71" s="22"/>
      <c r="AI71" s="22"/>
      <c r="AJ71" s="22"/>
      <c r="AK71" s="19"/>
      <c r="AL71" s="20"/>
      <c r="AM71" s="20"/>
      <c r="AN71" s="20"/>
      <c r="AO71" s="20"/>
      <c r="AP71" s="21"/>
      <c r="AQ71" s="22"/>
      <c r="AR71" s="22"/>
      <c r="AS71" s="22"/>
      <c r="AT71" s="22"/>
      <c r="AU71" s="19"/>
      <c r="AV71" s="20"/>
      <c r="AW71" s="20"/>
      <c r="AX71" s="20"/>
      <c r="AY71" s="20"/>
      <c r="AZ71" s="21"/>
      <c r="BA71" s="22"/>
      <c r="BB71" s="22"/>
      <c r="BC71" s="22"/>
      <c r="BD71" s="22"/>
      <c r="BE71" s="19"/>
      <c r="BF71" s="20"/>
      <c r="BG71" s="20"/>
      <c r="BH71" s="20"/>
      <c r="BI71" s="20"/>
      <c r="BJ71" s="21"/>
      <c r="BK71" s="22"/>
      <c r="BL71" s="22"/>
      <c r="BM71" s="22"/>
      <c r="BN71" s="22"/>
      <c r="BO71" s="19"/>
      <c r="BP71" s="20"/>
      <c r="BQ71" s="20"/>
      <c r="BR71" s="20"/>
      <c r="BS71" s="20"/>
      <c r="BT71" s="21"/>
      <c r="BU71" s="22"/>
      <c r="BV71" s="22"/>
      <c r="BW71" s="22"/>
      <c r="BX71" s="22"/>
      <c r="BY71" s="23"/>
      <c r="BZ71" s="24"/>
      <c r="CA71" s="24"/>
      <c r="CB71" s="24"/>
      <c r="CC71" s="24"/>
      <c r="CD71" s="25"/>
      <c r="CE71" s="26"/>
      <c r="CF71" s="26"/>
      <c r="CG71" s="26"/>
      <c r="CH71" s="26"/>
      <c r="CI71" s="27"/>
      <c r="CJ71" s="28"/>
      <c r="CK71" s="28"/>
      <c r="CL71" s="28"/>
      <c r="CM71" s="28"/>
      <c r="CN71" s="25"/>
      <c r="CO71" s="26"/>
      <c r="CP71" s="26"/>
      <c r="CQ71" s="26"/>
      <c r="CR71" s="26"/>
      <c r="CS71" s="27"/>
      <c r="CT71" s="28"/>
      <c r="CU71" s="28"/>
      <c r="CV71" s="28"/>
      <c r="CW71" s="28"/>
      <c r="CX71" s="25"/>
      <c r="CY71" s="26"/>
      <c r="CZ71" s="26"/>
      <c r="DA71" s="26"/>
      <c r="DB71" s="26"/>
      <c r="DC71" s="27"/>
      <c r="DD71" s="28"/>
      <c r="DE71" s="28"/>
      <c r="DF71" s="28"/>
      <c r="DG71" s="28"/>
      <c r="DH71" s="25"/>
      <c r="DI71" s="26"/>
      <c r="DJ71" s="26"/>
      <c r="DK71" s="26"/>
      <c r="DL71" s="26"/>
      <c r="DM71" s="27"/>
      <c r="DN71" s="28"/>
      <c r="DO71" s="28"/>
      <c r="DP71" s="28"/>
      <c r="DQ71" s="28"/>
      <c r="DR71" s="25"/>
      <c r="DS71" s="26"/>
      <c r="DT71" s="26"/>
      <c r="DU71" s="26"/>
      <c r="DV71" s="26"/>
      <c r="DW71" s="27"/>
      <c r="DX71" s="28"/>
      <c r="DY71" s="28"/>
      <c r="DZ71" s="28"/>
      <c r="EA71" s="28"/>
      <c r="EB71" s="29"/>
      <c r="EC71" s="30"/>
      <c r="ED71" s="30"/>
      <c r="EE71" s="30"/>
      <c r="EF71" s="30"/>
      <c r="EG71" s="31"/>
      <c r="EH71" s="32"/>
      <c r="EI71" s="32"/>
      <c r="EJ71" s="32"/>
      <c r="EK71" s="32"/>
      <c r="EL71" s="29"/>
      <c r="EM71" s="30"/>
      <c r="EN71" s="30"/>
      <c r="EO71" s="30"/>
      <c r="EP71" s="30"/>
      <c r="EQ71" s="31"/>
      <c r="ER71" s="32"/>
      <c r="ES71" s="32"/>
      <c r="ET71" s="32"/>
      <c r="EU71" s="32"/>
      <c r="EV71" s="29"/>
      <c r="EW71" s="30"/>
      <c r="EX71" s="30"/>
      <c r="EY71" s="30"/>
      <c r="EZ71" s="30"/>
      <c r="FA71" s="31"/>
      <c r="FB71" s="32"/>
      <c r="FC71" s="32"/>
      <c r="FD71" s="32"/>
      <c r="FE71" s="32"/>
      <c r="FF71" s="29"/>
      <c r="FG71" s="30"/>
      <c r="FH71" s="30"/>
      <c r="FI71" s="30"/>
      <c r="FJ71" s="30"/>
      <c r="FK71" s="31"/>
      <c r="FL71" s="32"/>
      <c r="FM71" s="32"/>
      <c r="FN71" s="32"/>
      <c r="FO71" s="32"/>
      <c r="FP71" s="29"/>
      <c r="FQ71" s="30"/>
      <c r="FR71" s="30"/>
      <c r="FS71" s="30"/>
      <c r="FT71" s="30"/>
      <c r="FU71" s="31"/>
      <c r="FV71" s="32"/>
      <c r="FW71" s="32"/>
      <c r="FX71" s="32"/>
      <c r="FY71" s="32"/>
      <c r="FZ71" s="29"/>
      <c r="GA71" s="30"/>
      <c r="GB71" s="30"/>
      <c r="GC71" s="30"/>
      <c r="GD71" s="30"/>
    </row>
    <row r="72" spans="1:186" ht="48" x14ac:dyDescent="0.25">
      <c r="A72" s="156">
        <v>63</v>
      </c>
      <c r="B72" s="395">
        <f>'Tier 3 Intervention'!B259</f>
        <v>0</v>
      </c>
      <c r="C72" s="395"/>
      <c r="D72" s="395"/>
      <c r="E72" s="395"/>
      <c r="F72" s="395"/>
      <c r="G72" s="395"/>
      <c r="H72" s="761" t="e">
        <f>'Tier 3 Intervention'!AA259+30</f>
        <v>#VALUE!</v>
      </c>
      <c r="I72" s="761"/>
      <c r="J72" s="762" t="e">
        <f t="shared" si="1"/>
        <v>#VALUE!</v>
      </c>
      <c r="K72" s="395"/>
      <c r="L72" s="47" t="s">
        <v>849</v>
      </c>
      <c r="M72" s="46"/>
      <c r="N72" s="46"/>
      <c r="O72" s="46"/>
      <c r="P72" s="49"/>
      <c r="Q72" s="19"/>
      <c r="R72" s="20"/>
      <c r="S72" s="20"/>
      <c r="T72" s="20"/>
      <c r="U72" s="20"/>
      <c r="V72" s="21"/>
      <c r="W72" s="22"/>
      <c r="X72" s="22"/>
      <c r="Y72" s="22"/>
      <c r="Z72" s="22"/>
      <c r="AA72" s="19"/>
      <c r="AB72" s="20"/>
      <c r="AC72" s="20"/>
      <c r="AD72" s="20"/>
      <c r="AE72" s="20"/>
      <c r="AF72" s="21"/>
      <c r="AG72" s="22"/>
      <c r="AH72" s="22"/>
      <c r="AI72" s="22"/>
      <c r="AJ72" s="22"/>
      <c r="AK72" s="19"/>
      <c r="AL72" s="20"/>
      <c r="AM72" s="20"/>
      <c r="AN72" s="20"/>
      <c r="AO72" s="20"/>
      <c r="AP72" s="21"/>
      <c r="AQ72" s="22"/>
      <c r="AR72" s="22"/>
      <c r="AS72" s="22"/>
      <c r="AT72" s="22"/>
      <c r="AU72" s="19"/>
      <c r="AV72" s="20"/>
      <c r="AW72" s="20"/>
      <c r="AX72" s="20"/>
      <c r="AY72" s="20"/>
      <c r="AZ72" s="21"/>
      <c r="BA72" s="22"/>
      <c r="BB72" s="22"/>
      <c r="BC72" s="22"/>
      <c r="BD72" s="22"/>
      <c r="BE72" s="19"/>
      <c r="BF72" s="20"/>
      <c r="BG72" s="20"/>
      <c r="BH72" s="20"/>
      <c r="BI72" s="20"/>
      <c r="BJ72" s="21"/>
      <c r="BK72" s="22"/>
      <c r="BL72" s="22"/>
      <c r="BM72" s="22"/>
      <c r="BN72" s="22"/>
      <c r="BO72" s="19"/>
      <c r="BP72" s="20"/>
      <c r="BQ72" s="20"/>
      <c r="BR72" s="20"/>
      <c r="BS72" s="20"/>
      <c r="BT72" s="21"/>
      <c r="BU72" s="22"/>
      <c r="BV72" s="22"/>
      <c r="BW72" s="22"/>
      <c r="BX72" s="22"/>
      <c r="BY72" s="23"/>
      <c r="BZ72" s="24"/>
      <c r="CA72" s="24"/>
      <c r="CB72" s="24"/>
      <c r="CC72" s="24"/>
      <c r="CD72" s="25"/>
      <c r="CE72" s="26"/>
      <c r="CF72" s="26"/>
      <c r="CG72" s="26"/>
      <c r="CH72" s="26"/>
      <c r="CI72" s="27"/>
      <c r="CJ72" s="28"/>
      <c r="CK72" s="28"/>
      <c r="CL72" s="28"/>
      <c r="CM72" s="28"/>
      <c r="CN72" s="25"/>
      <c r="CO72" s="26"/>
      <c r="CP72" s="26"/>
      <c r="CQ72" s="26"/>
      <c r="CR72" s="26"/>
      <c r="CS72" s="27"/>
      <c r="CT72" s="28"/>
      <c r="CU72" s="28"/>
      <c r="CV72" s="28"/>
      <c r="CW72" s="28"/>
      <c r="CX72" s="25"/>
      <c r="CY72" s="26"/>
      <c r="CZ72" s="26"/>
      <c r="DA72" s="26"/>
      <c r="DB72" s="26"/>
      <c r="DC72" s="27"/>
      <c r="DD72" s="28"/>
      <c r="DE72" s="28"/>
      <c r="DF72" s="28"/>
      <c r="DG72" s="28"/>
      <c r="DH72" s="25"/>
      <c r="DI72" s="26"/>
      <c r="DJ72" s="26"/>
      <c r="DK72" s="26"/>
      <c r="DL72" s="26"/>
      <c r="DM72" s="27"/>
      <c r="DN72" s="28"/>
      <c r="DO72" s="28"/>
      <c r="DP72" s="28"/>
      <c r="DQ72" s="28"/>
      <c r="DR72" s="25"/>
      <c r="DS72" s="26"/>
      <c r="DT72" s="26"/>
      <c r="DU72" s="26"/>
      <c r="DV72" s="26"/>
      <c r="DW72" s="27"/>
      <c r="DX72" s="28"/>
      <c r="DY72" s="28"/>
      <c r="DZ72" s="28"/>
      <c r="EA72" s="28"/>
      <c r="EB72" s="29"/>
      <c r="EC72" s="30"/>
      <c r="ED72" s="30"/>
      <c r="EE72" s="30"/>
      <c r="EF72" s="30"/>
      <c r="EG72" s="31"/>
      <c r="EH72" s="32"/>
      <c r="EI72" s="32"/>
      <c r="EJ72" s="32"/>
      <c r="EK72" s="32"/>
      <c r="EL72" s="29"/>
      <c r="EM72" s="30"/>
      <c r="EN72" s="30"/>
      <c r="EO72" s="30"/>
      <c r="EP72" s="30"/>
      <c r="EQ72" s="31"/>
      <c r="ER72" s="32"/>
      <c r="ES72" s="32"/>
      <c r="ET72" s="32"/>
      <c r="EU72" s="32"/>
      <c r="EV72" s="29"/>
      <c r="EW72" s="30"/>
      <c r="EX72" s="30"/>
      <c r="EY72" s="30"/>
      <c r="EZ72" s="30"/>
      <c r="FA72" s="31"/>
      <c r="FB72" s="32"/>
      <c r="FC72" s="32"/>
      <c r="FD72" s="32"/>
      <c r="FE72" s="32"/>
      <c r="FF72" s="29"/>
      <c r="FG72" s="30"/>
      <c r="FH72" s="30"/>
      <c r="FI72" s="30"/>
      <c r="FJ72" s="30"/>
      <c r="FK72" s="31"/>
      <c r="FL72" s="32"/>
      <c r="FM72" s="32"/>
      <c r="FN72" s="32"/>
      <c r="FO72" s="32"/>
      <c r="FP72" s="29"/>
      <c r="FQ72" s="30"/>
      <c r="FR72" s="30"/>
      <c r="FS72" s="30"/>
      <c r="FT72" s="30"/>
      <c r="FU72" s="31"/>
      <c r="FV72" s="32"/>
      <c r="FW72" s="32"/>
      <c r="FX72" s="32"/>
      <c r="FY72" s="32"/>
      <c r="FZ72" s="29"/>
      <c r="GA72" s="30"/>
      <c r="GB72" s="30"/>
      <c r="GC72" s="30"/>
      <c r="GD72" s="30"/>
    </row>
    <row r="73" spans="1:186" ht="48" x14ac:dyDescent="0.25">
      <c r="A73" s="156">
        <v>64</v>
      </c>
      <c r="B73" s="395">
        <f>'Tier 3 Intervention'!B263</f>
        <v>0</v>
      </c>
      <c r="C73" s="395"/>
      <c r="D73" s="395"/>
      <c r="E73" s="395"/>
      <c r="F73" s="395"/>
      <c r="G73" s="395"/>
      <c r="H73" s="761" t="e">
        <f>'Tier 3 Intervention'!AA263+30</f>
        <v>#VALUE!</v>
      </c>
      <c r="I73" s="761"/>
      <c r="J73" s="762" t="e">
        <f t="shared" si="1"/>
        <v>#VALUE!</v>
      </c>
      <c r="K73" s="395"/>
      <c r="L73" s="47" t="s">
        <v>850</v>
      </c>
      <c r="M73" s="46"/>
      <c r="N73" s="46"/>
      <c r="O73" s="46"/>
      <c r="P73" s="49"/>
      <c r="Q73" s="19"/>
      <c r="R73" s="20"/>
      <c r="S73" s="20"/>
      <c r="T73" s="20"/>
      <c r="U73" s="20"/>
      <c r="V73" s="21"/>
      <c r="W73" s="22"/>
      <c r="X73" s="22"/>
      <c r="Y73" s="22"/>
      <c r="Z73" s="22"/>
      <c r="AA73" s="19"/>
      <c r="AB73" s="20"/>
      <c r="AC73" s="20"/>
      <c r="AD73" s="20"/>
      <c r="AE73" s="20"/>
      <c r="AF73" s="21"/>
      <c r="AG73" s="22"/>
      <c r="AH73" s="22"/>
      <c r="AI73" s="22"/>
      <c r="AJ73" s="22"/>
      <c r="AK73" s="19"/>
      <c r="AL73" s="20"/>
      <c r="AM73" s="20"/>
      <c r="AN73" s="20"/>
      <c r="AO73" s="20"/>
      <c r="AP73" s="21"/>
      <c r="AQ73" s="22"/>
      <c r="AR73" s="22"/>
      <c r="AS73" s="22"/>
      <c r="AT73" s="22"/>
      <c r="AU73" s="19"/>
      <c r="AV73" s="20"/>
      <c r="AW73" s="20"/>
      <c r="AX73" s="20"/>
      <c r="AY73" s="20"/>
      <c r="AZ73" s="21"/>
      <c r="BA73" s="22"/>
      <c r="BB73" s="22"/>
      <c r="BC73" s="22"/>
      <c r="BD73" s="22"/>
      <c r="BE73" s="19"/>
      <c r="BF73" s="20"/>
      <c r="BG73" s="20"/>
      <c r="BH73" s="20"/>
      <c r="BI73" s="20"/>
      <c r="BJ73" s="21"/>
      <c r="BK73" s="22"/>
      <c r="BL73" s="22"/>
      <c r="BM73" s="22"/>
      <c r="BN73" s="22"/>
      <c r="BO73" s="19"/>
      <c r="BP73" s="20"/>
      <c r="BQ73" s="20"/>
      <c r="BR73" s="20"/>
      <c r="BS73" s="20"/>
      <c r="BT73" s="21"/>
      <c r="BU73" s="22"/>
      <c r="BV73" s="22"/>
      <c r="BW73" s="22"/>
      <c r="BX73" s="22"/>
      <c r="BY73" s="23"/>
      <c r="BZ73" s="24"/>
      <c r="CA73" s="24"/>
      <c r="CB73" s="24"/>
      <c r="CC73" s="24"/>
      <c r="CD73" s="25"/>
      <c r="CE73" s="26"/>
      <c r="CF73" s="26"/>
      <c r="CG73" s="26"/>
      <c r="CH73" s="26"/>
      <c r="CI73" s="27"/>
      <c r="CJ73" s="28"/>
      <c r="CK73" s="28"/>
      <c r="CL73" s="28"/>
      <c r="CM73" s="28"/>
      <c r="CN73" s="25"/>
      <c r="CO73" s="26"/>
      <c r="CP73" s="26"/>
      <c r="CQ73" s="26"/>
      <c r="CR73" s="26"/>
      <c r="CS73" s="27"/>
      <c r="CT73" s="28"/>
      <c r="CU73" s="28"/>
      <c r="CV73" s="28"/>
      <c r="CW73" s="28"/>
      <c r="CX73" s="25"/>
      <c r="CY73" s="26"/>
      <c r="CZ73" s="26"/>
      <c r="DA73" s="26"/>
      <c r="DB73" s="26"/>
      <c r="DC73" s="27"/>
      <c r="DD73" s="28"/>
      <c r="DE73" s="28"/>
      <c r="DF73" s="28"/>
      <c r="DG73" s="28"/>
      <c r="DH73" s="25"/>
      <c r="DI73" s="26"/>
      <c r="DJ73" s="26"/>
      <c r="DK73" s="26"/>
      <c r="DL73" s="26"/>
      <c r="DM73" s="27"/>
      <c r="DN73" s="28"/>
      <c r="DO73" s="28"/>
      <c r="DP73" s="28"/>
      <c r="DQ73" s="28"/>
      <c r="DR73" s="25"/>
      <c r="DS73" s="26"/>
      <c r="DT73" s="26"/>
      <c r="DU73" s="26"/>
      <c r="DV73" s="26"/>
      <c r="DW73" s="27"/>
      <c r="DX73" s="28"/>
      <c r="DY73" s="28"/>
      <c r="DZ73" s="28"/>
      <c r="EA73" s="28"/>
      <c r="EB73" s="29"/>
      <c r="EC73" s="30"/>
      <c r="ED73" s="30"/>
      <c r="EE73" s="30"/>
      <c r="EF73" s="30"/>
      <c r="EG73" s="31"/>
      <c r="EH73" s="32"/>
      <c r="EI73" s="32"/>
      <c r="EJ73" s="32"/>
      <c r="EK73" s="32"/>
      <c r="EL73" s="29"/>
      <c r="EM73" s="30"/>
      <c r="EN73" s="30"/>
      <c r="EO73" s="30"/>
      <c r="EP73" s="30"/>
      <c r="EQ73" s="31"/>
      <c r="ER73" s="32"/>
      <c r="ES73" s="32"/>
      <c r="ET73" s="32"/>
      <c r="EU73" s="32"/>
      <c r="EV73" s="29"/>
      <c r="EW73" s="30"/>
      <c r="EX73" s="30"/>
      <c r="EY73" s="30"/>
      <c r="EZ73" s="30"/>
      <c r="FA73" s="31"/>
      <c r="FB73" s="32"/>
      <c r="FC73" s="32"/>
      <c r="FD73" s="32"/>
      <c r="FE73" s="32"/>
      <c r="FF73" s="29"/>
      <c r="FG73" s="30"/>
      <c r="FH73" s="30"/>
      <c r="FI73" s="30"/>
      <c r="FJ73" s="30"/>
      <c r="FK73" s="31"/>
      <c r="FL73" s="32"/>
      <c r="FM73" s="32"/>
      <c r="FN73" s="32"/>
      <c r="FO73" s="32"/>
      <c r="FP73" s="29"/>
      <c r="FQ73" s="30"/>
      <c r="FR73" s="30"/>
      <c r="FS73" s="30"/>
      <c r="FT73" s="30"/>
      <c r="FU73" s="31"/>
      <c r="FV73" s="32"/>
      <c r="FW73" s="32"/>
      <c r="FX73" s="32"/>
      <c r="FY73" s="32"/>
      <c r="FZ73" s="29"/>
      <c r="GA73" s="30"/>
      <c r="GB73" s="30"/>
      <c r="GC73" s="30"/>
      <c r="GD73" s="30"/>
    </row>
    <row r="74" spans="1:186" ht="48" x14ac:dyDescent="0.25">
      <c r="A74" s="156">
        <v>65</v>
      </c>
      <c r="B74" s="395">
        <f>'Tier 3 Intervention'!B267</f>
        <v>0</v>
      </c>
      <c r="C74" s="395"/>
      <c r="D74" s="395"/>
      <c r="E74" s="395"/>
      <c r="F74" s="395"/>
      <c r="G74" s="395"/>
      <c r="H74" s="761" t="e">
        <f>'Tier 3 Intervention'!AA267+30</f>
        <v>#VALUE!</v>
      </c>
      <c r="I74" s="761"/>
      <c r="J74" s="762" t="e">
        <f t="shared" si="1"/>
        <v>#VALUE!</v>
      </c>
      <c r="K74" s="395"/>
      <c r="L74" s="47" t="s">
        <v>851</v>
      </c>
      <c r="M74" s="46"/>
      <c r="N74" s="46"/>
      <c r="O74" s="46"/>
      <c r="P74" s="49"/>
      <c r="Q74" s="19"/>
      <c r="R74" s="20"/>
      <c r="S74" s="20"/>
      <c r="T74" s="20"/>
      <c r="U74" s="20"/>
      <c r="V74" s="21"/>
      <c r="W74" s="22"/>
      <c r="X74" s="22"/>
      <c r="Y74" s="22"/>
      <c r="Z74" s="22"/>
      <c r="AA74" s="19"/>
      <c r="AB74" s="20"/>
      <c r="AC74" s="20"/>
      <c r="AD74" s="20"/>
      <c r="AE74" s="20"/>
      <c r="AF74" s="21"/>
      <c r="AG74" s="22"/>
      <c r="AH74" s="22"/>
      <c r="AI74" s="22"/>
      <c r="AJ74" s="22"/>
      <c r="AK74" s="19"/>
      <c r="AL74" s="20"/>
      <c r="AM74" s="20"/>
      <c r="AN74" s="20"/>
      <c r="AO74" s="20"/>
      <c r="AP74" s="21"/>
      <c r="AQ74" s="22"/>
      <c r="AR74" s="22"/>
      <c r="AS74" s="22"/>
      <c r="AT74" s="22"/>
      <c r="AU74" s="19"/>
      <c r="AV74" s="20"/>
      <c r="AW74" s="20"/>
      <c r="AX74" s="20"/>
      <c r="AY74" s="20"/>
      <c r="AZ74" s="21"/>
      <c r="BA74" s="22"/>
      <c r="BB74" s="22"/>
      <c r="BC74" s="22"/>
      <c r="BD74" s="22"/>
      <c r="BE74" s="19"/>
      <c r="BF74" s="20"/>
      <c r="BG74" s="20"/>
      <c r="BH74" s="20"/>
      <c r="BI74" s="20"/>
      <c r="BJ74" s="21"/>
      <c r="BK74" s="22"/>
      <c r="BL74" s="22"/>
      <c r="BM74" s="22"/>
      <c r="BN74" s="22"/>
      <c r="BO74" s="19"/>
      <c r="BP74" s="20"/>
      <c r="BQ74" s="20"/>
      <c r="BR74" s="20"/>
      <c r="BS74" s="20"/>
      <c r="BT74" s="21"/>
      <c r="BU74" s="22"/>
      <c r="BV74" s="22"/>
      <c r="BW74" s="22"/>
      <c r="BX74" s="22"/>
      <c r="BY74" s="23"/>
      <c r="BZ74" s="24"/>
      <c r="CA74" s="24"/>
      <c r="CB74" s="24"/>
      <c r="CC74" s="24"/>
      <c r="CD74" s="25"/>
      <c r="CE74" s="26"/>
      <c r="CF74" s="26"/>
      <c r="CG74" s="26"/>
      <c r="CH74" s="26"/>
      <c r="CI74" s="27"/>
      <c r="CJ74" s="28"/>
      <c r="CK74" s="28"/>
      <c r="CL74" s="28"/>
      <c r="CM74" s="28"/>
      <c r="CN74" s="25"/>
      <c r="CO74" s="26"/>
      <c r="CP74" s="26"/>
      <c r="CQ74" s="26"/>
      <c r="CR74" s="26"/>
      <c r="CS74" s="27"/>
      <c r="CT74" s="28"/>
      <c r="CU74" s="28"/>
      <c r="CV74" s="28"/>
      <c r="CW74" s="28"/>
      <c r="CX74" s="25"/>
      <c r="CY74" s="26"/>
      <c r="CZ74" s="26"/>
      <c r="DA74" s="26"/>
      <c r="DB74" s="26"/>
      <c r="DC74" s="27"/>
      <c r="DD74" s="28"/>
      <c r="DE74" s="28"/>
      <c r="DF74" s="28"/>
      <c r="DG74" s="28"/>
      <c r="DH74" s="25"/>
      <c r="DI74" s="26"/>
      <c r="DJ74" s="26"/>
      <c r="DK74" s="26"/>
      <c r="DL74" s="26"/>
      <c r="DM74" s="27"/>
      <c r="DN74" s="28"/>
      <c r="DO74" s="28"/>
      <c r="DP74" s="28"/>
      <c r="DQ74" s="28"/>
      <c r="DR74" s="25"/>
      <c r="DS74" s="26"/>
      <c r="DT74" s="26"/>
      <c r="DU74" s="26"/>
      <c r="DV74" s="26"/>
      <c r="DW74" s="27"/>
      <c r="DX74" s="28"/>
      <c r="DY74" s="28"/>
      <c r="DZ74" s="28"/>
      <c r="EA74" s="28"/>
      <c r="EB74" s="29"/>
      <c r="EC74" s="30"/>
      <c r="ED74" s="30"/>
      <c r="EE74" s="30"/>
      <c r="EF74" s="30"/>
      <c r="EG74" s="31"/>
      <c r="EH74" s="32"/>
      <c r="EI74" s="32"/>
      <c r="EJ74" s="32"/>
      <c r="EK74" s="32"/>
      <c r="EL74" s="29"/>
      <c r="EM74" s="30"/>
      <c r="EN74" s="30"/>
      <c r="EO74" s="30"/>
      <c r="EP74" s="30"/>
      <c r="EQ74" s="31"/>
      <c r="ER74" s="32"/>
      <c r="ES74" s="32"/>
      <c r="ET74" s="32"/>
      <c r="EU74" s="32"/>
      <c r="EV74" s="29"/>
      <c r="EW74" s="30"/>
      <c r="EX74" s="30"/>
      <c r="EY74" s="30"/>
      <c r="EZ74" s="30"/>
      <c r="FA74" s="31"/>
      <c r="FB74" s="32"/>
      <c r="FC74" s="32"/>
      <c r="FD74" s="32"/>
      <c r="FE74" s="32"/>
      <c r="FF74" s="29"/>
      <c r="FG74" s="30"/>
      <c r="FH74" s="30"/>
      <c r="FI74" s="30"/>
      <c r="FJ74" s="30"/>
      <c r="FK74" s="31"/>
      <c r="FL74" s="32"/>
      <c r="FM74" s="32"/>
      <c r="FN74" s="32"/>
      <c r="FO74" s="32"/>
      <c r="FP74" s="29"/>
      <c r="FQ74" s="30"/>
      <c r="FR74" s="30"/>
      <c r="FS74" s="30"/>
      <c r="FT74" s="30"/>
      <c r="FU74" s="31"/>
      <c r="FV74" s="32"/>
      <c r="FW74" s="32"/>
      <c r="FX74" s="32"/>
      <c r="FY74" s="32"/>
      <c r="FZ74" s="29"/>
      <c r="GA74" s="30"/>
      <c r="GB74" s="30"/>
      <c r="GC74" s="30"/>
      <c r="GD74" s="30"/>
    </row>
    <row r="75" spans="1:186" ht="48" x14ac:dyDescent="0.25">
      <c r="A75" s="156">
        <v>66</v>
      </c>
      <c r="B75" s="395">
        <f>'Tier 3 Intervention'!B271</f>
        <v>0</v>
      </c>
      <c r="C75" s="395"/>
      <c r="D75" s="395"/>
      <c r="E75" s="395"/>
      <c r="F75" s="395"/>
      <c r="G75" s="395"/>
      <c r="H75" s="761" t="e">
        <f>'Tier 3 Intervention'!AA271+30</f>
        <v>#VALUE!</v>
      </c>
      <c r="I75" s="761"/>
      <c r="J75" s="762" t="e">
        <f t="shared" si="1"/>
        <v>#VALUE!</v>
      </c>
      <c r="K75" s="395"/>
      <c r="L75" s="47" t="s">
        <v>852</v>
      </c>
      <c r="M75" s="46"/>
      <c r="N75" s="46"/>
      <c r="O75" s="46"/>
      <c r="P75" s="49"/>
      <c r="Q75" s="19"/>
      <c r="R75" s="20"/>
      <c r="S75" s="20"/>
      <c r="T75" s="20"/>
      <c r="U75" s="20"/>
      <c r="V75" s="21"/>
      <c r="W75" s="22"/>
      <c r="X75" s="22"/>
      <c r="Y75" s="22"/>
      <c r="Z75" s="22"/>
      <c r="AA75" s="19"/>
      <c r="AB75" s="20"/>
      <c r="AC75" s="20"/>
      <c r="AD75" s="20"/>
      <c r="AE75" s="20"/>
      <c r="AF75" s="21"/>
      <c r="AG75" s="22"/>
      <c r="AH75" s="22"/>
      <c r="AI75" s="22"/>
      <c r="AJ75" s="22"/>
      <c r="AK75" s="19"/>
      <c r="AL75" s="20"/>
      <c r="AM75" s="20"/>
      <c r="AN75" s="20"/>
      <c r="AO75" s="20"/>
      <c r="AP75" s="21"/>
      <c r="AQ75" s="22"/>
      <c r="AR75" s="22"/>
      <c r="AS75" s="22"/>
      <c r="AT75" s="22"/>
      <c r="AU75" s="19"/>
      <c r="AV75" s="20"/>
      <c r="AW75" s="20"/>
      <c r="AX75" s="20"/>
      <c r="AY75" s="20"/>
      <c r="AZ75" s="21"/>
      <c r="BA75" s="22"/>
      <c r="BB75" s="22"/>
      <c r="BC75" s="22"/>
      <c r="BD75" s="22"/>
      <c r="BE75" s="19"/>
      <c r="BF75" s="20"/>
      <c r="BG75" s="20"/>
      <c r="BH75" s="20"/>
      <c r="BI75" s="20"/>
      <c r="BJ75" s="21"/>
      <c r="BK75" s="22"/>
      <c r="BL75" s="22"/>
      <c r="BM75" s="22"/>
      <c r="BN75" s="22"/>
      <c r="BO75" s="19"/>
      <c r="BP75" s="20"/>
      <c r="BQ75" s="20"/>
      <c r="BR75" s="20"/>
      <c r="BS75" s="20"/>
      <c r="BT75" s="21"/>
      <c r="BU75" s="22"/>
      <c r="BV75" s="22"/>
      <c r="BW75" s="22"/>
      <c r="BX75" s="22"/>
      <c r="BY75" s="23"/>
      <c r="BZ75" s="24"/>
      <c r="CA75" s="24"/>
      <c r="CB75" s="24"/>
      <c r="CC75" s="24"/>
      <c r="CD75" s="25"/>
      <c r="CE75" s="26"/>
      <c r="CF75" s="26"/>
      <c r="CG75" s="26"/>
      <c r="CH75" s="26"/>
      <c r="CI75" s="27"/>
      <c r="CJ75" s="28"/>
      <c r="CK75" s="28"/>
      <c r="CL75" s="28"/>
      <c r="CM75" s="28"/>
      <c r="CN75" s="25"/>
      <c r="CO75" s="26"/>
      <c r="CP75" s="26"/>
      <c r="CQ75" s="26"/>
      <c r="CR75" s="26"/>
      <c r="CS75" s="27"/>
      <c r="CT75" s="28"/>
      <c r="CU75" s="28"/>
      <c r="CV75" s="28"/>
      <c r="CW75" s="28"/>
      <c r="CX75" s="25"/>
      <c r="CY75" s="26"/>
      <c r="CZ75" s="26"/>
      <c r="DA75" s="26"/>
      <c r="DB75" s="26"/>
      <c r="DC75" s="27"/>
      <c r="DD75" s="28"/>
      <c r="DE75" s="28"/>
      <c r="DF75" s="28"/>
      <c r="DG75" s="28"/>
      <c r="DH75" s="25"/>
      <c r="DI75" s="26"/>
      <c r="DJ75" s="26"/>
      <c r="DK75" s="26"/>
      <c r="DL75" s="26"/>
      <c r="DM75" s="27"/>
      <c r="DN75" s="28"/>
      <c r="DO75" s="28"/>
      <c r="DP75" s="28"/>
      <c r="DQ75" s="28"/>
      <c r="DR75" s="25"/>
      <c r="DS75" s="26"/>
      <c r="DT75" s="26"/>
      <c r="DU75" s="26"/>
      <c r="DV75" s="26"/>
      <c r="DW75" s="27"/>
      <c r="DX75" s="28"/>
      <c r="DY75" s="28"/>
      <c r="DZ75" s="28"/>
      <c r="EA75" s="28"/>
      <c r="EB75" s="29"/>
      <c r="EC75" s="30"/>
      <c r="ED75" s="30"/>
      <c r="EE75" s="30"/>
      <c r="EF75" s="30"/>
      <c r="EG75" s="31"/>
      <c r="EH75" s="32"/>
      <c r="EI75" s="32"/>
      <c r="EJ75" s="32"/>
      <c r="EK75" s="32"/>
      <c r="EL75" s="29"/>
      <c r="EM75" s="30"/>
      <c r="EN75" s="30"/>
      <c r="EO75" s="30"/>
      <c r="EP75" s="30"/>
      <c r="EQ75" s="31"/>
      <c r="ER75" s="32"/>
      <c r="ES75" s="32"/>
      <c r="ET75" s="32"/>
      <c r="EU75" s="32"/>
      <c r="EV75" s="29"/>
      <c r="EW75" s="30"/>
      <c r="EX75" s="30"/>
      <c r="EY75" s="30"/>
      <c r="EZ75" s="30"/>
      <c r="FA75" s="31"/>
      <c r="FB75" s="32"/>
      <c r="FC75" s="32"/>
      <c r="FD75" s="32"/>
      <c r="FE75" s="32"/>
      <c r="FF75" s="29"/>
      <c r="FG75" s="30"/>
      <c r="FH75" s="30"/>
      <c r="FI75" s="30"/>
      <c r="FJ75" s="30"/>
      <c r="FK75" s="31"/>
      <c r="FL75" s="32"/>
      <c r="FM75" s="32"/>
      <c r="FN75" s="32"/>
      <c r="FO75" s="32"/>
      <c r="FP75" s="29"/>
      <c r="FQ75" s="30"/>
      <c r="FR75" s="30"/>
      <c r="FS75" s="30"/>
      <c r="FT75" s="30"/>
      <c r="FU75" s="31"/>
      <c r="FV75" s="32"/>
      <c r="FW75" s="32"/>
      <c r="FX75" s="32"/>
      <c r="FY75" s="32"/>
      <c r="FZ75" s="29"/>
      <c r="GA75" s="30"/>
      <c r="GB75" s="30"/>
      <c r="GC75" s="30"/>
      <c r="GD75" s="30"/>
    </row>
    <row r="76" spans="1:186" ht="48" x14ac:dyDescent="0.25">
      <c r="A76" s="156">
        <v>67</v>
      </c>
      <c r="B76" s="395">
        <f>'Tier 3 Intervention'!B275</f>
        <v>0</v>
      </c>
      <c r="C76" s="395"/>
      <c r="D76" s="395"/>
      <c r="E76" s="395"/>
      <c r="F76" s="395"/>
      <c r="G76" s="395"/>
      <c r="H76" s="761" t="e">
        <f>'Tier 3 Intervention'!AA275+30</f>
        <v>#VALUE!</v>
      </c>
      <c r="I76" s="761"/>
      <c r="J76" s="762" t="e">
        <f t="shared" si="1"/>
        <v>#VALUE!</v>
      </c>
      <c r="K76" s="395"/>
      <c r="L76" s="47" t="s">
        <v>853</v>
      </c>
      <c r="M76" s="46"/>
      <c r="N76" s="46"/>
      <c r="O76" s="46"/>
      <c r="P76" s="49"/>
      <c r="Q76" s="19"/>
      <c r="R76" s="20"/>
      <c r="S76" s="20"/>
      <c r="T76" s="20"/>
      <c r="U76" s="20"/>
      <c r="V76" s="21"/>
      <c r="W76" s="22"/>
      <c r="X76" s="22"/>
      <c r="Y76" s="22"/>
      <c r="Z76" s="22"/>
      <c r="AA76" s="19"/>
      <c r="AB76" s="20"/>
      <c r="AC76" s="20"/>
      <c r="AD76" s="20"/>
      <c r="AE76" s="20"/>
      <c r="AF76" s="21"/>
      <c r="AG76" s="22"/>
      <c r="AH76" s="22"/>
      <c r="AI76" s="22"/>
      <c r="AJ76" s="22"/>
      <c r="AK76" s="19"/>
      <c r="AL76" s="20"/>
      <c r="AM76" s="20"/>
      <c r="AN76" s="20"/>
      <c r="AO76" s="20"/>
      <c r="AP76" s="21"/>
      <c r="AQ76" s="22"/>
      <c r="AR76" s="22"/>
      <c r="AS76" s="22"/>
      <c r="AT76" s="22"/>
      <c r="AU76" s="19"/>
      <c r="AV76" s="20"/>
      <c r="AW76" s="20"/>
      <c r="AX76" s="20"/>
      <c r="AY76" s="20"/>
      <c r="AZ76" s="21"/>
      <c r="BA76" s="22"/>
      <c r="BB76" s="22"/>
      <c r="BC76" s="22"/>
      <c r="BD76" s="22"/>
      <c r="BE76" s="19"/>
      <c r="BF76" s="20"/>
      <c r="BG76" s="20"/>
      <c r="BH76" s="20"/>
      <c r="BI76" s="20"/>
      <c r="BJ76" s="21"/>
      <c r="BK76" s="22"/>
      <c r="BL76" s="22"/>
      <c r="BM76" s="22"/>
      <c r="BN76" s="22"/>
      <c r="BO76" s="19"/>
      <c r="BP76" s="20"/>
      <c r="BQ76" s="20"/>
      <c r="BR76" s="20"/>
      <c r="BS76" s="20"/>
      <c r="BT76" s="21"/>
      <c r="BU76" s="22"/>
      <c r="BV76" s="22"/>
      <c r="BW76" s="22"/>
      <c r="BX76" s="22"/>
      <c r="BY76" s="23"/>
      <c r="BZ76" s="24"/>
      <c r="CA76" s="24"/>
      <c r="CB76" s="24"/>
      <c r="CC76" s="24"/>
      <c r="CD76" s="25"/>
      <c r="CE76" s="26"/>
      <c r="CF76" s="26"/>
      <c r="CG76" s="26"/>
      <c r="CH76" s="26"/>
      <c r="CI76" s="27"/>
      <c r="CJ76" s="28"/>
      <c r="CK76" s="28"/>
      <c r="CL76" s="28"/>
      <c r="CM76" s="28"/>
      <c r="CN76" s="25"/>
      <c r="CO76" s="26"/>
      <c r="CP76" s="26"/>
      <c r="CQ76" s="26"/>
      <c r="CR76" s="26"/>
      <c r="CS76" s="27"/>
      <c r="CT76" s="28"/>
      <c r="CU76" s="28"/>
      <c r="CV76" s="28"/>
      <c r="CW76" s="28"/>
      <c r="CX76" s="25"/>
      <c r="CY76" s="26"/>
      <c r="CZ76" s="26"/>
      <c r="DA76" s="26"/>
      <c r="DB76" s="26"/>
      <c r="DC76" s="27"/>
      <c r="DD76" s="28"/>
      <c r="DE76" s="28"/>
      <c r="DF76" s="28"/>
      <c r="DG76" s="28"/>
      <c r="DH76" s="25"/>
      <c r="DI76" s="26"/>
      <c r="DJ76" s="26"/>
      <c r="DK76" s="26"/>
      <c r="DL76" s="26"/>
      <c r="DM76" s="27"/>
      <c r="DN76" s="28"/>
      <c r="DO76" s="28"/>
      <c r="DP76" s="28"/>
      <c r="DQ76" s="28"/>
      <c r="DR76" s="25"/>
      <c r="DS76" s="26"/>
      <c r="DT76" s="26"/>
      <c r="DU76" s="26"/>
      <c r="DV76" s="26"/>
      <c r="DW76" s="27"/>
      <c r="DX76" s="28"/>
      <c r="DY76" s="28"/>
      <c r="DZ76" s="28"/>
      <c r="EA76" s="28"/>
      <c r="EB76" s="29"/>
      <c r="EC76" s="30"/>
      <c r="ED76" s="30"/>
      <c r="EE76" s="30"/>
      <c r="EF76" s="30"/>
      <c r="EG76" s="31"/>
      <c r="EH76" s="32"/>
      <c r="EI76" s="32"/>
      <c r="EJ76" s="32"/>
      <c r="EK76" s="32"/>
      <c r="EL76" s="29"/>
      <c r="EM76" s="30"/>
      <c r="EN76" s="30"/>
      <c r="EO76" s="30"/>
      <c r="EP76" s="30"/>
      <c r="EQ76" s="31"/>
      <c r="ER76" s="32"/>
      <c r="ES76" s="32"/>
      <c r="ET76" s="32"/>
      <c r="EU76" s="32"/>
      <c r="EV76" s="29"/>
      <c r="EW76" s="30"/>
      <c r="EX76" s="30"/>
      <c r="EY76" s="30"/>
      <c r="EZ76" s="30"/>
      <c r="FA76" s="31"/>
      <c r="FB76" s="32"/>
      <c r="FC76" s="32"/>
      <c r="FD76" s="32"/>
      <c r="FE76" s="32"/>
      <c r="FF76" s="29"/>
      <c r="FG76" s="30"/>
      <c r="FH76" s="30"/>
      <c r="FI76" s="30"/>
      <c r="FJ76" s="30"/>
      <c r="FK76" s="31"/>
      <c r="FL76" s="32"/>
      <c r="FM76" s="32"/>
      <c r="FN76" s="32"/>
      <c r="FO76" s="32"/>
      <c r="FP76" s="29"/>
      <c r="FQ76" s="30"/>
      <c r="FR76" s="30"/>
      <c r="FS76" s="30"/>
      <c r="FT76" s="30"/>
      <c r="FU76" s="31"/>
      <c r="FV76" s="32"/>
      <c r="FW76" s="32"/>
      <c r="FX76" s="32"/>
      <c r="FY76" s="32"/>
      <c r="FZ76" s="29"/>
      <c r="GA76" s="30"/>
      <c r="GB76" s="30"/>
      <c r="GC76" s="30"/>
      <c r="GD76" s="30"/>
    </row>
    <row r="77" spans="1:186" ht="48" x14ac:dyDescent="0.25">
      <c r="A77" s="156">
        <v>68</v>
      </c>
      <c r="B77" s="395">
        <f>'Tier 3 Intervention'!B279</f>
        <v>0</v>
      </c>
      <c r="C77" s="395"/>
      <c r="D77" s="395"/>
      <c r="E77" s="395"/>
      <c r="F77" s="395"/>
      <c r="G77" s="395"/>
      <c r="H77" s="761" t="e">
        <f>'Tier 3 Intervention'!AA279+30</f>
        <v>#VALUE!</v>
      </c>
      <c r="I77" s="761"/>
      <c r="J77" s="762" t="e">
        <f t="shared" si="1"/>
        <v>#VALUE!</v>
      </c>
      <c r="K77" s="395"/>
      <c r="L77" s="47" t="s">
        <v>854</v>
      </c>
      <c r="M77" s="46"/>
      <c r="N77" s="46"/>
      <c r="O77" s="46"/>
      <c r="P77" s="49"/>
      <c r="Q77" s="19"/>
      <c r="R77" s="20"/>
      <c r="S77" s="20"/>
      <c r="T77" s="20"/>
      <c r="U77" s="20"/>
      <c r="V77" s="21"/>
      <c r="W77" s="22"/>
      <c r="X77" s="22"/>
      <c r="Y77" s="22"/>
      <c r="Z77" s="22"/>
      <c r="AA77" s="19"/>
      <c r="AB77" s="20"/>
      <c r="AC77" s="20"/>
      <c r="AD77" s="20"/>
      <c r="AE77" s="20"/>
      <c r="AF77" s="21"/>
      <c r="AG77" s="22"/>
      <c r="AH77" s="22"/>
      <c r="AI77" s="22"/>
      <c r="AJ77" s="22"/>
      <c r="AK77" s="19"/>
      <c r="AL77" s="20"/>
      <c r="AM77" s="20"/>
      <c r="AN77" s="20"/>
      <c r="AO77" s="20"/>
      <c r="AP77" s="21"/>
      <c r="AQ77" s="22"/>
      <c r="AR77" s="22"/>
      <c r="AS77" s="22"/>
      <c r="AT77" s="22"/>
      <c r="AU77" s="19"/>
      <c r="AV77" s="20"/>
      <c r="AW77" s="20"/>
      <c r="AX77" s="20"/>
      <c r="AY77" s="20"/>
      <c r="AZ77" s="21"/>
      <c r="BA77" s="22"/>
      <c r="BB77" s="22"/>
      <c r="BC77" s="22"/>
      <c r="BD77" s="22"/>
      <c r="BE77" s="19"/>
      <c r="BF77" s="20"/>
      <c r="BG77" s="20"/>
      <c r="BH77" s="20"/>
      <c r="BI77" s="20"/>
      <c r="BJ77" s="21"/>
      <c r="BK77" s="22"/>
      <c r="BL77" s="22"/>
      <c r="BM77" s="22"/>
      <c r="BN77" s="22"/>
      <c r="BO77" s="19"/>
      <c r="BP77" s="20"/>
      <c r="BQ77" s="20"/>
      <c r="BR77" s="20"/>
      <c r="BS77" s="20"/>
      <c r="BT77" s="21"/>
      <c r="BU77" s="22"/>
      <c r="BV77" s="22"/>
      <c r="BW77" s="22"/>
      <c r="BX77" s="22"/>
      <c r="BY77" s="23"/>
      <c r="BZ77" s="24"/>
      <c r="CA77" s="24"/>
      <c r="CB77" s="24"/>
      <c r="CC77" s="24"/>
      <c r="CD77" s="25"/>
      <c r="CE77" s="26"/>
      <c r="CF77" s="26"/>
      <c r="CG77" s="26"/>
      <c r="CH77" s="26"/>
      <c r="CI77" s="27"/>
      <c r="CJ77" s="28"/>
      <c r="CK77" s="28"/>
      <c r="CL77" s="28"/>
      <c r="CM77" s="28"/>
      <c r="CN77" s="25"/>
      <c r="CO77" s="26"/>
      <c r="CP77" s="26"/>
      <c r="CQ77" s="26"/>
      <c r="CR77" s="26"/>
      <c r="CS77" s="27"/>
      <c r="CT77" s="28"/>
      <c r="CU77" s="28"/>
      <c r="CV77" s="28"/>
      <c r="CW77" s="28"/>
      <c r="CX77" s="25"/>
      <c r="CY77" s="26"/>
      <c r="CZ77" s="26"/>
      <c r="DA77" s="26"/>
      <c r="DB77" s="26"/>
      <c r="DC77" s="27"/>
      <c r="DD77" s="28"/>
      <c r="DE77" s="28"/>
      <c r="DF77" s="28"/>
      <c r="DG77" s="28"/>
      <c r="DH77" s="25"/>
      <c r="DI77" s="26"/>
      <c r="DJ77" s="26"/>
      <c r="DK77" s="26"/>
      <c r="DL77" s="26"/>
      <c r="DM77" s="27"/>
      <c r="DN77" s="28"/>
      <c r="DO77" s="28"/>
      <c r="DP77" s="28"/>
      <c r="DQ77" s="28"/>
      <c r="DR77" s="25"/>
      <c r="DS77" s="26"/>
      <c r="DT77" s="26"/>
      <c r="DU77" s="26"/>
      <c r="DV77" s="26"/>
      <c r="DW77" s="27"/>
      <c r="DX77" s="28"/>
      <c r="DY77" s="28"/>
      <c r="DZ77" s="28"/>
      <c r="EA77" s="28"/>
      <c r="EB77" s="29"/>
      <c r="EC77" s="30"/>
      <c r="ED77" s="30"/>
      <c r="EE77" s="30"/>
      <c r="EF77" s="30"/>
      <c r="EG77" s="31"/>
      <c r="EH77" s="32"/>
      <c r="EI77" s="32"/>
      <c r="EJ77" s="32"/>
      <c r="EK77" s="32"/>
      <c r="EL77" s="29"/>
      <c r="EM77" s="30"/>
      <c r="EN77" s="30"/>
      <c r="EO77" s="30"/>
      <c r="EP77" s="30"/>
      <c r="EQ77" s="31"/>
      <c r="ER77" s="32"/>
      <c r="ES77" s="32"/>
      <c r="ET77" s="32"/>
      <c r="EU77" s="32"/>
      <c r="EV77" s="29"/>
      <c r="EW77" s="30"/>
      <c r="EX77" s="30"/>
      <c r="EY77" s="30"/>
      <c r="EZ77" s="30"/>
      <c r="FA77" s="31"/>
      <c r="FB77" s="32"/>
      <c r="FC77" s="32"/>
      <c r="FD77" s="32"/>
      <c r="FE77" s="32"/>
      <c r="FF77" s="29"/>
      <c r="FG77" s="30"/>
      <c r="FH77" s="30"/>
      <c r="FI77" s="30"/>
      <c r="FJ77" s="30"/>
      <c r="FK77" s="31"/>
      <c r="FL77" s="32"/>
      <c r="FM77" s="32"/>
      <c r="FN77" s="32"/>
      <c r="FO77" s="32"/>
      <c r="FP77" s="29"/>
      <c r="FQ77" s="30"/>
      <c r="FR77" s="30"/>
      <c r="FS77" s="30"/>
      <c r="FT77" s="30"/>
      <c r="FU77" s="31"/>
      <c r="FV77" s="32"/>
      <c r="FW77" s="32"/>
      <c r="FX77" s="32"/>
      <c r="FY77" s="32"/>
      <c r="FZ77" s="29"/>
      <c r="GA77" s="30"/>
      <c r="GB77" s="30"/>
      <c r="GC77" s="30"/>
      <c r="GD77" s="30"/>
    </row>
    <row r="78" spans="1:186" ht="48" x14ac:dyDescent="0.25">
      <c r="A78" s="156">
        <v>69</v>
      </c>
      <c r="B78" s="395">
        <f>'Tier 3 Intervention'!B283</f>
        <v>0</v>
      </c>
      <c r="C78" s="395"/>
      <c r="D78" s="395"/>
      <c r="E78" s="395"/>
      <c r="F78" s="395"/>
      <c r="G78" s="395"/>
      <c r="H78" s="761" t="e">
        <f>'Tier 3 Intervention'!AA283+30</f>
        <v>#VALUE!</v>
      </c>
      <c r="I78" s="761"/>
      <c r="J78" s="762" t="e">
        <f t="shared" ref="J78:J141" si="2">H78+90</f>
        <v>#VALUE!</v>
      </c>
      <c r="K78" s="395"/>
      <c r="L78" s="47" t="s">
        <v>855</v>
      </c>
      <c r="M78" s="46"/>
      <c r="N78" s="46"/>
      <c r="O78" s="46"/>
      <c r="P78" s="49"/>
      <c r="Q78" s="19"/>
      <c r="R78" s="20"/>
      <c r="S78" s="20"/>
      <c r="T78" s="20"/>
      <c r="U78" s="20"/>
      <c r="V78" s="21"/>
      <c r="W78" s="22"/>
      <c r="X78" s="22"/>
      <c r="Y78" s="22"/>
      <c r="Z78" s="22"/>
      <c r="AA78" s="19"/>
      <c r="AB78" s="20"/>
      <c r="AC78" s="20"/>
      <c r="AD78" s="20"/>
      <c r="AE78" s="20"/>
      <c r="AF78" s="21"/>
      <c r="AG78" s="22"/>
      <c r="AH78" s="22"/>
      <c r="AI78" s="22"/>
      <c r="AJ78" s="22"/>
      <c r="AK78" s="19"/>
      <c r="AL78" s="20"/>
      <c r="AM78" s="20"/>
      <c r="AN78" s="20"/>
      <c r="AO78" s="20"/>
      <c r="AP78" s="21"/>
      <c r="AQ78" s="22"/>
      <c r="AR78" s="22"/>
      <c r="AS78" s="22"/>
      <c r="AT78" s="22"/>
      <c r="AU78" s="19"/>
      <c r="AV78" s="20"/>
      <c r="AW78" s="20"/>
      <c r="AX78" s="20"/>
      <c r="AY78" s="20"/>
      <c r="AZ78" s="21"/>
      <c r="BA78" s="22"/>
      <c r="BB78" s="22"/>
      <c r="BC78" s="22"/>
      <c r="BD78" s="22"/>
      <c r="BE78" s="19"/>
      <c r="BF78" s="20"/>
      <c r="BG78" s="20"/>
      <c r="BH78" s="20"/>
      <c r="BI78" s="20"/>
      <c r="BJ78" s="21"/>
      <c r="BK78" s="22"/>
      <c r="BL78" s="22"/>
      <c r="BM78" s="22"/>
      <c r="BN78" s="22"/>
      <c r="BO78" s="19"/>
      <c r="BP78" s="20"/>
      <c r="BQ78" s="20"/>
      <c r="BR78" s="20"/>
      <c r="BS78" s="20"/>
      <c r="BT78" s="21"/>
      <c r="BU78" s="22"/>
      <c r="BV78" s="22"/>
      <c r="BW78" s="22"/>
      <c r="BX78" s="22"/>
      <c r="BY78" s="23"/>
      <c r="BZ78" s="24"/>
      <c r="CA78" s="24"/>
      <c r="CB78" s="24"/>
      <c r="CC78" s="24"/>
      <c r="CD78" s="25"/>
      <c r="CE78" s="26"/>
      <c r="CF78" s="26"/>
      <c r="CG78" s="26"/>
      <c r="CH78" s="26"/>
      <c r="CI78" s="27"/>
      <c r="CJ78" s="28"/>
      <c r="CK78" s="28"/>
      <c r="CL78" s="28"/>
      <c r="CM78" s="28"/>
      <c r="CN78" s="25"/>
      <c r="CO78" s="26"/>
      <c r="CP78" s="26"/>
      <c r="CQ78" s="26"/>
      <c r="CR78" s="26"/>
      <c r="CS78" s="27"/>
      <c r="CT78" s="28"/>
      <c r="CU78" s="28"/>
      <c r="CV78" s="28"/>
      <c r="CW78" s="28"/>
      <c r="CX78" s="25"/>
      <c r="CY78" s="26"/>
      <c r="CZ78" s="26"/>
      <c r="DA78" s="26"/>
      <c r="DB78" s="26"/>
      <c r="DC78" s="27"/>
      <c r="DD78" s="28"/>
      <c r="DE78" s="28"/>
      <c r="DF78" s="28"/>
      <c r="DG78" s="28"/>
      <c r="DH78" s="25"/>
      <c r="DI78" s="26"/>
      <c r="DJ78" s="26"/>
      <c r="DK78" s="26"/>
      <c r="DL78" s="26"/>
      <c r="DM78" s="27"/>
      <c r="DN78" s="28"/>
      <c r="DO78" s="28"/>
      <c r="DP78" s="28"/>
      <c r="DQ78" s="28"/>
      <c r="DR78" s="25"/>
      <c r="DS78" s="26"/>
      <c r="DT78" s="26"/>
      <c r="DU78" s="26"/>
      <c r="DV78" s="26"/>
      <c r="DW78" s="27"/>
      <c r="DX78" s="28"/>
      <c r="DY78" s="28"/>
      <c r="DZ78" s="28"/>
      <c r="EA78" s="28"/>
      <c r="EB78" s="29"/>
      <c r="EC78" s="30"/>
      <c r="ED78" s="30"/>
      <c r="EE78" s="30"/>
      <c r="EF78" s="30"/>
      <c r="EG78" s="31"/>
      <c r="EH78" s="32"/>
      <c r="EI78" s="32"/>
      <c r="EJ78" s="32"/>
      <c r="EK78" s="32"/>
      <c r="EL78" s="29"/>
      <c r="EM78" s="30"/>
      <c r="EN78" s="30"/>
      <c r="EO78" s="30"/>
      <c r="EP78" s="30"/>
      <c r="EQ78" s="31"/>
      <c r="ER78" s="32"/>
      <c r="ES78" s="32"/>
      <c r="ET78" s="32"/>
      <c r="EU78" s="32"/>
      <c r="EV78" s="29"/>
      <c r="EW78" s="30"/>
      <c r="EX78" s="30"/>
      <c r="EY78" s="30"/>
      <c r="EZ78" s="30"/>
      <c r="FA78" s="31"/>
      <c r="FB78" s="32"/>
      <c r="FC78" s="32"/>
      <c r="FD78" s="32"/>
      <c r="FE78" s="32"/>
      <c r="FF78" s="29"/>
      <c r="FG78" s="30"/>
      <c r="FH78" s="30"/>
      <c r="FI78" s="30"/>
      <c r="FJ78" s="30"/>
      <c r="FK78" s="31"/>
      <c r="FL78" s="32"/>
      <c r="FM78" s="32"/>
      <c r="FN78" s="32"/>
      <c r="FO78" s="32"/>
      <c r="FP78" s="29"/>
      <c r="FQ78" s="30"/>
      <c r="FR78" s="30"/>
      <c r="FS78" s="30"/>
      <c r="FT78" s="30"/>
      <c r="FU78" s="31"/>
      <c r="FV78" s="32"/>
      <c r="FW78" s="32"/>
      <c r="FX78" s="32"/>
      <c r="FY78" s="32"/>
      <c r="FZ78" s="29"/>
      <c r="GA78" s="30"/>
      <c r="GB78" s="30"/>
      <c r="GC78" s="30"/>
      <c r="GD78" s="30"/>
    </row>
    <row r="79" spans="1:186" ht="48" x14ac:dyDescent="0.25">
      <c r="A79" s="156">
        <v>70</v>
      </c>
      <c r="B79" s="395">
        <f>'Tier 3 Intervention'!B287</f>
        <v>0</v>
      </c>
      <c r="C79" s="395"/>
      <c r="D79" s="395"/>
      <c r="E79" s="395"/>
      <c r="F79" s="395"/>
      <c r="G79" s="395"/>
      <c r="H79" s="761" t="e">
        <f>'Tier 3 Intervention'!AA287+30</f>
        <v>#VALUE!</v>
      </c>
      <c r="I79" s="761"/>
      <c r="J79" s="762" t="e">
        <f t="shared" si="2"/>
        <v>#VALUE!</v>
      </c>
      <c r="K79" s="395"/>
      <c r="L79" s="47" t="s">
        <v>856</v>
      </c>
      <c r="M79" s="46"/>
      <c r="N79" s="46"/>
      <c r="O79" s="46"/>
      <c r="P79" s="49"/>
      <c r="Q79" s="19"/>
      <c r="R79" s="20"/>
      <c r="S79" s="20"/>
      <c r="T79" s="20"/>
      <c r="U79" s="20"/>
      <c r="V79" s="21"/>
      <c r="W79" s="22"/>
      <c r="X79" s="22"/>
      <c r="Y79" s="22"/>
      <c r="Z79" s="22"/>
      <c r="AA79" s="19"/>
      <c r="AB79" s="20"/>
      <c r="AC79" s="20"/>
      <c r="AD79" s="20"/>
      <c r="AE79" s="20"/>
      <c r="AF79" s="21"/>
      <c r="AG79" s="22"/>
      <c r="AH79" s="22"/>
      <c r="AI79" s="22"/>
      <c r="AJ79" s="22"/>
      <c r="AK79" s="19"/>
      <c r="AL79" s="20"/>
      <c r="AM79" s="20"/>
      <c r="AN79" s="20"/>
      <c r="AO79" s="20"/>
      <c r="AP79" s="21"/>
      <c r="AQ79" s="22"/>
      <c r="AR79" s="22"/>
      <c r="AS79" s="22"/>
      <c r="AT79" s="22"/>
      <c r="AU79" s="19"/>
      <c r="AV79" s="20"/>
      <c r="AW79" s="20"/>
      <c r="AX79" s="20"/>
      <c r="AY79" s="20"/>
      <c r="AZ79" s="21"/>
      <c r="BA79" s="22"/>
      <c r="BB79" s="22"/>
      <c r="BC79" s="22"/>
      <c r="BD79" s="22"/>
      <c r="BE79" s="19"/>
      <c r="BF79" s="20"/>
      <c r="BG79" s="20"/>
      <c r="BH79" s="20"/>
      <c r="BI79" s="20"/>
      <c r="BJ79" s="21"/>
      <c r="BK79" s="22"/>
      <c r="BL79" s="22"/>
      <c r="BM79" s="22"/>
      <c r="BN79" s="22"/>
      <c r="BO79" s="19"/>
      <c r="BP79" s="20"/>
      <c r="BQ79" s="20"/>
      <c r="BR79" s="20"/>
      <c r="BS79" s="20"/>
      <c r="BT79" s="21"/>
      <c r="BU79" s="22"/>
      <c r="BV79" s="22"/>
      <c r="BW79" s="22"/>
      <c r="BX79" s="22"/>
      <c r="BY79" s="23"/>
      <c r="BZ79" s="24"/>
      <c r="CA79" s="24"/>
      <c r="CB79" s="24"/>
      <c r="CC79" s="24"/>
      <c r="CD79" s="25"/>
      <c r="CE79" s="26"/>
      <c r="CF79" s="26"/>
      <c r="CG79" s="26"/>
      <c r="CH79" s="26"/>
      <c r="CI79" s="27"/>
      <c r="CJ79" s="28"/>
      <c r="CK79" s="28"/>
      <c r="CL79" s="28"/>
      <c r="CM79" s="28"/>
      <c r="CN79" s="25"/>
      <c r="CO79" s="26"/>
      <c r="CP79" s="26"/>
      <c r="CQ79" s="26"/>
      <c r="CR79" s="26"/>
      <c r="CS79" s="27"/>
      <c r="CT79" s="28"/>
      <c r="CU79" s="28"/>
      <c r="CV79" s="28"/>
      <c r="CW79" s="28"/>
      <c r="CX79" s="25"/>
      <c r="CY79" s="26"/>
      <c r="CZ79" s="26"/>
      <c r="DA79" s="26"/>
      <c r="DB79" s="26"/>
      <c r="DC79" s="27"/>
      <c r="DD79" s="28"/>
      <c r="DE79" s="28"/>
      <c r="DF79" s="28"/>
      <c r="DG79" s="28"/>
      <c r="DH79" s="25"/>
      <c r="DI79" s="26"/>
      <c r="DJ79" s="26"/>
      <c r="DK79" s="26"/>
      <c r="DL79" s="26"/>
      <c r="DM79" s="27"/>
      <c r="DN79" s="28"/>
      <c r="DO79" s="28"/>
      <c r="DP79" s="28"/>
      <c r="DQ79" s="28"/>
      <c r="DR79" s="25"/>
      <c r="DS79" s="26"/>
      <c r="DT79" s="26"/>
      <c r="DU79" s="26"/>
      <c r="DV79" s="26"/>
      <c r="DW79" s="27"/>
      <c r="DX79" s="28"/>
      <c r="DY79" s="28"/>
      <c r="DZ79" s="28"/>
      <c r="EA79" s="28"/>
      <c r="EB79" s="29"/>
      <c r="EC79" s="30"/>
      <c r="ED79" s="30"/>
      <c r="EE79" s="30"/>
      <c r="EF79" s="30"/>
      <c r="EG79" s="31"/>
      <c r="EH79" s="32"/>
      <c r="EI79" s="32"/>
      <c r="EJ79" s="32"/>
      <c r="EK79" s="32"/>
      <c r="EL79" s="29"/>
      <c r="EM79" s="30"/>
      <c r="EN79" s="30"/>
      <c r="EO79" s="30"/>
      <c r="EP79" s="30"/>
      <c r="EQ79" s="31"/>
      <c r="ER79" s="32"/>
      <c r="ES79" s="32"/>
      <c r="ET79" s="32"/>
      <c r="EU79" s="32"/>
      <c r="EV79" s="29"/>
      <c r="EW79" s="30"/>
      <c r="EX79" s="30"/>
      <c r="EY79" s="30"/>
      <c r="EZ79" s="30"/>
      <c r="FA79" s="31"/>
      <c r="FB79" s="32"/>
      <c r="FC79" s="32"/>
      <c r="FD79" s="32"/>
      <c r="FE79" s="32"/>
      <c r="FF79" s="29"/>
      <c r="FG79" s="30"/>
      <c r="FH79" s="30"/>
      <c r="FI79" s="30"/>
      <c r="FJ79" s="30"/>
      <c r="FK79" s="31"/>
      <c r="FL79" s="32"/>
      <c r="FM79" s="32"/>
      <c r="FN79" s="32"/>
      <c r="FO79" s="32"/>
      <c r="FP79" s="29"/>
      <c r="FQ79" s="30"/>
      <c r="FR79" s="30"/>
      <c r="FS79" s="30"/>
      <c r="FT79" s="30"/>
      <c r="FU79" s="31"/>
      <c r="FV79" s="32"/>
      <c r="FW79" s="32"/>
      <c r="FX79" s="32"/>
      <c r="FY79" s="32"/>
      <c r="FZ79" s="29"/>
      <c r="GA79" s="30"/>
      <c r="GB79" s="30"/>
      <c r="GC79" s="30"/>
      <c r="GD79" s="30"/>
    </row>
    <row r="80" spans="1:186" ht="48" x14ac:dyDescent="0.25">
      <c r="A80" s="156">
        <v>71</v>
      </c>
      <c r="B80" s="395">
        <f>'Tier 3 Intervention'!B291</f>
        <v>0</v>
      </c>
      <c r="C80" s="395"/>
      <c r="D80" s="395"/>
      <c r="E80" s="395"/>
      <c r="F80" s="395"/>
      <c r="G80" s="395"/>
      <c r="H80" s="761" t="e">
        <f>'Tier 3 Intervention'!AA291+30</f>
        <v>#VALUE!</v>
      </c>
      <c r="I80" s="761"/>
      <c r="J80" s="762" t="e">
        <f t="shared" si="2"/>
        <v>#VALUE!</v>
      </c>
      <c r="K80" s="395"/>
      <c r="L80" s="47" t="s">
        <v>857</v>
      </c>
      <c r="M80" s="46"/>
      <c r="N80" s="46"/>
      <c r="O80" s="46"/>
      <c r="P80" s="49"/>
      <c r="Q80" s="19"/>
      <c r="R80" s="20"/>
      <c r="S80" s="20"/>
      <c r="T80" s="20"/>
      <c r="U80" s="20"/>
      <c r="V80" s="21"/>
      <c r="W80" s="22"/>
      <c r="X80" s="22"/>
      <c r="Y80" s="22"/>
      <c r="Z80" s="22"/>
      <c r="AA80" s="19"/>
      <c r="AB80" s="20"/>
      <c r="AC80" s="20"/>
      <c r="AD80" s="20"/>
      <c r="AE80" s="20"/>
      <c r="AF80" s="21"/>
      <c r="AG80" s="22"/>
      <c r="AH80" s="22"/>
      <c r="AI80" s="22"/>
      <c r="AJ80" s="22"/>
      <c r="AK80" s="19"/>
      <c r="AL80" s="20"/>
      <c r="AM80" s="20"/>
      <c r="AN80" s="20"/>
      <c r="AO80" s="20"/>
      <c r="AP80" s="21"/>
      <c r="AQ80" s="22"/>
      <c r="AR80" s="22"/>
      <c r="AS80" s="22"/>
      <c r="AT80" s="22"/>
      <c r="AU80" s="19"/>
      <c r="AV80" s="20"/>
      <c r="AW80" s="20"/>
      <c r="AX80" s="20"/>
      <c r="AY80" s="20"/>
      <c r="AZ80" s="21"/>
      <c r="BA80" s="22"/>
      <c r="BB80" s="22"/>
      <c r="BC80" s="22"/>
      <c r="BD80" s="22"/>
      <c r="BE80" s="19"/>
      <c r="BF80" s="20"/>
      <c r="BG80" s="20"/>
      <c r="BH80" s="20"/>
      <c r="BI80" s="20"/>
      <c r="BJ80" s="21"/>
      <c r="BK80" s="22"/>
      <c r="BL80" s="22"/>
      <c r="BM80" s="22"/>
      <c r="BN80" s="22"/>
      <c r="BO80" s="19"/>
      <c r="BP80" s="20"/>
      <c r="BQ80" s="20"/>
      <c r="BR80" s="20"/>
      <c r="BS80" s="20"/>
      <c r="BT80" s="21"/>
      <c r="BU80" s="22"/>
      <c r="BV80" s="22"/>
      <c r="BW80" s="22"/>
      <c r="BX80" s="22"/>
      <c r="BY80" s="23"/>
      <c r="BZ80" s="24"/>
      <c r="CA80" s="24"/>
      <c r="CB80" s="24"/>
      <c r="CC80" s="24"/>
      <c r="CD80" s="25"/>
      <c r="CE80" s="26"/>
      <c r="CF80" s="26"/>
      <c r="CG80" s="26"/>
      <c r="CH80" s="26"/>
      <c r="CI80" s="27"/>
      <c r="CJ80" s="28"/>
      <c r="CK80" s="28"/>
      <c r="CL80" s="28"/>
      <c r="CM80" s="28"/>
      <c r="CN80" s="25"/>
      <c r="CO80" s="26"/>
      <c r="CP80" s="26"/>
      <c r="CQ80" s="26"/>
      <c r="CR80" s="26"/>
      <c r="CS80" s="27"/>
      <c r="CT80" s="28"/>
      <c r="CU80" s="28"/>
      <c r="CV80" s="28"/>
      <c r="CW80" s="28"/>
      <c r="CX80" s="25"/>
      <c r="CY80" s="26"/>
      <c r="CZ80" s="26"/>
      <c r="DA80" s="26"/>
      <c r="DB80" s="26"/>
      <c r="DC80" s="27"/>
      <c r="DD80" s="28"/>
      <c r="DE80" s="28"/>
      <c r="DF80" s="28"/>
      <c r="DG80" s="28"/>
      <c r="DH80" s="25"/>
      <c r="DI80" s="26"/>
      <c r="DJ80" s="26"/>
      <c r="DK80" s="26"/>
      <c r="DL80" s="26"/>
      <c r="DM80" s="27"/>
      <c r="DN80" s="28"/>
      <c r="DO80" s="28"/>
      <c r="DP80" s="28"/>
      <c r="DQ80" s="28"/>
      <c r="DR80" s="25"/>
      <c r="DS80" s="26"/>
      <c r="DT80" s="26"/>
      <c r="DU80" s="26"/>
      <c r="DV80" s="26"/>
      <c r="DW80" s="27"/>
      <c r="DX80" s="28"/>
      <c r="DY80" s="28"/>
      <c r="DZ80" s="28"/>
      <c r="EA80" s="28"/>
      <c r="EB80" s="29"/>
      <c r="EC80" s="30"/>
      <c r="ED80" s="30"/>
      <c r="EE80" s="30"/>
      <c r="EF80" s="30"/>
      <c r="EG80" s="31"/>
      <c r="EH80" s="32"/>
      <c r="EI80" s="32"/>
      <c r="EJ80" s="32"/>
      <c r="EK80" s="32"/>
      <c r="EL80" s="29"/>
      <c r="EM80" s="30"/>
      <c r="EN80" s="30"/>
      <c r="EO80" s="30"/>
      <c r="EP80" s="30"/>
      <c r="EQ80" s="31"/>
      <c r="ER80" s="32"/>
      <c r="ES80" s="32"/>
      <c r="ET80" s="32"/>
      <c r="EU80" s="32"/>
      <c r="EV80" s="29"/>
      <c r="EW80" s="30"/>
      <c r="EX80" s="30"/>
      <c r="EY80" s="30"/>
      <c r="EZ80" s="30"/>
      <c r="FA80" s="31"/>
      <c r="FB80" s="32"/>
      <c r="FC80" s="32"/>
      <c r="FD80" s="32"/>
      <c r="FE80" s="32"/>
      <c r="FF80" s="29"/>
      <c r="FG80" s="30"/>
      <c r="FH80" s="30"/>
      <c r="FI80" s="30"/>
      <c r="FJ80" s="30"/>
      <c r="FK80" s="31"/>
      <c r="FL80" s="32"/>
      <c r="FM80" s="32"/>
      <c r="FN80" s="32"/>
      <c r="FO80" s="32"/>
      <c r="FP80" s="29"/>
      <c r="FQ80" s="30"/>
      <c r="FR80" s="30"/>
      <c r="FS80" s="30"/>
      <c r="FT80" s="30"/>
      <c r="FU80" s="31"/>
      <c r="FV80" s="32"/>
      <c r="FW80" s="32"/>
      <c r="FX80" s="32"/>
      <c r="FY80" s="32"/>
      <c r="FZ80" s="29"/>
      <c r="GA80" s="30"/>
      <c r="GB80" s="30"/>
      <c r="GC80" s="30"/>
      <c r="GD80" s="30"/>
    </row>
    <row r="81" spans="1:186" ht="48" x14ac:dyDescent="0.25">
      <c r="A81" s="156">
        <v>72</v>
      </c>
      <c r="B81" s="395">
        <f>'Tier 3 Intervention'!B295</f>
        <v>0</v>
      </c>
      <c r="C81" s="395"/>
      <c r="D81" s="395"/>
      <c r="E81" s="395"/>
      <c r="F81" s="395"/>
      <c r="G81" s="395"/>
      <c r="H81" s="761" t="e">
        <f>'Tier 3 Intervention'!AA295+30</f>
        <v>#VALUE!</v>
      </c>
      <c r="I81" s="761"/>
      <c r="J81" s="762" t="e">
        <f t="shared" si="2"/>
        <v>#VALUE!</v>
      </c>
      <c r="K81" s="395"/>
      <c r="L81" s="47" t="s">
        <v>858</v>
      </c>
      <c r="M81" s="46"/>
      <c r="N81" s="46"/>
      <c r="O81" s="46"/>
      <c r="P81" s="49"/>
      <c r="Q81" s="19"/>
      <c r="R81" s="20"/>
      <c r="S81" s="20"/>
      <c r="T81" s="20"/>
      <c r="U81" s="20"/>
      <c r="V81" s="21"/>
      <c r="W81" s="22"/>
      <c r="X81" s="22"/>
      <c r="Y81" s="22"/>
      <c r="Z81" s="22"/>
      <c r="AA81" s="19"/>
      <c r="AB81" s="20"/>
      <c r="AC81" s="20"/>
      <c r="AD81" s="20"/>
      <c r="AE81" s="20"/>
      <c r="AF81" s="21"/>
      <c r="AG81" s="22"/>
      <c r="AH81" s="22"/>
      <c r="AI81" s="22"/>
      <c r="AJ81" s="22"/>
      <c r="AK81" s="19"/>
      <c r="AL81" s="20"/>
      <c r="AM81" s="20"/>
      <c r="AN81" s="20"/>
      <c r="AO81" s="20"/>
      <c r="AP81" s="21"/>
      <c r="AQ81" s="22"/>
      <c r="AR81" s="22"/>
      <c r="AS81" s="22"/>
      <c r="AT81" s="22"/>
      <c r="AU81" s="19"/>
      <c r="AV81" s="20"/>
      <c r="AW81" s="20"/>
      <c r="AX81" s="20"/>
      <c r="AY81" s="20"/>
      <c r="AZ81" s="21"/>
      <c r="BA81" s="22"/>
      <c r="BB81" s="22"/>
      <c r="BC81" s="22"/>
      <c r="BD81" s="22"/>
      <c r="BE81" s="19"/>
      <c r="BF81" s="20"/>
      <c r="BG81" s="20"/>
      <c r="BH81" s="20"/>
      <c r="BI81" s="20"/>
      <c r="BJ81" s="21"/>
      <c r="BK81" s="22"/>
      <c r="BL81" s="22"/>
      <c r="BM81" s="22"/>
      <c r="BN81" s="22"/>
      <c r="BO81" s="19"/>
      <c r="BP81" s="20"/>
      <c r="BQ81" s="20"/>
      <c r="BR81" s="20"/>
      <c r="BS81" s="20"/>
      <c r="BT81" s="21"/>
      <c r="BU81" s="22"/>
      <c r="BV81" s="22"/>
      <c r="BW81" s="22"/>
      <c r="BX81" s="22"/>
      <c r="BY81" s="23"/>
      <c r="BZ81" s="24"/>
      <c r="CA81" s="24"/>
      <c r="CB81" s="24"/>
      <c r="CC81" s="24"/>
      <c r="CD81" s="25"/>
      <c r="CE81" s="26"/>
      <c r="CF81" s="26"/>
      <c r="CG81" s="26"/>
      <c r="CH81" s="26"/>
      <c r="CI81" s="27"/>
      <c r="CJ81" s="28"/>
      <c r="CK81" s="28"/>
      <c r="CL81" s="28"/>
      <c r="CM81" s="28"/>
      <c r="CN81" s="25"/>
      <c r="CO81" s="26"/>
      <c r="CP81" s="26"/>
      <c r="CQ81" s="26"/>
      <c r="CR81" s="26"/>
      <c r="CS81" s="27"/>
      <c r="CT81" s="28"/>
      <c r="CU81" s="28"/>
      <c r="CV81" s="28"/>
      <c r="CW81" s="28"/>
      <c r="CX81" s="25"/>
      <c r="CY81" s="26"/>
      <c r="CZ81" s="26"/>
      <c r="DA81" s="26"/>
      <c r="DB81" s="26"/>
      <c r="DC81" s="27"/>
      <c r="DD81" s="28"/>
      <c r="DE81" s="28"/>
      <c r="DF81" s="28"/>
      <c r="DG81" s="28"/>
      <c r="DH81" s="25"/>
      <c r="DI81" s="26"/>
      <c r="DJ81" s="26"/>
      <c r="DK81" s="26"/>
      <c r="DL81" s="26"/>
      <c r="DM81" s="27"/>
      <c r="DN81" s="28"/>
      <c r="DO81" s="28"/>
      <c r="DP81" s="28"/>
      <c r="DQ81" s="28"/>
      <c r="DR81" s="25"/>
      <c r="DS81" s="26"/>
      <c r="DT81" s="26"/>
      <c r="DU81" s="26"/>
      <c r="DV81" s="26"/>
      <c r="DW81" s="27"/>
      <c r="DX81" s="28"/>
      <c r="DY81" s="28"/>
      <c r="DZ81" s="28"/>
      <c r="EA81" s="28"/>
      <c r="EB81" s="29"/>
      <c r="EC81" s="30"/>
      <c r="ED81" s="30"/>
      <c r="EE81" s="30"/>
      <c r="EF81" s="30"/>
      <c r="EG81" s="31"/>
      <c r="EH81" s="32"/>
      <c r="EI81" s="32"/>
      <c r="EJ81" s="32"/>
      <c r="EK81" s="32"/>
      <c r="EL81" s="29"/>
      <c r="EM81" s="30"/>
      <c r="EN81" s="30"/>
      <c r="EO81" s="30"/>
      <c r="EP81" s="30"/>
      <c r="EQ81" s="31"/>
      <c r="ER81" s="32"/>
      <c r="ES81" s="32"/>
      <c r="ET81" s="32"/>
      <c r="EU81" s="32"/>
      <c r="EV81" s="29"/>
      <c r="EW81" s="30"/>
      <c r="EX81" s="30"/>
      <c r="EY81" s="30"/>
      <c r="EZ81" s="30"/>
      <c r="FA81" s="31"/>
      <c r="FB81" s="32"/>
      <c r="FC81" s="32"/>
      <c r="FD81" s="32"/>
      <c r="FE81" s="32"/>
      <c r="FF81" s="29"/>
      <c r="FG81" s="30"/>
      <c r="FH81" s="30"/>
      <c r="FI81" s="30"/>
      <c r="FJ81" s="30"/>
      <c r="FK81" s="31"/>
      <c r="FL81" s="32"/>
      <c r="FM81" s="32"/>
      <c r="FN81" s="32"/>
      <c r="FO81" s="32"/>
      <c r="FP81" s="29"/>
      <c r="FQ81" s="30"/>
      <c r="FR81" s="30"/>
      <c r="FS81" s="30"/>
      <c r="FT81" s="30"/>
      <c r="FU81" s="31"/>
      <c r="FV81" s="32"/>
      <c r="FW81" s="32"/>
      <c r="FX81" s="32"/>
      <c r="FY81" s="32"/>
      <c r="FZ81" s="29"/>
      <c r="GA81" s="30"/>
      <c r="GB81" s="30"/>
      <c r="GC81" s="30"/>
      <c r="GD81" s="30"/>
    </row>
    <row r="82" spans="1:186" ht="48" x14ac:dyDescent="0.25">
      <c r="A82" s="156">
        <v>73</v>
      </c>
      <c r="B82" s="395">
        <f>'Tier 3 Intervention'!B299</f>
        <v>0</v>
      </c>
      <c r="C82" s="395"/>
      <c r="D82" s="395"/>
      <c r="E82" s="395"/>
      <c r="F82" s="395"/>
      <c r="G82" s="395"/>
      <c r="H82" s="761" t="e">
        <f>'Tier 3 Intervention'!AA299+30</f>
        <v>#VALUE!</v>
      </c>
      <c r="I82" s="761"/>
      <c r="J82" s="762" t="e">
        <f t="shared" si="2"/>
        <v>#VALUE!</v>
      </c>
      <c r="K82" s="395"/>
      <c r="L82" s="47" t="s">
        <v>859</v>
      </c>
      <c r="M82" s="46"/>
      <c r="N82" s="46"/>
      <c r="O82" s="46"/>
      <c r="P82" s="49"/>
      <c r="Q82" s="19"/>
      <c r="R82" s="20"/>
      <c r="S82" s="20"/>
      <c r="T82" s="20"/>
      <c r="U82" s="20"/>
      <c r="V82" s="21"/>
      <c r="W82" s="22"/>
      <c r="X82" s="22"/>
      <c r="Y82" s="22"/>
      <c r="Z82" s="22"/>
      <c r="AA82" s="19"/>
      <c r="AB82" s="20"/>
      <c r="AC82" s="20"/>
      <c r="AD82" s="20"/>
      <c r="AE82" s="20"/>
      <c r="AF82" s="21"/>
      <c r="AG82" s="22"/>
      <c r="AH82" s="22"/>
      <c r="AI82" s="22"/>
      <c r="AJ82" s="22"/>
      <c r="AK82" s="19"/>
      <c r="AL82" s="20"/>
      <c r="AM82" s="20"/>
      <c r="AN82" s="20"/>
      <c r="AO82" s="20"/>
      <c r="AP82" s="21"/>
      <c r="AQ82" s="22"/>
      <c r="AR82" s="22"/>
      <c r="AS82" s="22"/>
      <c r="AT82" s="22"/>
      <c r="AU82" s="19"/>
      <c r="AV82" s="20"/>
      <c r="AW82" s="20"/>
      <c r="AX82" s="20"/>
      <c r="AY82" s="20"/>
      <c r="AZ82" s="21"/>
      <c r="BA82" s="22"/>
      <c r="BB82" s="22"/>
      <c r="BC82" s="22"/>
      <c r="BD82" s="22"/>
      <c r="BE82" s="19"/>
      <c r="BF82" s="20"/>
      <c r="BG82" s="20"/>
      <c r="BH82" s="20"/>
      <c r="BI82" s="20"/>
      <c r="BJ82" s="21"/>
      <c r="BK82" s="22"/>
      <c r="BL82" s="22"/>
      <c r="BM82" s="22"/>
      <c r="BN82" s="22"/>
      <c r="BO82" s="19"/>
      <c r="BP82" s="20"/>
      <c r="BQ82" s="20"/>
      <c r="BR82" s="20"/>
      <c r="BS82" s="20"/>
      <c r="BT82" s="21"/>
      <c r="BU82" s="22"/>
      <c r="BV82" s="22"/>
      <c r="BW82" s="22"/>
      <c r="BX82" s="22"/>
      <c r="BY82" s="23"/>
      <c r="BZ82" s="24"/>
      <c r="CA82" s="24"/>
      <c r="CB82" s="24"/>
      <c r="CC82" s="24"/>
      <c r="CD82" s="25"/>
      <c r="CE82" s="26"/>
      <c r="CF82" s="26"/>
      <c r="CG82" s="26"/>
      <c r="CH82" s="26"/>
      <c r="CI82" s="27"/>
      <c r="CJ82" s="28"/>
      <c r="CK82" s="28"/>
      <c r="CL82" s="28"/>
      <c r="CM82" s="28"/>
      <c r="CN82" s="25"/>
      <c r="CO82" s="26"/>
      <c r="CP82" s="26"/>
      <c r="CQ82" s="26"/>
      <c r="CR82" s="26"/>
      <c r="CS82" s="27"/>
      <c r="CT82" s="28"/>
      <c r="CU82" s="28"/>
      <c r="CV82" s="28"/>
      <c r="CW82" s="28"/>
      <c r="CX82" s="25"/>
      <c r="CY82" s="26"/>
      <c r="CZ82" s="26"/>
      <c r="DA82" s="26"/>
      <c r="DB82" s="26"/>
      <c r="DC82" s="27"/>
      <c r="DD82" s="28"/>
      <c r="DE82" s="28"/>
      <c r="DF82" s="28"/>
      <c r="DG82" s="28"/>
      <c r="DH82" s="25"/>
      <c r="DI82" s="26"/>
      <c r="DJ82" s="26"/>
      <c r="DK82" s="26"/>
      <c r="DL82" s="26"/>
      <c r="DM82" s="27"/>
      <c r="DN82" s="28"/>
      <c r="DO82" s="28"/>
      <c r="DP82" s="28"/>
      <c r="DQ82" s="28"/>
      <c r="DR82" s="25"/>
      <c r="DS82" s="26"/>
      <c r="DT82" s="26"/>
      <c r="DU82" s="26"/>
      <c r="DV82" s="26"/>
      <c r="DW82" s="27"/>
      <c r="DX82" s="28"/>
      <c r="DY82" s="28"/>
      <c r="DZ82" s="28"/>
      <c r="EA82" s="28"/>
      <c r="EB82" s="29"/>
      <c r="EC82" s="30"/>
      <c r="ED82" s="30"/>
      <c r="EE82" s="30"/>
      <c r="EF82" s="30"/>
      <c r="EG82" s="31"/>
      <c r="EH82" s="32"/>
      <c r="EI82" s="32"/>
      <c r="EJ82" s="32"/>
      <c r="EK82" s="32"/>
      <c r="EL82" s="29"/>
      <c r="EM82" s="30"/>
      <c r="EN82" s="30"/>
      <c r="EO82" s="30"/>
      <c r="EP82" s="30"/>
      <c r="EQ82" s="31"/>
      <c r="ER82" s="32"/>
      <c r="ES82" s="32"/>
      <c r="ET82" s="32"/>
      <c r="EU82" s="32"/>
      <c r="EV82" s="29"/>
      <c r="EW82" s="30"/>
      <c r="EX82" s="30"/>
      <c r="EY82" s="30"/>
      <c r="EZ82" s="30"/>
      <c r="FA82" s="31"/>
      <c r="FB82" s="32"/>
      <c r="FC82" s="32"/>
      <c r="FD82" s="32"/>
      <c r="FE82" s="32"/>
      <c r="FF82" s="29"/>
      <c r="FG82" s="30"/>
      <c r="FH82" s="30"/>
      <c r="FI82" s="30"/>
      <c r="FJ82" s="30"/>
      <c r="FK82" s="31"/>
      <c r="FL82" s="32"/>
      <c r="FM82" s="32"/>
      <c r="FN82" s="32"/>
      <c r="FO82" s="32"/>
      <c r="FP82" s="29"/>
      <c r="FQ82" s="30"/>
      <c r="FR82" s="30"/>
      <c r="FS82" s="30"/>
      <c r="FT82" s="30"/>
      <c r="FU82" s="31"/>
      <c r="FV82" s="32"/>
      <c r="FW82" s="32"/>
      <c r="FX82" s="32"/>
      <c r="FY82" s="32"/>
      <c r="FZ82" s="29"/>
      <c r="GA82" s="30"/>
      <c r="GB82" s="30"/>
      <c r="GC82" s="30"/>
      <c r="GD82" s="30"/>
    </row>
    <row r="83" spans="1:186" ht="48" x14ac:dyDescent="0.25">
      <c r="A83" s="156">
        <v>74</v>
      </c>
      <c r="B83" s="395">
        <f>'Tier 3 Intervention'!B303</f>
        <v>0</v>
      </c>
      <c r="C83" s="395"/>
      <c r="D83" s="395"/>
      <c r="E83" s="395"/>
      <c r="F83" s="395"/>
      <c r="G83" s="395"/>
      <c r="H83" s="761" t="e">
        <f>'Tier 3 Intervention'!AA303+30</f>
        <v>#VALUE!</v>
      </c>
      <c r="I83" s="761"/>
      <c r="J83" s="762" t="e">
        <f t="shared" si="2"/>
        <v>#VALUE!</v>
      </c>
      <c r="K83" s="395"/>
      <c r="L83" s="47" t="s">
        <v>860</v>
      </c>
      <c r="M83" s="46"/>
      <c r="N83" s="46"/>
      <c r="O83" s="46"/>
      <c r="P83" s="49"/>
      <c r="Q83" s="19"/>
      <c r="R83" s="20"/>
      <c r="S83" s="20"/>
      <c r="T83" s="20"/>
      <c r="U83" s="20"/>
      <c r="V83" s="21"/>
      <c r="W83" s="22"/>
      <c r="X83" s="22"/>
      <c r="Y83" s="22"/>
      <c r="Z83" s="22"/>
      <c r="AA83" s="19"/>
      <c r="AB83" s="20"/>
      <c r="AC83" s="20"/>
      <c r="AD83" s="20"/>
      <c r="AE83" s="20"/>
      <c r="AF83" s="21"/>
      <c r="AG83" s="22"/>
      <c r="AH83" s="22"/>
      <c r="AI83" s="22"/>
      <c r="AJ83" s="22"/>
      <c r="AK83" s="19"/>
      <c r="AL83" s="20"/>
      <c r="AM83" s="20"/>
      <c r="AN83" s="20"/>
      <c r="AO83" s="20"/>
      <c r="AP83" s="21"/>
      <c r="AQ83" s="22"/>
      <c r="AR83" s="22"/>
      <c r="AS83" s="22"/>
      <c r="AT83" s="22"/>
      <c r="AU83" s="19"/>
      <c r="AV83" s="20"/>
      <c r="AW83" s="20"/>
      <c r="AX83" s="20"/>
      <c r="AY83" s="20"/>
      <c r="AZ83" s="21"/>
      <c r="BA83" s="22"/>
      <c r="BB83" s="22"/>
      <c r="BC83" s="22"/>
      <c r="BD83" s="22"/>
      <c r="BE83" s="19"/>
      <c r="BF83" s="20"/>
      <c r="BG83" s="20"/>
      <c r="BH83" s="20"/>
      <c r="BI83" s="20"/>
      <c r="BJ83" s="21"/>
      <c r="BK83" s="22"/>
      <c r="BL83" s="22"/>
      <c r="BM83" s="22"/>
      <c r="BN83" s="22"/>
      <c r="BO83" s="19"/>
      <c r="BP83" s="20"/>
      <c r="BQ83" s="20"/>
      <c r="BR83" s="20"/>
      <c r="BS83" s="20"/>
      <c r="BT83" s="21"/>
      <c r="BU83" s="22"/>
      <c r="BV83" s="22"/>
      <c r="BW83" s="22"/>
      <c r="BX83" s="22"/>
      <c r="BY83" s="23"/>
      <c r="BZ83" s="24"/>
      <c r="CA83" s="24"/>
      <c r="CB83" s="24"/>
      <c r="CC83" s="24"/>
      <c r="CD83" s="25"/>
      <c r="CE83" s="26"/>
      <c r="CF83" s="26"/>
      <c r="CG83" s="26"/>
      <c r="CH83" s="26"/>
      <c r="CI83" s="27"/>
      <c r="CJ83" s="28"/>
      <c r="CK83" s="28"/>
      <c r="CL83" s="28"/>
      <c r="CM83" s="28"/>
      <c r="CN83" s="25"/>
      <c r="CO83" s="26"/>
      <c r="CP83" s="26"/>
      <c r="CQ83" s="26"/>
      <c r="CR83" s="26"/>
      <c r="CS83" s="27"/>
      <c r="CT83" s="28"/>
      <c r="CU83" s="28"/>
      <c r="CV83" s="28"/>
      <c r="CW83" s="28"/>
      <c r="CX83" s="25"/>
      <c r="CY83" s="26"/>
      <c r="CZ83" s="26"/>
      <c r="DA83" s="26"/>
      <c r="DB83" s="26"/>
      <c r="DC83" s="27"/>
      <c r="DD83" s="28"/>
      <c r="DE83" s="28"/>
      <c r="DF83" s="28"/>
      <c r="DG83" s="28"/>
      <c r="DH83" s="25"/>
      <c r="DI83" s="26"/>
      <c r="DJ83" s="26"/>
      <c r="DK83" s="26"/>
      <c r="DL83" s="26"/>
      <c r="DM83" s="27"/>
      <c r="DN83" s="28"/>
      <c r="DO83" s="28"/>
      <c r="DP83" s="28"/>
      <c r="DQ83" s="28"/>
      <c r="DR83" s="25"/>
      <c r="DS83" s="26"/>
      <c r="DT83" s="26"/>
      <c r="DU83" s="26"/>
      <c r="DV83" s="26"/>
      <c r="DW83" s="27"/>
      <c r="DX83" s="28"/>
      <c r="DY83" s="28"/>
      <c r="DZ83" s="28"/>
      <c r="EA83" s="28"/>
      <c r="EB83" s="29"/>
      <c r="EC83" s="30"/>
      <c r="ED83" s="30"/>
      <c r="EE83" s="30"/>
      <c r="EF83" s="30"/>
      <c r="EG83" s="31"/>
      <c r="EH83" s="32"/>
      <c r="EI83" s="32"/>
      <c r="EJ83" s="32"/>
      <c r="EK83" s="32"/>
      <c r="EL83" s="29"/>
      <c r="EM83" s="30"/>
      <c r="EN83" s="30"/>
      <c r="EO83" s="30"/>
      <c r="EP83" s="30"/>
      <c r="EQ83" s="31"/>
      <c r="ER83" s="32"/>
      <c r="ES83" s="32"/>
      <c r="ET83" s="32"/>
      <c r="EU83" s="32"/>
      <c r="EV83" s="29"/>
      <c r="EW83" s="30"/>
      <c r="EX83" s="30"/>
      <c r="EY83" s="30"/>
      <c r="EZ83" s="30"/>
      <c r="FA83" s="31"/>
      <c r="FB83" s="32"/>
      <c r="FC83" s="32"/>
      <c r="FD83" s="32"/>
      <c r="FE83" s="32"/>
      <c r="FF83" s="29"/>
      <c r="FG83" s="30"/>
      <c r="FH83" s="30"/>
      <c r="FI83" s="30"/>
      <c r="FJ83" s="30"/>
      <c r="FK83" s="31"/>
      <c r="FL83" s="32"/>
      <c r="FM83" s="32"/>
      <c r="FN83" s="32"/>
      <c r="FO83" s="32"/>
      <c r="FP83" s="29"/>
      <c r="FQ83" s="30"/>
      <c r="FR83" s="30"/>
      <c r="FS83" s="30"/>
      <c r="FT83" s="30"/>
      <c r="FU83" s="31"/>
      <c r="FV83" s="32"/>
      <c r="FW83" s="32"/>
      <c r="FX83" s="32"/>
      <c r="FY83" s="32"/>
      <c r="FZ83" s="29"/>
      <c r="GA83" s="30"/>
      <c r="GB83" s="30"/>
      <c r="GC83" s="30"/>
      <c r="GD83" s="30"/>
    </row>
    <row r="84" spans="1:186" ht="48" x14ac:dyDescent="0.25">
      <c r="A84" s="156">
        <v>75</v>
      </c>
      <c r="B84" s="395">
        <f>'Tier 3 Intervention'!B307</f>
        <v>0</v>
      </c>
      <c r="C84" s="395"/>
      <c r="D84" s="395"/>
      <c r="E84" s="395"/>
      <c r="F84" s="395"/>
      <c r="G84" s="395"/>
      <c r="H84" s="761" t="e">
        <f>'Tier 3 Intervention'!AA307+30</f>
        <v>#VALUE!</v>
      </c>
      <c r="I84" s="761"/>
      <c r="J84" s="762" t="e">
        <f t="shared" si="2"/>
        <v>#VALUE!</v>
      </c>
      <c r="K84" s="395"/>
      <c r="L84" s="47" t="s">
        <v>861</v>
      </c>
      <c r="M84" s="46"/>
      <c r="N84" s="46"/>
      <c r="O84" s="46"/>
      <c r="P84" s="49"/>
      <c r="Q84" s="19"/>
      <c r="R84" s="20"/>
      <c r="S84" s="20"/>
      <c r="T84" s="20"/>
      <c r="U84" s="20"/>
      <c r="V84" s="21"/>
      <c r="W84" s="22"/>
      <c r="X84" s="22"/>
      <c r="Y84" s="22"/>
      <c r="Z84" s="22"/>
      <c r="AA84" s="19"/>
      <c r="AB84" s="20"/>
      <c r="AC84" s="20"/>
      <c r="AD84" s="20"/>
      <c r="AE84" s="20"/>
      <c r="AF84" s="21"/>
      <c r="AG84" s="22"/>
      <c r="AH84" s="22"/>
      <c r="AI84" s="22"/>
      <c r="AJ84" s="22"/>
      <c r="AK84" s="19"/>
      <c r="AL84" s="20"/>
      <c r="AM84" s="20"/>
      <c r="AN84" s="20"/>
      <c r="AO84" s="20"/>
      <c r="AP84" s="21"/>
      <c r="AQ84" s="22"/>
      <c r="AR84" s="22"/>
      <c r="AS84" s="22"/>
      <c r="AT84" s="22"/>
      <c r="AU84" s="19"/>
      <c r="AV84" s="20"/>
      <c r="AW84" s="20"/>
      <c r="AX84" s="20"/>
      <c r="AY84" s="20"/>
      <c r="AZ84" s="21"/>
      <c r="BA84" s="22"/>
      <c r="BB84" s="22"/>
      <c r="BC84" s="22"/>
      <c r="BD84" s="22"/>
      <c r="BE84" s="19"/>
      <c r="BF84" s="20"/>
      <c r="BG84" s="20"/>
      <c r="BH84" s="20"/>
      <c r="BI84" s="20"/>
      <c r="BJ84" s="21"/>
      <c r="BK84" s="22"/>
      <c r="BL84" s="22"/>
      <c r="BM84" s="22"/>
      <c r="BN84" s="22"/>
      <c r="BO84" s="19"/>
      <c r="BP84" s="20"/>
      <c r="BQ84" s="20"/>
      <c r="BR84" s="20"/>
      <c r="BS84" s="20"/>
      <c r="BT84" s="21"/>
      <c r="BU84" s="22"/>
      <c r="BV84" s="22"/>
      <c r="BW84" s="22"/>
      <c r="BX84" s="22"/>
      <c r="BY84" s="23"/>
      <c r="BZ84" s="24"/>
      <c r="CA84" s="24"/>
      <c r="CB84" s="24"/>
      <c r="CC84" s="24"/>
      <c r="CD84" s="25"/>
      <c r="CE84" s="26"/>
      <c r="CF84" s="26"/>
      <c r="CG84" s="26"/>
      <c r="CH84" s="26"/>
      <c r="CI84" s="27"/>
      <c r="CJ84" s="28"/>
      <c r="CK84" s="28"/>
      <c r="CL84" s="28"/>
      <c r="CM84" s="28"/>
      <c r="CN84" s="25"/>
      <c r="CO84" s="26"/>
      <c r="CP84" s="26"/>
      <c r="CQ84" s="26"/>
      <c r="CR84" s="26"/>
      <c r="CS84" s="27"/>
      <c r="CT84" s="28"/>
      <c r="CU84" s="28"/>
      <c r="CV84" s="28"/>
      <c r="CW84" s="28"/>
      <c r="CX84" s="25"/>
      <c r="CY84" s="26"/>
      <c r="CZ84" s="26"/>
      <c r="DA84" s="26"/>
      <c r="DB84" s="26"/>
      <c r="DC84" s="27"/>
      <c r="DD84" s="28"/>
      <c r="DE84" s="28"/>
      <c r="DF84" s="28"/>
      <c r="DG84" s="28"/>
      <c r="DH84" s="25"/>
      <c r="DI84" s="26"/>
      <c r="DJ84" s="26"/>
      <c r="DK84" s="26"/>
      <c r="DL84" s="26"/>
      <c r="DM84" s="27"/>
      <c r="DN84" s="28"/>
      <c r="DO84" s="28"/>
      <c r="DP84" s="28"/>
      <c r="DQ84" s="28"/>
      <c r="DR84" s="25"/>
      <c r="DS84" s="26"/>
      <c r="DT84" s="26"/>
      <c r="DU84" s="26"/>
      <c r="DV84" s="26"/>
      <c r="DW84" s="27"/>
      <c r="DX84" s="28"/>
      <c r="DY84" s="28"/>
      <c r="DZ84" s="28"/>
      <c r="EA84" s="28"/>
      <c r="EB84" s="29"/>
      <c r="EC84" s="30"/>
      <c r="ED84" s="30"/>
      <c r="EE84" s="30"/>
      <c r="EF84" s="30"/>
      <c r="EG84" s="31"/>
      <c r="EH84" s="32"/>
      <c r="EI84" s="32"/>
      <c r="EJ84" s="32"/>
      <c r="EK84" s="32"/>
      <c r="EL84" s="29"/>
      <c r="EM84" s="30"/>
      <c r="EN84" s="30"/>
      <c r="EO84" s="30"/>
      <c r="EP84" s="30"/>
      <c r="EQ84" s="31"/>
      <c r="ER84" s="32"/>
      <c r="ES84" s="32"/>
      <c r="ET84" s="32"/>
      <c r="EU84" s="32"/>
      <c r="EV84" s="29"/>
      <c r="EW84" s="30"/>
      <c r="EX84" s="30"/>
      <c r="EY84" s="30"/>
      <c r="EZ84" s="30"/>
      <c r="FA84" s="31"/>
      <c r="FB84" s="32"/>
      <c r="FC84" s="32"/>
      <c r="FD84" s="32"/>
      <c r="FE84" s="32"/>
      <c r="FF84" s="29"/>
      <c r="FG84" s="30"/>
      <c r="FH84" s="30"/>
      <c r="FI84" s="30"/>
      <c r="FJ84" s="30"/>
      <c r="FK84" s="31"/>
      <c r="FL84" s="32"/>
      <c r="FM84" s="32"/>
      <c r="FN84" s="32"/>
      <c r="FO84" s="32"/>
      <c r="FP84" s="29"/>
      <c r="FQ84" s="30"/>
      <c r="FR84" s="30"/>
      <c r="FS84" s="30"/>
      <c r="FT84" s="30"/>
      <c r="FU84" s="31"/>
      <c r="FV84" s="32"/>
      <c r="FW84" s="32"/>
      <c r="FX84" s="32"/>
      <c r="FY84" s="32"/>
      <c r="FZ84" s="29"/>
      <c r="GA84" s="30"/>
      <c r="GB84" s="30"/>
      <c r="GC84" s="30"/>
      <c r="GD84" s="30"/>
    </row>
    <row r="85" spans="1:186" ht="48" x14ac:dyDescent="0.25">
      <c r="A85" s="156">
        <v>76</v>
      </c>
      <c r="B85" s="395">
        <f>'Tier 3 Intervention'!B311</f>
        <v>0</v>
      </c>
      <c r="C85" s="395"/>
      <c r="D85" s="395"/>
      <c r="E85" s="395"/>
      <c r="F85" s="395"/>
      <c r="G85" s="395"/>
      <c r="H85" s="761" t="e">
        <f>'Tier 3 Intervention'!AA311+30</f>
        <v>#VALUE!</v>
      </c>
      <c r="I85" s="761"/>
      <c r="J85" s="762" t="e">
        <f t="shared" si="2"/>
        <v>#VALUE!</v>
      </c>
      <c r="K85" s="395"/>
      <c r="L85" s="47" t="s">
        <v>862</v>
      </c>
      <c r="M85" s="46"/>
      <c r="N85" s="46"/>
      <c r="O85" s="46"/>
      <c r="P85" s="49"/>
      <c r="Q85" s="19"/>
      <c r="R85" s="20"/>
      <c r="S85" s="20"/>
      <c r="T85" s="20"/>
      <c r="U85" s="20"/>
      <c r="V85" s="21"/>
      <c r="W85" s="22"/>
      <c r="X85" s="22"/>
      <c r="Y85" s="22"/>
      <c r="Z85" s="22"/>
      <c r="AA85" s="19"/>
      <c r="AB85" s="20"/>
      <c r="AC85" s="20"/>
      <c r="AD85" s="20"/>
      <c r="AE85" s="20"/>
      <c r="AF85" s="21"/>
      <c r="AG85" s="22"/>
      <c r="AH85" s="22"/>
      <c r="AI85" s="22"/>
      <c r="AJ85" s="22"/>
      <c r="AK85" s="19"/>
      <c r="AL85" s="20"/>
      <c r="AM85" s="20"/>
      <c r="AN85" s="20"/>
      <c r="AO85" s="20"/>
      <c r="AP85" s="21"/>
      <c r="AQ85" s="22"/>
      <c r="AR85" s="22"/>
      <c r="AS85" s="22"/>
      <c r="AT85" s="22"/>
      <c r="AU85" s="19"/>
      <c r="AV85" s="20"/>
      <c r="AW85" s="20"/>
      <c r="AX85" s="20"/>
      <c r="AY85" s="20"/>
      <c r="AZ85" s="21"/>
      <c r="BA85" s="22"/>
      <c r="BB85" s="22"/>
      <c r="BC85" s="22"/>
      <c r="BD85" s="22"/>
      <c r="BE85" s="19"/>
      <c r="BF85" s="20"/>
      <c r="BG85" s="20"/>
      <c r="BH85" s="20"/>
      <c r="BI85" s="20"/>
      <c r="BJ85" s="21"/>
      <c r="BK85" s="22"/>
      <c r="BL85" s="22"/>
      <c r="BM85" s="22"/>
      <c r="BN85" s="22"/>
      <c r="BO85" s="19"/>
      <c r="BP85" s="20"/>
      <c r="BQ85" s="20"/>
      <c r="BR85" s="20"/>
      <c r="BS85" s="20"/>
      <c r="BT85" s="21"/>
      <c r="BU85" s="22"/>
      <c r="BV85" s="22"/>
      <c r="BW85" s="22"/>
      <c r="BX85" s="22"/>
      <c r="BY85" s="23"/>
      <c r="BZ85" s="24"/>
      <c r="CA85" s="24"/>
      <c r="CB85" s="24"/>
      <c r="CC85" s="24"/>
      <c r="CD85" s="25"/>
      <c r="CE85" s="26"/>
      <c r="CF85" s="26"/>
      <c r="CG85" s="26"/>
      <c r="CH85" s="26"/>
      <c r="CI85" s="27"/>
      <c r="CJ85" s="28"/>
      <c r="CK85" s="28"/>
      <c r="CL85" s="28"/>
      <c r="CM85" s="28"/>
      <c r="CN85" s="25"/>
      <c r="CO85" s="26"/>
      <c r="CP85" s="26"/>
      <c r="CQ85" s="26"/>
      <c r="CR85" s="26"/>
      <c r="CS85" s="27"/>
      <c r="CT85" s="28"/>
      <c r="CU85" s="28"/>
      <c r="CV85" s="28"/>
      <c r="CW85" s="28"/>
      <c r="CX85" s="25"/>
      <c r="CY85" s="26"/>
      <c r="CZ85" s="26"/>
      <c r="DA85" s="26"/>
      <c r="DB85" s="26"/>
      <c r="DC85" s="27"/>
      <c r="DD85" s="28"/>
      <c r="DE85" s="28"/>
      <c r="DF85" s="28"/>
      <c r="DG85" s="28"/>
      <c r="DH85" s="25"/>
      <c r="DI85" s="26"/>
      <c r="DJ85" s="26"/>
      <c r="DK85" s="26"/>
      <c r="DL85" s="26"/>
      <c r="DM85" s="27"/>
      <c r="DN85" s="28"/>
      <c r="DO85" s="28"/>
      <c r="DP85" s="28"/>
      <c r="DQ85" s="28"/>
      <c r="DR85" s="25"/>
      <c r="DS85" s="26"/>
      <c r="DT85" s="26"/>
      <c r="DU85" s="26"/>
      <c r="DV85" s="26"/>
      <c r="DW85" s="27"/>
      <c r="DX85" s="28"/>
      <c r="DY85" s="28"/>
      <c r="DZ85" s="28"/>
      <c r="EA85" s="28"/>
      <c r="EB85" s="29"/>
      <c r="EC85" s="30"/>
      <c r="ED85" s="30"/>
      <c r="EE85" s="30"/>
      <c r="EF85" s="30"/>
      <c r="EG85" s="31"/>
      <c r="EH85" s="32"/>
      <c r="EI85" s="32"/>
      <c r="EJ85" s="32"/>
      <c r="EK85" s="32"/>
      <c r="EL85" s="29"/>
      <c r="EM85" s="30"/>
      <c r="EN85" s="30"/>
      <c r="EO85" s="30"/>
      <c r="EP85" s="30"/>
      <c r="EQ85" s="31"/>
      <c r="ER85" s="32"/>
      <c r="ES85" s="32"/>
      <c r="ET85" s="32"/>
      <c r="EU85" s="32"/>
      <c r="EV85" s="29"/>
      <c r="EW85" s="30"/>
      <c r="EX85" s="30"/>
      <c r="EY85" s="30"/>
      <c r="EZ85" s="30"/>
      <c r="FA85" s="31"/>
      <c r="FB85" s="32"/>
      <c r="FC85" s="32"/>
      <c r="FD85" s="32"/>
      <c r="FE85" s="32"/>
      <c r="FF85" s="29"/>
      <c r="FG85" s="30"/>
      <c r="FH85" s="30"/>
      <c r="FI85" s="30"/>
      <c r="FJ85" s="30"/>
      <c r="FK85" s="31"/>
      <c r="FL85" s="32"/>
      <c r="FM85" s="32"/>
      <c r="FN85" s="32"/>
      <c r="FO85" s="32"/>
      <c r="FP85" s="29"/>
      <c r="FQ85" s="30"/>
      <c r="FR85" s="30"/>
      <c r="FS85" s="30"/>
      <c r="FT85" s="30"/>
      <c r="FU85" s="31"/>
      <c r="FV85" s="32"/>
      <c r="FW85" s="32"/>
      <c r="FX85" s="32"/>
      <c r="FY85" s="32"/>
      <c r="FZ85" s="29"/>
      <c r="GA85" s="30"/>
      <c r="GB85" s="30"/>
      <c r="GC85" s="30"/>
      <c r="GD85" s="30"/>
    </row>
    <row r="86" spans="1:186" ht="48" x14ac:dyDescent="0.25">
      <c r="A86" s="156">
        <v>77</v>
      </c>
      <c r="B86" s="395">
        <f>'Tier 3 Intervention'!B315</f>
        <v>0</v>
      </c>
      <c r="C86" s="395"/>
      <c r="D86" s="395"/>
      <c r="E86" s="395"/>
      <c r="F86" s="395"/>
      <c r="G86" s="395"/>
      <c r="H86" s="761" t="e">
        <f>'Tier 3 Intervention'!AA315+30</f>
        <v>#VALUE!</v>
      </c>
      <c r="I86" s="761"/>
      <c r="J86" s="762" t="e">
        <f t="shared" si="2"/>
        <v>#VALUE!</v>
      </c>
      <c r="K86" s="395"/>
      <c r="L86" s="47" t="s">
        <v>863</v>
      </c>
      <c r="M86" s="46"/>
      <c r="N86" s="46"/>
      <c r="O86" s="46"/>
      <c r="P86" s="49"/>
      <c r="Q86" s="19"/>
      <c r="R86" s="20"/>
      <c r="S86" s="20"/>
      <c r="T86" s="20"/>
      <c r="U86" s="20"/>
      <c r="V86" s="21"/>
      <c r="W86" s="22"/>
      <c r="X86" s="22"/>
      <c r="Y86" s="22"/>
      <c r="Z86" s="22"/>
      <c r="AA86" s="19"/>
      <c r="AB86" s="20"/>
      <c r="AC86" s="20"/>
      <c r="AD86" s="20"/>
      <c r="AE86" s="20"/>
      <c r="AF86" s="21"/>
      <c r="AG86" s="22"/>
      <c r="AH86" s="22"/>
      <c r="AI86" s="22"/>
      <c r="AJ86" s="22"/>
      <c r="AK86" s="19"/>
      <c r="AL86" s="20"/>
      <c r="AM86" s="20"/>
      <c r="AN86" s="20"/>
      <c r="AO86" s="20"/>
      <c r="AP86" s="21"/>
      <c r="AQ86" s="22"/>
      <c r="AR86" s="22"/>
      <c r="AS86" s="22"/>
      <c r="AT86" s="22"/>
      <c r="AU86" s="19"/>
      <c r="AV86" s="20"/>
      <c r="AW86" s="20"/>
      <c r="AX86" s="20"/>
      <c r="AY86" s="20"/>
      <c r="AZ86" s="21"/>
      <c r="BA86" s="22"/>
      <c r="BB86" s="22"/>
      <c r="BC86" s="22"/>
      <c r="BD86" s="22"/>
      <c r="BE86" s="19"/>
      <c r="BF86" s="20"/>
      <c r="BG86" s="20"/>
      <c r="BH86" s="20"/>
      <c r="BI86" s="20"/>
      <c r="BJ86" s="21"/>
      <c r="BK86" s="22"/>
      <c r="BL86" s="22"/>
      <c r="BM86" s="22"/>
      <c r="BN86" s="22"/>
      <c r="BO86" s="19"/>
      <c r="BP86" s="20"/>
      <c r="BQ86" s="20"/>
      <c r="BR86" s="20"/>
      <c r="BS86" s="20"/>
      <c r="BT86" s="21"/>
      <c r="BU86" s="22"/>
      <c r="BV86" s="22"/>
      <c r="BW86" s="22"/>
      <c r="BX86" s="22"/>
      <c r="BY86" s="23"/>
      <c r="BZ86" s="24"/>
      <c r="CA86" s="24"/>
      <c r="CB86" s="24"/>
      <c r="CC86" s="24"/>
      <c r="CD86" s="25"/>
      <c r="CE86" s="26"/>
      <c r="CF86" s="26"/>
      <c r="CG86" s="26"/>
      <c r="CH86" s="26"/>
      <c r="CI86" s="27"/>
      <c r="CJ86" s="28"/>
      <c r="CK86" s="28"/>
      <c r="CL86" s="28"/>
      <c r="CM86" s="28"/>
      <c r="CN86" s="25"/>
      <c r="CO86" s="26"/>
      <c r="CP86" s="26"/>
      <c r="CQ86" s="26"/>
      <c r="CR86" s="26"/>
      <c r="CS86" s="27"/>
      <c r="CT86" s="28"/>
      <c r="CU86" s="28"/>
      <c r="CV86" s="28"/>
      <c r="CW86" s="28"/>
      <c r="CX86" s="25"/>
      <c r="CY86" s="26"/>
      <c r="CZ86" s="26"/>
      <c r="DA86" s="26"/>
      <c r="DB86" s="26"/>
      <c r="DC86" s="27"/>
      <c r="DD86" s="28"/>
      <c r="DE86" s="28"/>
      <c r="DF86" s="28"/>
      <c r="DG86" s="28"/>
      <c r="DH86" s="25"/>
      <c r="DI86" s="26"/>
      <c r="DJ86" s="26"/>
      <c r="DK86" s="26"/>
      <c r="DL86" s="26"/>
      <c r="DM86" s="27"/>
      <c r="DN86" s="28"/>
      <c r="DO86" s="28"/>
      <c r="DP86" s="28"/>
      <c r="DQ86" s="28"/>
      <c r="DR86" s="25"/>
      <c r="DS86" s="26"/>
      <c r="DT86" s="26"/>
      <c r="DU86" s="26"/>
      <c r="DV86" s="26"/>
      <c r="DW86" s="27"/>
      <c r="DX86" s="28"/>
      <c r="DY86" s="28"/>
      <c r="DZ86" s="28"/>
      <c r="EA86" s="28"/>
      <c r="EB86" s="29"/>
      <c r="EC86" s="30"/>
      <c r="ED86" s="30"/>
      <c r="EE86" s="30"/>
      <c r="EF86" s="30"/>
      <c r="EG86" s="31"/>
      <c r="EH86" s="32"/>
      <c r="EI86" s="32"/>
      <c r="EJ86" s="32"/>
      <c r="EK86" s="32"/>
      <c r="EL86" s="29"/>
      <c r="EM86" s="30"/>
      <c r="EN86" s="30"/>
      <c r="EO86" s="30"/>
      <c r="EP86" s="30"/>
      <c r="EQ86" s="31"/>
      <c r="ER86" s="32"/>
      <c r="ES86" s="32"/>
      <c r="ET86" s="32"/>
      <c r="EU86" s="32"/>
      <c r="EV86" s="29"/>
      <c r="EW86" s="30"/>
      <c r="EX86" s="30"/>
      <c r="EY86" s="30"/>
      <c r="EZ86" s="30"/>
      <c r="FA86" s="31"/>
      <c r="FB86" s="32"/>
      <c r="FC86" s="32"/>
      <c r="FD86" s="32"/>
      <c r="FE86" s="32"/>
      <c r="FF86" s="29"/>
      <c r="FG86" s="30"/>
      <c r="FH86" s="30"/>
      <c r="FI86" s="30"/>
      <c r="FJ86" s="30"/>
      <c r="FK86" s="31"/>
      <c r="FL86" s="32"/>
      <c r="FM86" s="32"/>
      <c r="FN86" s="32"/>
      <c r="FO86" s="32"/>
      <c r="FP86" s="29"/>
      <c r="FQ86" s="30"/>
      <c r="FR86" s="30"/>
      <c r="FS86" s="30"/>
      <c r="FT86" s="30"/>
      <c r="FU86" s="31"/>
      <c r="FV86" s="32"/>
      <c r="FW86" s="32"/>
      <c r="FX86" s="32"/>
      <c r="FY86" s="32"/>
      <c r="FZ86" s="29"/>
      <c r="GA86" s="30"/>
      <c r="GB86" s="30"/>
      <c r="GC86" s="30"/>
      <c r="GD86" s="30"/>
    </row>
    <row r="87" spans="1:186" ht="48" x14ac:dyDescent="0.25">
      <c r="A87" s="156">
        <v>78</v>
      </c>
      <c r="B87" s="395">
        <f>'Tier 3 Intervention'!B319</f>
        <v>0</v>
      </c>
      <c r="C87" s="395"/>
      <c r="D87" s="395"/>
      <c r="E87" s="395"/>
      <c r="F87" s="395"/>
      <c r="G87" s="395"/>
      <c r="H87" s="761" t="e">
        <f>'Tier 3 Intervention'!AA319+30</f>
        <v>#VALUE!</v>
      </c>
      <c r="I87" s="761"/>
      <c r="J87" s="762" t="e">
        <f t="shared" si="2"/>
        <v>#VALUE!</v>
      </c>
      <c r="K87" s="395"/>
      <c r="L87" s="47" t="s">
        <v>864</v>
      </c>
      <c r="M87" s="46"/>
      <c r="N87" s="46"/>
      <c r="O87" s="46"/>
      <c r="P87" s="49"/>
      <c r="Q87" s="19"/>
      <c r="R87" s="20"/>
      <c r="S87" s="20"/>
      <c r="T87" s="20"/>
      <c r="U87" s="20"/>
      <c r="V87" s="21"/>
      <c r="W87" s="22"/>
      <c r="X87" s="22"/>
      <c r="Y87" s="22"/>
      <c r="Z87" s="22"/>
      <c r="AA87" s="19"/>
      <c r="AB87" s="20"/>
      <c r="AC87" s="20"/>
      <c r="AD87" s="20"/>
      <c r="AE87" s="20"/>
      <c r="AF87" s="21"/>
      <c r="AG87" s="22"/>
      <c r="AH87" s="22"/>
      <c r="AI87" s="22"/>
      <c r="AJ87" s="22"/>
      <c r="AK87" s="19"/>
      <c r="AL87" s="20"/>
      <c r="AM87" s="20"/>
      <c r="AN87" s="20"/>
      <c r="AO87" s="20"/>
      <c r="AP87" s="21"/>
      <c r="AQ87" s="22"/>
      <c r="AR87" s="22"/>
      <c r="AS87" s="22"/>
      <c r="AT87" s="22"/>
      <c r="AU87" s="19"/>
      <c r="AV87" s="20"/>
      <c r="AW87" s="20"/>
      <c r="AX87" s="20"/>
      <c r="AY87" s="20"/>
      <c r="AZ87" s="21"/>
      <c r="BA87" s="22"/>
      <c r="BB87" s="22"/>
      <c r="BC87" s="22"/>
      <c r="BD87" s="22"/>
      <c r="BE87" s="19"/>
      <c r="BF87" s="20"/>
      <c r="BG87" s="20"/>
      <c r="BH87" s="20"/>
      <c r="BI87" s="20"/>
      <c r="BJ87" s="21"/>
      <c r="BK87" s="22"/>
      <c r="BL87" s="22"/>
      <c r="BM87" s="22"/>
      <c r="BN87" s="22"/>
      <c r="BO87" s="19"/>
      <c r="BP87" s="20"/>
      <c r="BQ87" s="20"/>
      <c r="BR87" s="20"/>
      <c r="BS87" s="20"/>
      <c r="BT87" s="21"/>
      <c r="BU87" s="22"/>
      <c r="BV87" s="22"/>
      <c r="BW87" s="22"/>
      <c r="BX87" s="22"/>
      <c r="BY87" s="23"/>
      <c r="BZ87" s="24"/>
      <c r="CA87" s="24"/>
      <c r="CB87" s="24"/>
      <c r="CC87" s="24"/>
      <c r="CD87" s="25"/>
      <c r="CE87" s="26"/>
      <c r="CF87" s="26"/>
      <c r="CG87" s="26"/>
      <c r="CH87" s="26"/>
      <c r="CI87" s="27"/>
      <c r="CJ87" s="28"/>
      <c r="CK87" s="28"/>
      <c r="CL87" s="28"/>
      <c r="CM87" s="28"/>
      <c r="CN87" s="25"/>
      <c r="CO87" s="26"/>
      <c r="CP87" s="26"/>
      <c r="CQ87" s="26"/>
      <c r="CR87" s="26"/>
      <c r="CS87" s="27"/>
      <c r="CT87" s="28"/>
      <c r="CU87" s="28"/>
      <c r="CV87" s="28"/>
      <c r="CW87" s="28"/>
      <c r="CX87" s="25"/>
      <c r="CY87" s="26"/>
      <c r="CZ87" s="26"/>
      <c r="DA87" s="26"/>
      <c r="DB87" s="26"/>
      <c r="DC87" s="27"/>
      <c r="DD87" s="28"/>
      <c r="DE87" s="28"/>
      <c r="DF87" s="28"/>
      <c r="DG87" s="28"/>
      <c r="DH87" s="25"/>
      <c r="DI87" s="26"/>
      <c r="DJ87" s="26"/>
      <c r="DK87" s="26"/>
      <c r="DL87" s="26"/>
      <c r="DM87" s="27"/>
      <c r="DN87" s="28"/>
      <c r="DO87" s="28"/>
      <c r="DP87" s="28"/>
      <c r="DQ87" s="28"/>
      <c r="DR87" s="25"/>
      <c r="DS87" s="26"/>
      <c r="DT87" s="26"/>
      <c r="DU87" s="26"/>
      <c r="DV87" s="26"/>
      <c r="DW87" s="27"/>
      <c r="DX87" s="28"/>
      <c r="DY87" s="28"/>
      <c r="DZ87" s="28"/>
      <c r="EA87" s="28"/>
      <c r="EB87" s="29"/>
      <c r="EC87" s="30"/>
      <c r="ED87" s="30"/>
      <c r="EE87" s="30"/>
      <c r="EF87" s="30"/>
      <c r="EG87" s="31"/>
      <c r="EH87" s="32"/>
      <c r="EI87" s="32"/>
      <c r="EJ87" s="32"/>
      <c r="EK87" s="32"/>
      <c r="EL87" s="29"/>
      <c r="EM87" s="30"/>
      <c r="EN87" s="30"/>
      <c r="EO87" s="30"/>
      <c r="EP87" s="30"/>
      <c r="EQ87" s="31"/>
      <c r="ER87" s="32"/>
      <c r="ES87" s="32"/>
      <c r="ET87" s="32"/>
      <c r="EU87" s="32"/>
      <c r="EV87" s="29"/>
      <c r="EW87" s="30"/>
      <c r="EX87" s="30"/>
      <c r="EY87" s="30"/>
      <c r="EZ87" s="30"/>
      <c r="FA87" s="31"/>
      <c r="FB87" s="32"/>
      <c r="FC87" s="32"/>
      <c r="FD87" s="32"/>
      <c r="FE87" s="32"/>
      <c r="FF87" s="29"/>
      <c r="FG87" s="30"/>
      <c r="FH87" s="30"/>
      <c r="FI87" s="30"/>
      <c r="FJ87" s="30"/>
      <c r="FK87" s="31"/>
      <c r="FL87" s="32"/>
      <c r="FM87" s="32"/>
      <c r="FN87" s="32"/>
      <c r="FO87" s="32"/>
      <c r="FP87" s="29"/>
      <c r="FQ87" s="30"/>
      <c r="FR87" s="30"/>
      <c r="FS87" s="30"/>
      <c r="FT87" s="30"/>
      <c r="FU87" s="31"/>
      <c r="FV87" s="32"/>
      <c r="FW87" s="32"/>
      <c r="FX87" s="32"/>
      <c r="FY87" s="32"/>
      <c r="FZ87" s="29"/>
      <c r="GA87" s="30"/>
      <c r="GB87" s="30"/>
      <c r="GC87" s="30"/>
      <c r="GD87" s="30"/>
    </row>
    <row r="88" spans="1:186" ht="48" x14ac:dyDescent="0.25">
      <c r="A88" s="156">
        <v>79</v>
      </c>
      <c r="B88" s="395">
        <f>'Tier 3 Intervention'!B323</f>
        <v>0</v>
      </c>
      <c r="C88" s="395"/>
      <c r="D88" s="395"/>
      <c r="E88" s="395"/>
      <c r="F88" s="395"/>
      <c r="G88" s="395"/>
      <c r="H88" s="761" t="e">
        <f>'Tier 3 Intervention'!AA323+30</f>
        <v>#VALUE!</v>
      </c>
      <c r="I88" s="761"/>
      <c r="J88" s="762" t="e">
        <f t="shared" si="2"/>
        <v>#VALUE!</v>
      </c>
      <c r="K88" s="395"/>
      <c r="L88" s="47" t="s">
        <v>865</v>
      </c>
      <c r="M88" s="46"/>
      <c r="N88" s="46"/>
      <c r="O88" s="46"/>
      <c r="P88" s="49"/>
      <c r="Q88" s="19"/>
      <c r="R88" s="20"/>
      <c r="S88" s="20"/>
      <c r="T88" s="20"/>
      <c r="U88" s="20"/>
      <c r="V88" s="21"/>
      <c r="W88" s="22"/>
      <c r="X88" s="22"/>
      <c r="Y88" s="22"/>
      <c r="Z88" s="22"/>
      <c r="AA88" s="19"/>
      <c r="AB88" s="20"/>
      <c r="AC88" s="20"/>
      <c r="AD88" s="20"/>
      <c r="AE88" s="20"/>
      <c r="AF88" s="21"/>
      <c r="AG88" s="22"/>
      <c r="AH88" s="22"/>
      <c r="AI88" s="22"/>
      <c r="AJ88" s="22"/>
      <c r="AK88" s="19"/>
      <c r="AL88" s="20"/>
      <c r="AM88" s="20"/>
      <c r="AN88" s="20"/>
      <c r="AO88" s="20"/>
      <c r="AP88" s="21"/>
      <c r="AQ88" s="22"/>
      <c r="AR88" s="22"/>
      <c r="AS88" s="22"/>
      <c r="AT88" s="22"/>
      <c r="AU88" s="19"/>
      <c r="AV88" s="20"/>
      <c r="AW88" s="20"/>
      <c r="AX88" s="20"/>
      <c r="AY88" s="20"/>
      <c r="AZ88" s="21"/>
      <c r="BA88" s="22"/>
      <c r="BB88" s="22"/>
      <c r="BC88" s="22"/>
      <c r="BD88" s="22"/>
      <c r="BE88" s="19"/>
      <c r="BF88" s="20"/>
      <c r="BG88" s="20"/>
      <c r="BH88" s="20"/>
      <c r="BI88" s="20"/>
      <c r="BJ88" s="21"/>
      <c r="BK88" s="22"/>
      <c r="BL88" s="22"/>
      <c r="BM88" s="22"/>
      <c r="BN88" s="22"/>
      <c r="BO88" s="19"/>
      <c r="BP88" s="20"/>
      <c r="BQ88" s="20"/>
      <c r="BR88" s="20"/>
      <c r="BS88" s="20"/>
      <c r="BT88" s="21"/>
      <c r="BU88" s="22"/>
      <c r="BV88" s="22"/>
      <c r="BW88" s="22"/>
      <c r="BX88" s="22"/>
      <c r="BY88" s="23"/>
      <c r="BZ88" s="24"/>
      <c r="CA88" s="24"/>
      <c r="CB88" s="24"/>
      <c r="CC88" s="24"/>
      <c r="CD88" s="25"/>
      <c r="CE88" s="26"/>
      <c r="CF88" s="26"/>
      <c r="CG88" s="26"/>
      <c r="CH88" s="26"/>
      <c r="CI88" s="27"/>
      <c r="CJ88" s="28"/>
      <c r="CK88" s="28"/>
      <c r="CL88" s="28"/>
      <c r="CM88" s="28"/>
      <c r="CN88" s="25"/>
      <c r="CO88" s="26"/>
      <c r="CP88" s="26"/>
      <c r="CQ88" s="26"/>
      <c r="CR88" s="26"/>
      <c r="CS88" s="27"/>
      <c r="CT88" s="28"/>
      <c r="CU88" s="28"/>
      <c r="CV88" s="28"/>
      <c r="CW88" s="28"/>
      <c r="CX88" s="25"/>
      <c r="CY88" s="26"/>
      <c r="CZ88" s="26"/>
      <c r="DA88" s="26"/>
      <c r="DB88" s="26"/>
      <c r="DC88" s="27"/>
      <c r="DD88" s="28"/>
      <c r="DE88" s="28"/>
      <c r="DF88" s="28"/>
      <c r="DG88" s="28"/>
      <c r="DH88" s="25"/>
      <c r="DI88" s="26"/>
      <c r="DJ88" s="26"/>
      <c r="DK88" s="26"/>
      <c r="DL88" s="26"/>
      <c r="DM88" s="27"/>
      <c r="DN88" s="28"/>
      <c r="DO88" s="28"/>
      <c r="DP88" s="28"/>
      <c r="DQ88" s="28"/>
      <c r="DR88" s="25"/>
      <c r="DS88" s="26"/>
      <c r="DT88" s="26"/>
      <c r="DU88" s="26"/>
      <c r="DV88" s="26"/>
      <c r="DW88" s="27"/>
      <c r="DX88" s="28"/>
      <c r="DY88" s="28"/>
      <c r="DZ88" s="28"/>
      <c r="EA88" s="28"/>
      <c r="EB88" s="29"/>
      <c r="EC88" s="30"/>
      <c r="ED88" s="30"/>
      <c r="EE88" s="30"/>
      <c r="EF88" s="30"/>
      <c r="EG88" s="31"/>
      <c r="EH88" s="32"/>
      <c r="EI88" s="32"/>
      <c r="EJ88" s="32"/>
      <c r="EK88" s="32"/>
      <c r="EL88" s="29"/>
      <c r="EM88" s="30"/>
      <c r="EN88" s="30"/>
      <c r="EO88" s="30"/>
      <c r="EP88" s="30"/>
      <c r="EQ88" s="31"/>
      <c r="ER88" s="32"/>
      <c r="ES88" s="32"/>
      <c r="ET88" s="32"/>
      <c r="EU88" s="32"/>
      <c r="EV88" s="29"/>
      <c r="EW88" s="30"/>
      <c r="EX88" s="30"/>
      <c r="EY88" s="30"/>
      <c r="EZ88" s="30"/>
      <c r="FA88" s="31"/>
      <c r="FB88" s="32"/>
      <c r="FC88" s="32"/>
      <c r="FD88" s="32"/>
      <c r="FE88" s="32"/>
      <c r="FF88" s="29"/>
      <c r="FG88" s="30"/>
      <c r="FH88" s="30"/>
      <c r="FI88" s="30"/>
      <c r="FJ88" s="30"/>
      <c r="FK88" s="31"/>
      <c r="FL88" s="32"/>
      <c r="FM88" s="32"/>
      <c r="FN88" s="32"/>
      <c r="FO88" s="32"/>
      <c r="FP88" s="29"/>
      <c r="FQ88" s="30"/>
      <c r="FR88" s="30"/>
      <c r="FS88" s="30"/>
      <c r="FT88" s="30"/>
      <c r="FU88" s="31"/>
      <c r="FV88" s="32"/>
      <c r="FW88" s="32"/>
      <c r="FX88" s="32"/>
      <c r="FY88" s="32"/>
      <c r="FZ88" s="29"/>
      <c r="GA88" s="30"/>
      <c r="GB88" s="30"/>
      <c r="GC88" s="30"/>
      <c r="GD88" s="30"/>
    </row>
    <row r="89" spans="1:186" ht="48" x14ac:dyDescent="0.25">
      <c r="A89" s="156">
        <v>80</v>
      </c>
      <c r="B89" s="395">
        <f>'Tier 3 Intervention'!B327</f>
        <v>0</v>
      </c>
      <c r="C89" s="395"/>
      <c r="D89" s="395"/>
      <c r="E89" s="395"/>
      <c r="F89" s="395"/>
      <c r="G89" s="395"/>
      <c r="H89" s="761" t="e">
        <f>'Tier 3 Intervention'!AA327+30</f>
        <v>#VALUE!</v>
      </c>
      <c r="I89" s="761"/>
      <c r="J89" s="762" t="e">
        <f t="shared" si="2"/>
        <v>#VALUE!</v>
      </c>
      <c r="K89" s="395"/>
      <c r="L89" s="47" t="s">
        <v>866</v>
      </c>
      <c r="M89" s="46"/>
      <c r="N89" s="46"/>
      <c r="O89" s="46"/>
      <c r="P89" s="49"/>
      <c r="Q89" s="19"/>
      <c r="R89" s="20"/>
      <c r="S89" s="20"/>
      <c r="T89" s="20"/>
      <c r="U89" s="20"/>
      <c r="V89" s="21"/>
      <c r="W89" s="22"/>
      <c r="X89" s="22"/>
      <c r="Y89" s="22"/>
      <c r="Z89" s="22"/>
      <c r="AA89" s="19"/>
      <c r="AB89" s="20"/>
      <c r="AC89" s="20"/>
      <c r="AD89" s="20"/>
      <c r="AE89" s="20"/>
      <c r="AF89" s="21"/>
      <c r="AG89" s="22"/>
      <c r="AH89" s="22"/>
      <c r="AI89" s="22"/>
      <c r="AJ89" s="22"/>
      <c r="AK89" s="19"/>
      <c r="AL89" s="20"/>
      <c r="AM89" s="20"/>
      <c r="AN89" s="20"/>
      <c r="AO89" s="20"/>
      <c r="AP89" s="21"/>
      <c r="AQ89" s="22"/>
      <c r="AR89" s="22"/>
      <c r="AS89" s="22"/>
      <c r="AT89" s="22"/>
      <c r="AU89" s="19"/>
      <c r="AV89" s="20"/>
      <c r="AW89" s="20"/>
      <c r="AX89" s="20"/>
      <c r="AY89" s="20"/>
      <c r="AZ89" s="21"/>
      <c r="BA89" s="22"/>
      <c r="BB89" s="22"/>
      <c r="BC89" s="22"/>
      <c r="BD89" s="22"/>
      <c r="BE89" s="19"/>
      <c r="BF89" s="20"/>
      <c r="BG89" s="20"/>
      <c r="BH89" s="20"/>
      <c r="BI89" s="20"/>
      <c r="BJ89" s="21"/>
      <c r="BK89" s="22"/>
      <c r="BL89" s="22"/>
      <c r="BM89" s="22"/>
      <c r="BN89" s="22"/>
      <c r="BO89" s="19"/>
      <c r="BP89" s="20"/>
      <c r="BQ89" s="20"/>
      <c r="BR89" s="20"/>
      <c r="BS89" s="20"/>
      <c r="BT89" s="21"/>
      <c r="BU89" s="22"/>
      <c r="BV89" s="22"/>
      <c r="BW89" s="22"/>
      <c r="BX89" s="22"/>
      <c r="BY89" s="23"/>
      <c r="BZ89" s="24"/>
      <c r="CA89" s="24"/>
      <c r="CB89" s="24"/>
      <c r="CC89" s="24"/>
      <c r="CD89" s="25"/>
      <c r="CE89" s="26"/>
      <c r="CF89" s="26"/>
      <c r="CG89" s="26"/>
      <c r="CH89" s="26"/>
      <c r="CI89" s="27"/>
      <c r="CJ89" s="28"/>
      <c r="CK89" s="28"/>
      <c r="CL89" s="28"/>
      <c r="CM89" s="28"/>
      <c r="CN89" s="25"/>
      <c r="CO89" s="26"/>
      <c r="CP89" s="26"/>
      <c r="CQ89" s="26"/>
      <c r="CR89" s="26"/>
      <c r="CS89" s="27"/>
      <c r="CT89" s="28"/>
      <c r="CU89" s="28"/>
      <c r="CV89" s="28"/>
      <c r="CW89" s="28"/>
      <c r="CX89" s="25"/>
      <c r="CY89" s="26"/>
      <c r="CZ89" s="26"/>
      <c r="DA89" s="26"/>
      <c r="DB89" s="26"/>
      <c r="DC89" s="27"/>
      <c r="DD89" s="28"/>
      <c r="DE89" s="28"/>
      <c r="DF89" s="28"/>
      <c r="DG89" s="28"/>
      <c r="DH89" s="25"/>
      <c r="DI89" s="26"/>
      <c r="DJ89" s="26"/>
      <c r="DK89" s="26"/>
      <c r="DL89" s="26"/>
      <c r="DM89" s="27"/>
      <c r="DN89" s="28"/>
      <c r="DO89" s="28"/>
      <c r="DP89" s="28"/>
      <c r="DQ89" s="28"/>
      <c r="DR89" s="25"/>
      <c r="DS89" s="26"/>
      <c r="DT89" s="26"/>
      <c r="DU89" s="26"/>
      <c r="DV89" s="26"/>
      <c r="DW89" s="27"/>
      <c r="DX89" s="28"/>
      <c r="DY89" s="28"/>
      <c r="DZ89" s="28"/>
      <c r="EA89" s="28"/>
      <c r="EB89" s="29"/>
      <c r="EC89" s="30"/>
      <c r="ED89" s="30"/>
      <c r="EE89" s="30"/>
      <c r="EF89" s="30"/>
      <c r="EG89" s="31"/>
      <c r="EH89" s="32"/>
      <c r="EI89" s="32"/>
      <c r="EJ89" s="32"/>
      <c r="EK89" s="32"/>
      <c r="EL89" s="29"/>
      <c r="EM89" s="30"/>
      <c r="EN89" s="30"/>
      <c r="EO89" s="30"/>
      <c r="EP89" s="30"/>
      <c r="EQ89" s="31"/>
      <c r="ER89" s="32"/>
      <c r="ES89" s="32"/>
      <c r="ET89" s="32"/>
      <c r="EU89" s="32"/>
      <c r="EV89" s="29"/>
      <c r="EW89" s="30"/>
      <c r="EX89" s="30"/>
      <c r="EY89" s="30"/>
      <c r="EZ89" s="30"/>
      <c r="FA89" s="31"/>
      <c r="FB89" s="32"/>
      <c r="FC89" s="32"/>
      <c r="FD89" s="32"/>
      <c r="FE89" s="32"/>
      <c r="FF89" s="29"/>
      <c r="FG89" s="30"/>
      <c r="FH89" s="30"/>
      <c r="FI89" s="30"/>
      <c r="FJ89" s="30"/>
      <c r="FK89" s="31"/>
      <c r="FL89" s="32"/>
      <c r="FM89" s="32"/>
      <c r="FN89" s="32"/>
      <c r="FO89" s="32"/>
      <c r="FP89" s="29"/>
      <c r="FQ89" s="30"/>
      <c r="FR89" s="30"/>
      <c r="FS89" s="30"/>
      <c r="FT89" s="30"/>
      <c r="FU89" s="31"/>
      <c r="FV89" s="32"/>
      <c r="FW89" s="32"/>
      <c r="FX89" s="32"/>
      <c r="FY89" s="32"/>
      <c r="FZ89" s="29"/>
      <c r="GA89" s="30"/>
      <c r="GB89" s="30"/>
      <c r="GC89" s="30"/>
      <c r="GD89" s="30"/>
    </row>
    <row r="90" spans="1:186" ht="48" x14ac:dyDescent="0.25">
      <c r="A90" s="156">
        <v>81</v>
      </c>
      <c r="B90" s="395">
        <f>'Tier 3 Intervention'!B331</f>
        <v>0</v>
      </c>
      <c r="C90" s="395"/>
      <c r="D90" s="395"/>
      <c r="E90" s="395"/>
      <c r="F90" s="395"/>
      <c r="G90" s="395"/>
      <c r="H90" s="761" t="e">
        <f>'Tier 3 Intervention'!AA331+30</f>
        <v>#VALUE!</v>
      </c>
      <c r="I90" s="761"/>
      <c r="J90" s="762" t="e">
        <f t="shared" si="2"/>
        <v>#VALUE!</v>
      </c>
      <c r="K90" s="395"/>
      <c r="L90" s="47" t="s">
        <v>867</v>
      </c>
      <c r="M90" s="46"/>
      <c r="N90" s="46"/>
      <c r="O90" s="46"/>
      <c r="P90" s="49"/>
      <c r="Q90" s="19"/>
      <c r="R90" s="20"/>
      <c r="S90" s="20"/>
      <c r="T90" s="20"/>
      <c r="U90" s="20"/>
      <c r="V90" s="21"/>
      <c r="W90" s="22"/>
      <c r="X90" s="22"/>
      <c r="Y90" s="22"/>
      <c r="Z90" s="22"/>
      <c r="AA90" s="19"/>
      <c r="AB90" s="20"/>
      <c r="AC90" s="20"/>
      <c r="AD90" s="20"/>
      <c r="AE90" s="20"/>
      <c r="AF90" s="21"/>
      <c r="AG90" s="22"/>
      <c r="AH90" s="22"/>
      <c r="AI90" s="22"/>
      <c r="AJ90" s="22"/>
      <c r="AK90" s="19"/>
      <c r="AL90" s="20"/>
      <c r="AM90" s="20"/>
      <c r="AN90" s="20"/>
      <c r="AO90" s="20"/>
      <c r="AP90" s="21"/>
      <c r="AQ90" s="22"/>
      <c r="AR90" s="22"/>
      <c r="AS90" s="22"/>
      <c r="AT90" s="22"/>
      <c r="AU90" s="19"/>
      <c r="AV90" s="20"/>
      <c r="AW90" s="20"/>
      <c r="AX90" s="20"/>
      <c r="AY90" s="20"/>
      <c r="AZ90" s="21"/>
      <c r="BA90" s="22"/>
      <c r="BB90" s="22"/>
      <c r="BC90" s="22"/>
      <c r="BD90" s="22"/>
      <c r="BE90" s="19"/>
      <c r="BF90" s="20"/>
      <c r="BG90" s="20"/>
      <c r="BH90" s="20"/>
      <c r="BI90" s="20"/>
      <c r="BJ90" s="21"/>
      <c r="BK90" s="22"/>
      <c r="BL90" s="22"/>
      <c r="BM90" s="22"/>
      <c r="BN90" s="22"/>
      <c r="BO90" s="19"/>
      <c r="BP90" s="20"/>
      <c r="BQ90" s="20"/>
      <c r="BR90" s="20"/>
      <c r="BS90" s="20"/>
      <c r="BT90" s="21"/>
      <c r="BU90" s="22"/>
      <c r="BV90" s="22"/>
      <c r="BW90" s="22"/>
      <c r="BX90" s="22"/>
      <c r="BY90" s="23"/>
      <c r="BZ90" s="24"/>
      <c r="CA90" s="24"/>
      <c r="CB90" s="24"/>
      <c r="CC90" s="24"/>
      <c r="CD90" s="25"/>
      <c r="CE90" s="26"/>
      <c r="CF90" s="26"/>
      <c r="CG90" s="26"/>
      <c r="CH90" s="26"/>
      <c r="CI90" s="27"/>
      <c r="CJ90" s="28"/>
      <c r="CK90" s="28"/>
      <c r="CL90" s="28"/>
      <c r="CM90" s="28"/>
      <c r="CN90" s="25"/>
      <c r="CO90" s="26"/>
      <c r="CP90" s="26"/>
      <c r="CQ90" s="26"/>
      <c r="CR90" s="26"/>
      <c r="CS90" s="27"/>
      <c r="CT90" s="28"/>
      <c r="CU90" s="28"/>
      <c r="CV90" s="28"/>
      <c r="CW90" s="28"/>
      <c r="CX90" s="25"/>
      <c r="CY90" s="26"/>
      <c r="CZ90" s="26"/>
      <c r="DA90" s="26"/>
      <c r="DB90" s="26"/>
      <c r="DC90" s="27"/>
      <c r="DD90" s="28"/>
      <c r="DE90" s="28"/>
      <c r="DF90" s="28"/>
      <c r="DG90" s="28"/>
      <c r="DH90" s="25"/>
      <c r="DI90" s="26"/>
      <c r="DJ90" s="26"/>
      <c r="DK90" s="26"/>
      <c r="DL90" s="26"/>
      <c r="DM90" s="27"/>
      <c r="DN90" s="28"/>
      <c r="DO90" s="28"/>
      <c r="DP90" s="28"/>
      <c r="DQ90" s="28"/>
      <c r="DR90" s="25"/>
      <c r="DS90" s="26"/>
      <c r="DT90" s="26"/>
      <c r="DU90" s="26"/>
      <c r="DV90" s="26"/>
      <c r="DW90" s="27"/>
      <c r="DX90" s="28"/>
      <c r="DY90" s="28"/>
      <c r="DZ90" s="28"/>
      <c r="EA90" s="28"/>
      <c r="EB90" s="29"/>
      <c r="EC90" s="30"/>
      <c r="ED90" s="30"/>
      <c r="EE90" s="30"/>
      <c r="EF90" s="30"/>
      <c r="EG90" s="31"/>
      <c r="EH90" s="32"/>
      <c r="EI90" s="32"/>
      <c r="EJ90" s="32"/>
      <c r="EK90" s="32"/>
      <c r="EL90" s="29"/>
      <c r="EM90" s="30"/>
      <c r="EN90" s="30"/>
      <c r="EO90" s="30"/>
      <c r="EP90" s="30"/>
      <c r="EQ90" s="31"/>
      <c r="ER90" s="32"/>
      <c r="ES90" s="32"/>
      <c r="ET90" s="32"/>
      <c r="EU90" s="32"/>
      <c r="EV90" s="29"/>
      <c r="EW90" s="30"/>
      <c r="EX90" s="30"/>
      <c r="EY90" s="30"/>
      <c r="EZ90" s="30"/>
      <c r="FA90" s="31"/>
      <c r="FB90" s="32"/>
      <c r="FC90" s="32"/>
      <c r="FD90" s="32"/>
      <c r="FE90" s="32"/>
      <c r="FF90" s="29"/>
      <c r="FG90" s="30"/>
      <c r="FH90" s="30"/>
      <c r="FI90" s="30"/>
      <c r="FJ90" s="30"/>
      <c r="FK90" s="31"/>
      <c r="FL90" s="32"/>
      <c r="FM90" s="32"/>
      <c r="FN90" s="32"/>
      <c r="FO90" s="32"/>
      <c r="FP90" s="29"/>
      <c r="FQ90" s="30"/>
      <c r="FR90" s="30"/>
      <c r="FS90" s="30"/>
      <c r="FT90" s="30"/>
      <c r="FU90" s="31"/>
      <c r="FV90" s="32"/>
      <c r="FW90" s="32"/>
      <c r="FX90" s="32"/>
      <c r="FY90" s="32"/>
      <c r="FZ90" s="29"/>
      <c r="GA90" s="30"/>
      <c r="GB90" s="30"/>
      <c r="GC90" s="30"/>
      <c r="GD90" s="30"/>
    </row>
    <row r="91" spans="1:186" ht="48" x14ac:dyDescent="0.25">
      <c r="A91" s="156">
        <v>82</v>
      </c>
      <c r="B91" s="395">
        <f>'Tier 3 Intervention'!B335</f>
        <v>0</v>
      </c>
      <c r="C91" s="395"/>
      <c r="D91" s="395"/>
      <c r="E91" s="395"/>
      <c r="F91" s="395"/>
      <c r="G91" s="395"/>
      <c r="H91" s="761" t="e">
        <f>'Tier 3 Intervention'!AA335+30</f>
        <v>#VALUE!</v>
      </c>
      <c r="I91" s="761"/>
      <c r="J91" s="762" t="e">
        <f t="shared" si="2"/>
        <v>#VALUE!</v>
      </c>
      <c r="K91" s="395"/>
      <c r="L91" s="47" t="s">
        <v>868</v>
      </c>
      <c r="M91" s="46"/>
      <c r="N91" s="46"/>
      <c r="O91" s="46"/>
      <c r="P91" s="49"/>
      <c r="Q91" s="19"/>
      <c r="R91" s="20"/>
      <c r="S91" s="20"/>
      <c r="T91" s="20"/>
      <c r="U91" s="20"/>
      <c r="V91" s="21"/>
      <c r="W91" s="22"/>
      <c r="X91" s="22"/>
      <c r="Y91" s="22"/>
      <c r="Z91" s="22"/>
      <c r="AA91" s="19"/>
      <c r="AB91" s="20"/>
      <c r="AC91" s="20"/>
      <c r="AD91" s="20"/>
      <c r="AE91" s="20"/>
      <c r="AF91" s="21"/>
      <c r="AG91" s="22"/>
      <c r="AH91" s="22"/>
      <c r="AI91" s="22"/>
      <c r="AJ91" s="22"/>
      <c r="AK91" s="19"/>
      <c r="AL91" s="20"/>
      <c r="AM91" s="20"/>
      <c r="AN91" s="20"/>
      <c r="AO91" s="20"/>
      <c r="AP91" s="21"/>
      <c r="AQ91" s="22"/>
      <c r="AR91" s="22"/>
      <c r="AS91" s="22"/>
      <c r="AT91" s="22"/>
      <c r="AU91" s="19"/>
      <c r="AV91" s="20"/>
      <c r="AW91" s="20"/>
      <c r="AX91" s="20"/>
      <c r="AY91" s="20"/>
      <c r="AZ91" s="21"/>
      <c r="BA91" s="22"/>
      <c r="BB91" s="22"/>
      <c r="BC91" s="22"/>
      <c r="BD91" s="22"/>
      <c r="BE91" s="19"/>
      <c r="BF91" s="20"/>
      <c r="BG91" s="20"/>
      <c r="BH91" s="20"/>
      <c r="BI91" s="20"/>
      <c r="BJ91" s="21"/>
      <c r="BK91" s="22"/>
      <c r="BL91" s="22"/>
      <c r="BM91" s="22"/>
      <c r="BN91" s="22"/>
      <c r="BO91" s="19"/>
      <c r="BP91" s="20"/>
      <c r="BQ91" s="20"/>
      <c r="BR91" s="20"/>
      <c r="BS91" s="20"/>
      <c r="BT91" s="21"/>
      <c r="BU91" s="22"/>
      <c r="BV91" s="22"/>
      <c r="BW91" s="22"/>
      <c r="BX91" s="22"/>
      <c r="BY91" s="23"/>
      <c r="BZ91" s="24"/>
      <c r="CA91" s="24"/>
      <c r="CB91" s="24"/>
      <c r="CC91" s="24"/>
      <c r="CD91" s="25"/>
      <c r="CE91" s="26"/>
      <c r="CF91" s="26"/>
      <c r="CG91" s="26"/>
      <c r="CH91" s="26"/>
      <c r="CI91" s="27"/>
      <c r="CJ91" s="28"/>
      <c r="CK91" s="28"/>
      <c r="CL91" s="28"/>
      <c r="CM91" s="28"/>
      <c r="CN91" s="25"/>
      <c r="CO91" s="26"/>
      <c r="CP91" s="26"/>
      <c r="CQ91" s="26"/>
      <c r="CR91" s="26"/>
      <c r="CS91" s="27"/>
      <c r="CT91" s="28"/>
      <c r="CU91" s="28"/>
      <c r="CV91" s="28"/>
      <c r="CW91" s="28"/>
      <c r="CX91" s="25"/>
      <c r="CY91" s="26"/>
      <c r="CZ91" s="26"/>
      <c r="DA91" s="26"/>
      <c r="DB91" s="26"/>
      <c r="DC91" s="27"/>
      <c r="DD91" s="28"/>
      <c r="DE91" s="28"/>
      <c r="DF91" s="28"/>
      <c r="DG91" s="28"/>
      <c r="DH91" s="25"/>
      <c r="DI91" s="26"/>
      <c r="DJ91" s="26"/>
      <c r="DK91" s="26"/>
      <c r="DL91" s="26"/>
      <c r="DM91" s="27"/>
      <c r="DN91" s="28"/>
      <c r="DO91" s="28"/>
      <c r="DP91" s="28"/>
      <c r="DQ91" s="28"/>
      <c r="DR91" s="25"/>
      <c r="DS91" s="26"/>
      <c r="DT91" s="26"/>
      <c r="DU91" s="26"/>
      <c r="DV91" s="26"/>
      <c r="DW91" s="27"/>
      <c r="DX91" s="28"/>
      <c r="DY91" s="28"/>
      <c r="DZ91" s="28"/>
      <c r="EA91" s="28"/>
      <c r="EB91" s="29"/>
      <c r="EC91" s="30"/>
      <c r="ED91" s="30"/>
      <c r="EE91" s="30"/>
      <c r="EF91" s="30"/>
      <c r="EG91" s="31"/>
      <c r="EH91" s="32"/>
      <c r="EI91" s="32"/>
      <c r="EJ91" s="32"/>
      <c r="EK91" s="32"/>
      <c r="EL91" s="29"/>
      <c r="EM91" s="30"/>
      <c r="EN91" s="30"/>
      <c r="EO91" s="30"/>
      <c r="EP91" s="30"/>
      <c r="EQ91" s="31"/>
      <c r="ER91" s="32"/>
      <c r="ES91" s="32"/>
      <c r="ET91" s="32"/>
      <c r="EU91" s="32"/>
      <c r="EV91" s="29"/>
      <c r="EW91" s="30"/>
      <c r="EX91" s="30"/>
      <c r="EY91" s="30"/>
      <c r="EZ91" s="30"/>
      <c r="FA91" s="31"/>
      <c r="FB91" s="32"/>
      <c r="FC91" s="32"/>
      <c r="FD91" s="32"/>
      <c r="FE91" s="32"/>
      <c r="FF91" s="29"/>
      <c r="FG91" s="30"/>
      <c r="FH91" s="30"/>
      <c r="FI91" s="30"/>
      <c r="FJ91" s="30"/>
      <c r="FK91" s="31"/>
      <c r="FL91" s="32"/>
      <c r="FM91" s="32"/>
      <c r="FN91" s="32"/>
      <c r="FO91" s="32"/>
      <c r="FP91" s="29"/>
      <c r="FQ91" s="30"/>
      <c r="FR91" s="30"/>
      <c r="FS91" s="30"/>
      <c r="FT91" s="30"/>
      <c r="FU91" s="31"/>
      <c r="FV91" s="32"/>
      <c r="FW91" s="32"/>
      <c r="FX91" s="32"/>
      <c r="FY91" s="32"/>
      <c r="FZ91" s="29"/>
      <c r="GA91" s="30"/>
      <c r="GB91" s="30"/>
      <c r="GC91" s="30"/>
      <c r="GD91" s="30"/>
    </row>
    <row r="92" spans="1:186" ht="48" x14ac:dyDescent="0.25">
      <c r="A92" s="156">
        <v>83</v>
      </c>
      <c r="B92" s="395">
        <f>'Tier 3 Intervention'!B339</f>
        <v>0</v>
      </c>
      <c r="C92" s="395"/>
      <c r="D92" s="395"/>
      <c r="E92" s="395"/>
      <c r="F92" s="395"/>
      <c r="G92" s="395"/>
      <c r="H92" s="761" t="e">
        <f>'Tier 3 Intervention'!AA339+30</f>
        <v>#VALUE!</v>
      </c>
      <c r="I92" s="761"/>
      <c r="J92" s="762" t="e">
        <f t="shared" si="2"/>
        <v>#VALUE!</v>
      </c>
      <c r="K92" s="395"/>
      <c r="L92" s="47" t="s">
        <v>869</v>
      </c>
      <c r="M92" s="46"/>
      <c r="N92" s="46"/>
      <c r="O92" s="46"/>
      <c r="P92" s="49"/>
      <c r="Q92" s="19"/>
      <c r="R92" s="20"/>
      <c r="S92" s="20"/>
      <c r="T92" s="20"/>
      <c r="U92" s="20"/>
      <c r="V92" s="21"/>
      <c r="W92" s="22"/>
      <c r="X92" s="22"/>
      <c r="Y92" s="22"/>
      <c r="Z92" s="22"/>
      <c r="AA92" s="19"/>
      <c r="AB92" s="20"/>
      <c r="AC92" s="20"/>
      <c r="AD92" s="20"/>
      <c r="AE92" s="20"/>
      <c r="AF92" s="21"/>
      <c r="AG92" s="22"/>
      <c r="AH92" s="22"/>
      <c r="AI92" s="22"/>
      <c r="AJ92" s="22"/>
      <c r="AK92" s="19"/>
      <c r="AL92" s="20"/>
      <c r="AM92" s="20"/>
      <c r="AN92" s="20"/>
      <c r="AO92" s="20"/>
      <c r="AP92" s="21"/>
      <c r="AQ92" s="22"/>
      <c r="AR92" s="22"/>
      <c r="AS92" s="22"/>
      <c r="AT92" s="22"/>
      <c r="AU92" s="19"/>
      <c r="AV92" s="20"/>
      <c r="AW92" s="20"/>
      <c r="AX92" s="20"/>
      <c r="AY92" s="20"/>
      <c r="AZ92" s="21"/>
      <c r="BA92" s="22"/>
      <c r="BB92" s="22"/>
      <c r="BC92" s="22"/>
      <c r="BD92" s="22"/>
      <c r="BE92" s="19"/>
      <c r="BF92" s="20"/>
      <c r="BG92" s="20"/>
      <c r="BH92" s="20"/>
      <c r="BI92" s="20"/>
      <c r="BJ92" s="21"/>
      <c r="BK92" s="22"/>
      <c r="BL92" s="22"/>
      <c r="BM92" s="22"/>
      <c r="BN92" s="22"/>
      <c r="BO92" s="19"/>
      <c r="BP92" s="20"/>
      <c r="BQ92" s="20"/>
      <c r="BR92" s="20"/>
      <c r="BS92" s="20"/>
      <c r="BT92" s="21"/>
      <c r="BU92" s="22"/>
      <c r="BV92" s="22"/>
      <c r="BW92" s="22"/>
      <c r="BX92" s="22"/>
      <c r="BY92" s="23"/>
      <c r="BZ92" s="24"/>
      <c r="CA92" s="24"/>
      <c r="CB92" s="24"/>
      <c r="CC92" s="24"/>
      <c r="CD92" s="25"/>
      <c r="CE92" s="26"/>
      <c r="CF92" s="26"/>
      <c r="CG92" s="26"/>
      <c r="CH92" s="26"/>
      <c r="CI92" s="27"/>
      <c r="CJ92" s="28"/>
      <c r="CK92" s="28"/>
      <c r="CL92" s="28"/>
      <c r="CM92" s="28"/>
      <c r="CN92" s="25"/>
      <c r="CO92" s="26"/>
      <c r="CP92" s="26"/>
      <c r="CQ92" s="26"/>
      <c r="CR92" s="26"/>
      <c r="CS92" s="27"/>
      <c r="CT92" s="28"/>
      <c r="CU92" s="28"/>
      <c r="CV92" s="28"/>
      <c r="CW92" s="28"/>
      <c r="CX92" s="25"/>
      <c r="CY92" s="26"/>
      <c r="CZ92" s="26"/>
      <c r="DA92" s="26"/>
      <c r="DB92" s="26"/>
      <c r="DC92" s="27"/>
      <c r="DD92" s="28"/>
      <c r="DE92" s="28"/>
      <c r="DF92" s="28"/>
      <c r="DG92" s="28"/>
      <c r="DH92" s="25"/>
      <c r="DI92" s="26"/>
      <c r="DJ92" s="26"/>
      <c r="DK92" s="26"/>
      <c r="DL92" s="26"/>
      <c r="DM92" s="27"/>
      <c r="DN92" s="28"/>
      <c r="DO92" s="28"/>
      <c r="DP92" s="28"/>
      <c r="DQ92" s="28"/>
      <c r="DR92" s="25"/>
      <c r="DS92" s="26"/>
      <c r="DT92" s="26"/>
      <c r="DU92" s="26"/>
      <c r="DV92" s="26"/>
      <c r="DW92" s="27"/>
      <c r="DX92" s="28"/>
      <c r="DY92" s="28"/>
      <c r="DZ92" s="28"/>
      <c r="EA92" s="28"/>
      <c r="EB92" s="29"/>
      <c r="EC92" s="30"/>
      <c r="ED92" s="30"/>
      <c r="EE92" s="30"/>
      <c r="EF92" s="30"/>
      <c r="EG92" s="31"/>
      <c r="EH92" s="32"/>
      <c r="EI92" s="32"/>
      <c r="EJ92" s="32"/>
      <c r="EK92" s="32"/>
      <c r="EL92" s="29"/>
      <c r="EM92" s="30"/>
      <c r="EN92" s="30"/>
      <c r="EO92" s="30"/>
      <c r="EP92" s="30"/>
      <c r="EQ92" s="31"/>
      <c r="ER92" s="32"/>
      <c r="ES92" s="32"/>
      <c r="ET92" s="32"/>
      <c r="EU92" s="32"/>
      <c r="EV92" s="29"/>
      <c r="EW92" s="30"/>
      <c r="EX92" s="30"/>
      <c r="EY92" s="30"/>
      <c r="EZ92" s="30"/>
      <c r="FA92" s="31"/>
      <c r="FB92" s="32"/>
      <c r="FC92" s="32"/>
      <c r="FD92" s="32"/>
      <c r="FE92" s="32"/>
      <c r="FF92" s="29"/>
      <c r="FG92" s="30"/>
      <c r="FH92" s="30"/>
      <c r="FI92" s="30"/>
      <c r="FJ92" s="30"/>
      <c r="FK92" s="31"/>
      <c r="FL92" s="32"/>
      <c r="FM92" s="32"/>
      <c r="FN92" s="32"/>
      <c r="FO92" s="32"/>
      <c r="FP92" s="29"/>
      <c r="FQ92" s="30"/>
      <c r="FR92" s="30"/>
      <c r="FS92" s="30"/>
      <c r="FT92" s="30"/>
      <c r="FU92" s="31"/>
      <c r="FV92" s="32"/>
      <c r="FW92" s="32"/>
      <c r="FX92" s="32"/>
      <c r="FY92" s="32"/>
      <c r="FZ92" s="29"/>
      <c r="GA92" s="30"/>
      <c r="GB92" s="30"/>
      <c r="GC92" s="30"/>
      <c r="GD92" s="30"/>
    </row>
    <row r="93" spans="1:186" ht="48" x14ac:dyDescent="0.25">
      <c r="A93" s="156">
        <v>84</v>
      </c>
      <c r="B93" s="395">
        <f>'Tier 3 Intervention'!B343</f>
        <v>0</v>
      </c>
      <c r="C93" s="395"/>
      <c r="D93" s="395"/>
      <c r="E93" s="395"/>
      <c r="F93" s="395"/>
      <c r="G93" s="395"/>
      <c r="H93" s="761" t="e">
        <f>'Tier 3 Intervention'!AA343+30</f>
        <v>#VALUE!</v>
      </c>
      <c r="I93" s="761"/>
      <c r="J93" s="762" t="e">
        <f t="shared" si="2"/>
        <v>#VALUE!</v>
      </c>
      <c r="K93" s="395"/>
      <c r="L93" s="47" t="s">
        <v>870</v>
      </c>
      <c r="M93" s="46"/>
      <c r="N93" s="46"/>
      <c r="O93" s="46"/>
      <c r="P93" s="49"/>
      <c r="Q93" s="19"/>
      <c r="R93" s="20"/>
      <c r="S93" s="20"/>
      <c r="T93" s="20"/>
      <c r="U93" s="20"/>
      <c r="V93" s="21"/>
      <c r="W93" s="22"/>
      <c r="X93" s="22"/>
      <c r="Y93" s="22"/>
      <c r="Z93" s="22"/>
      <c r="AA93" s="19"/>
      <c r="AB93" s="20"/>
      <c r="AC93" s="20"/>
      <c r="AD93" s="20"/>
      <c r="AE93" s="20"/>
      <c r="AF93" s="21"/>
      <c r="AG93" s="22"/>
      <c r="AH93" s="22"/>
      <c r="AI93" s="22"/>
      <c r="AJ93" s="22"/>
      <c r="AK93" s="19"/>
      <c r="AL93" s="20"/>
      <c r="AM93" s="20"/>
      <c r="AN93" s="20"/>
      <c r="AO93" s="20"/>
      <c r="AP93" s="21"/>
      <c r="AQ93" s="22"/>
      <c r="AR93" s="22"/>
      <c r="AS93" s="22"/>
      <c r="AT93" s="22"/>
      <c r="AU93" s="19"/>
      <c r="AV93" s="20"/>
      <c r="AW93" s="20"/>
      <c r="AX93" s="20"/>
      <c r="AY93" s="20"/>
      <c r="AZ93" s="21"/>
      <c r="BA93" s="22"/>
      <c r="BB93" s="22"/>
      <c r="BC93" s="22"/>
      <c r="BD93" s="22"/>
      <c r="BE93" s="19"/>
      <c r="BF93" s="20"/>
      <c r="BG93" s="20"/>
      <c r="BH93" s="20"/>
      <c r="BI93" s="20"/>
      <c r="BJ93" s="21"/>
      <c r="BK93" s="22"/>
      <c r="BL93" s="22"/>
      <c r="BM93" s="22"/>
      <c r="BN93" s="22"/>
      <c r="BO93" s="19"/>
      <c r="BP93" s="20"/>
      <c r="BQ93" s="20"/>
      <c r="BR93" s="20"/>
      <c r="BS93" s="20"/>
      <c r="BT93" s="21"/>
      <c r="BU93" s="22"/>
      <c r="BV93" s="22"/>
      <c r="BW93" s="22"/>
      <c r="BX93" s="22"/>
      <c r="BY93" s="23"/>
      <c r="BZ93" s="24"/>
      <c r="CA93" s="24"/>
      <c r="CB93" s="24"/>
      <c r="CC93" s="24"/>
      <c r="CD93" s="25"/>
      <c r="CE93" s="26"/>
      <c r="CF93" s="26"/>
      <c r="CG93" s="26"/>
      <c r="CH93" s="26"/>
      <c r="CI93" s="27"/>
      <c r="CJ93" s="28"/>
      <c r="CK93" s="28"/>
      <c r="CL93" s="28"/>
      <c r="CM93" s="28"/>
      <c r="CN93" s="25"/>
      <c r="CO93" s="26"/>
      <c r="CP93" s="26"/>
      <c r="CQ93" s="26"/>
      <c r="CR93" s="26"/>
      <c r="CS93" s="27"/>
      <c r="CT93" s="28"/>
      <c r="CU93" s="28"/>
      <c r="CV93" s="28"/>
      <c r="CW93" s="28"/>
      <c r="CX93" s="25"/>
      <c r="CY93" s="26"/>
      <c r="CZ93" s="26"/>
      <c r="DA93" s="26"/>
      <c r="DB93" s="26"/>
      <c r="DC93" s="27"/>
      <c r="DD93" s="28"/>
      <c r="DE93" s="28"/>
      <c r="DF93" s="28"/>
      <c r="DG93" s="28"/>
      <c r="DH93" s="25"/>
      <c r="DI93" s="26"/>
      <c r="DJ93" s="26"/>
      <c r="DK93" s="26"/>
      <c r="DL93" s="26"/>
      <c r="DM93" s="27"/>
      <c r="DN93" s="28"/>
      <c r="DO93" s="28"/>
      <c r="DP93" s="28"/>
      <c r="DQ93" s="28"/>
      <c r="DR93" s="25"/>
      <c r="DS93" s="26"/>
      <c r="DT93" s="26"/>
      <c r="DU93" s="26"/>
      <c r="DV93" s="26"/>
      <c r="DW93" s="27"/>
      <c r="DX93" s="28"/>
      <c r="DY93" s="28"/>
      <c r="DZ93" s="28"/>
      <c r="EA93" s="28"/>
      <c r="EB93" s="29"/>
      <c r="EC93" s="30"/>
      <c r="ED93" s="30"/>
      <c r="EE93" s="30"/>
      <c r="EF93" s="30"/>
      <c r="EG93" s="31"/>
      <c r="EH93" s="32"/>
      <c r="EI93" s="32"/>
      <c r="EJ93" s="32"/>
      <c r="EK93" s="32"/>
      <c r="EL93" s="29"/>
      <c r="EM93" s="30"/>
      <c r="EN93" s="30"/>
      <c r="EO93" s="30"/>
      <c r="EP93" s="30"/>
      <c r="EQ93" s="31"/>
      <c r="ER93" s="32"/>
      <c r="ES93" s="32"/>
      <c r="ET93" s="32"/>
      <c r="EU93" s="32"/>
      <c r="EV93" s="29"/>
      <c r="EW93" s="30"/>
      <c r="EX93" s="30"/>
      <c r="EY93" s="30"/>
      <c r="EZ93" s="30"/>
      <c r="FA93" s="31"/>
      <c r="FB93" s="32"/>
      <c r="FC93" s="32"/>
      <c r="FD93" s="32"/>
      <c r="FE93" s="32"/>
      <c r="FF93" s="29"/>
      <c r="FG93" s="30"/>
      <c r="FH93" s="30"/>
      <c r="FI93" s="30"/>
      <c r="FJ93" s="30"/>
      <c r="FK93" s="31"/>
      <c r="FL93" s="32"/>
      <c r="FM93" s="32"/>
      <c r="FN93" s="32"/>
      <c r="FO93" s="32"/>
      <c r="FP93" s="29"/>
      <c r="FQ93" s="30"/>
      <c r="FR93" s="30"/>
      <c r="FS93" s="30"/>
      <c r="FT93" s="30"/>
      <c r="FU93" s="31"/>
      <c r="FV93" s="32"/>
      <c r="FW93" s="32"/>
      <c r="FX93" s="32"/>
      <c r="FY93" s="32"/>
      <c r="FZ93" s="29"/>
      <c r="GA93" s="30"/>
      <c r="GB93" s="30"/>
      <c r="GC93" s="30"/>
      <c r="GD93" s="30"/>
    </row>
    <row r="94" spans="1:186" ht="48" x14ac:dyDescent="0.25">
      <c r="A94" s="156">
        <v>85</v>
      </c>
      <c r="B94" s="395">
        <f>'Tier 3 Intervention'!B347</f>
        <v>0</v>
      </c>
      <c r="C94" s="395"/>
      <c r="D94" s="395"/>
      <c r="E94" s="395"/>
      <c r="F94" s="395"/>
      <c r="G94" s="395"/>
      <c r="H94" s="761" t="e">
        <f>'Tier 3 Intervention'!AA347+30</f>
        <v>#VALUE!</v>
      </c>
      <c r="I94" s="761"/>
      <c r="J94" s="762" t="e">
        <f t="shared" si="2"/>
        <v>#VALUE!</v>
      </c>
      <c r="K94" s="395"/>
      <c r="L94" s="47" t="s">
        <v>871</v>
      </c>
      <c r="M94" s="46"/>
      <c r="N94" s="46"/>
      <c r="O94" s="46"/>
      <c r="P94" s="49"/>
      <c r="Q94" s="19"/>
      <c r="R94" s="20"/>
      <c r="S94" s="20"/>
      <c r="T94" s="20"/>
      <c r="U94" s="20"/>
      <c r="V94" s="21"/>
      <c r="W94" s="22"/>
      <c r="X94" s="22"/>
      <c r="Y94" s="22"/>
      <c r="Z94" s="22"/>
      <c r="AA94" s="19"/>
      <c r="AB94" s="20"/>
      <c r="AC94" s="20"/>
      <c r="AD94" s="20"/>
      <c r="AE94" s="20"/>
      <c r="AF94" s="21"/>
      <c r="AG94" s="22"/>
      <c r="AH94" s="22"/>
      <c r="AI94" s="22"/>
      <c r="AJ94" s="22"/>
      <c r="AK94" s="19"/>
      <c r="AL94" s="20"/>
      <c r="AM94" s="20"/>
      <c r="AN94" s="20"/>
      <c r="AO94" s="20"/>
      <c r="AP94" s="21"/>
      <c r="AQ94" s="22"/>
      <c r="AR94" s="22"/>
      <c r="AS94" s="22"/>
      <c r="AT94" s="22"/>
      <c r="AU94" s="19"/>
      <c r="AV94" s="20"/>
      <c r="AW94" s="20"/>
      <c r="AX94" s="20"/>
      <c r="AY94" s="20"/>
      <c r="AZ94" s="21"/>
      <c r="BA94" s="22"/>
      <c r="BB94" s="22"/>
      <c r="BC94" s="22"/>
      <c r="BD94" s="22"/>
      <c r="BE94" s="19"/>
      <c r="BF94" s="20"/>
      <c r="BG94" s="20"/>
      <c r="BH94" s="20"/>
      <c r="BI94" s="20"/>
      <c r="BJ94" s="21"/>
      <c r="BK94" s="22"/>
      <c r="BL94" s="22"/>
      <c r="BM94" s="22"/>
      <c r="BN94" s="22"/>
      <c r="BO94" s="19"/>
      <c r="BP94" s="20"/>
      <c r="BQ94" s="20"/>
      <c r="BR94" s="20"/>
      <c r="BS94" s="20"/>
      <c r="BT94" s="21"/>
      <c r="BU94" s="22"/>
      <c r="BV94" s="22"/>
      <c r="BW94" s="22"/>
      <c r="BX94" s="22"/>
      <c r="BY94" s="23"/>
      <c r="BZ94" s="24"/>
      <c r="CA94" s="24"/>
      <c r="CB94" s="24"/>
      <c r="CC94" s="24"/>
      <c r="CD94" s="25"/>
      <c r="CE94" s="26"/>
      <c r="CF94" s="26"/>
      <c r="CG94" s="26"/>
      <c r="CH94" s="26"/>
      <c r="CI94" s="27"/>
      <c r="CJ94" s="28"/>
      <c r="CK94" s="28"/>
      <c r="CL94" s="28"/>
      <c r="CM94" s="28"/>
      <c r="CN94" s="25"/>
      <c r="CO94" s="26"/>
      <c r="CP94" s="26"/>
      <c r="CQ94" s="26"/>
      <c r="CR94" s="26"/>
      <c r="CS94" s="27"/>
      <c r="CT94" s="28"/>
      <c r="CU94" s="28"/>
      <c r="CV94" s="28"/>
      <c r="CW94" s="28"/>
      <c r="CX94" s="25"/>
      <c r="CY94" s="26"/>
      <c r="CZ94" s="26"/>
      <c r="DA94" s="26"/>
      <c r="DB94" s="26"/>
      <c r="DC94" s="27"/>
      <c r="DD94" s="28"/>
      <c r="DE94" s="28"/>
      <c r="DF94" s="28"/>
      <c r="DG94" s="28"/>
      <c r="DH94" s="25"/>
      <c r="DI94" s="26"/>
      <c r="DJ94" s="26"/>
      <c r="DK94" s="26"/>
      <c r="DL94" s="26"/>
      <c r="DM94" s="27"/>
      <c r="DN94" s="28"/>
      <c r="DO94" s="28"/>
      <c r="DP94" s="28"/>
      <c r="DQ94" s="28"/>
      <c r="DR94" s="25"/>
      <c r="DS94" s="26"/>
      <c r="DT94" s="26"/>
      <c r="DU94" s="26"/>
      <c r="DV94" s="26"/>
      <c r="DW94" s="27"/>
      <c r="DX94" s="28"/>
      <c r="DY94" s="28"/>
      <c r="DZ94" s="28"/>
      <c r="EA94" s="28"/>
      <c r="EB94" s="29"/>
      <c r="EC94" s="30"/>
      <c r="ED94" s="30"/>
      <c r="EE94" s="30"/>
      <c r="EF94" s="30"/>
      <c r="EG94" s="31"/>
      <c r="EH94" s="32"/>
      <c r="EI94" s="32"/>
      <c r="EJ94" s="32"/>
      <c r="EK94" s="32"/>
      <c r="EL94" s="29"/>
      <c r="EM94" s="30"/>
      <c r="EN94" s="30"/>
      <c r="EO94" s="30"/>
      <c r="EP94" s="30"/>
      <c r="EQ94" s="31"/>
      <c r="ER94" s="32"/>
      <c r="ES94" s="32"/>
      <c r="ET94" s="32"/>
      <c r="EU94" s="32"/>
      <c r="EV94" s="29"/>
      <c r="EW94" s="30"/>
      <c r="EX94" s="30"/>
      <c r="EY94" s="30"/>
      <c r="EZ94" s="30"/>
      <c r="FA94" s="31"/>
      <c r="FB94" s="32"/>
      <c r="FC94" s="32"/>
      <c r="FD94" s="32"/>
      <c r="FE94" s="32"/>
      <c r="FF94" s="29"/>
      <c r="FG94" s="30"/>
      <c r="FH94" s="30"/>
      <c r="FI94" s="30"/>
      <c r="FJ94" s="30"/>
      <c r="FK94" s="31"/>
      <c r="FL94" s="32"/>
      <c r="FM94" s="32"/>
      <c r="FN94" s="32"/>
      <c r="FO94" s="32"/>
      <c r="FP94" s="29"/>
      <c r="FQ94" s="30"/>
      <c r="FR94" s="30"/>
      <c r="FS94" s="30"/>
      <c r="FT94" s="30"/>
      <c r="FU94" s="31"/>
      <c r="FV94" s="32"/>
      <c r="FW94" s="32"/>
      <c r="FX94" s="32"/>
      <c r="FY94" s="32"/>
      <c r="FZ94" s="29"/>
      <c r="GA94" s="30"/>
      <c r="GB94" s="30"/>
      <c r="GC94" s="30"/>
      <c r="GD94" s="30"/>
    </row>
    <row r="95" spans="1:186" ht="48" x14ac:dyDescent="0.25">
      <c r="A95" s="156">
        <v>86</v>
      </c>
      <c r="B95" s="395">
        <f>'Tier 3 Intervention'!B351</f>
        <v>0</v>
      </c>
      <c r="C95" s="395"/>
      <c r="D95" s="395"/>
      <c r="E95" s="395"/>
      <c r="F95" s="395"/>
      <c r="G95" s="395"/>
      <c r="H95" s="761" t="e">
        <f>'Tier 3 Intervention'!AA351+30</f>
        <v>#VALUE!</v>
      </c>
      <c r="I95" s="761"/>
      <c r="J95" s="762" t="e">
        <f t="shared" si="2"/>
        <v>#VALUE!</v>
      </c>
      <c r="K95" s="395"/>
      <c r="L95" s="47" t="s">
        <v>872</v>
      </c>
      <c r="M95" s="46"/>
      <c r="N95" s="46"/>
      <c r="O95" s="46"/>
      <c r="P95" s="49"/>
      <c r="Q95" s="19"/>
      <c r="R95" s="20"/>
      <c r="S95" s="20"/>
      <c r="T95" s="20"/>
      <c r="U95" s="20"/>
      <c r="V95" s="21"/>
      <c r="W95" s="22"/>
      <c r="X95" s="22"/>
      <c r="Y95" s="22"/>
      <c r="Z95" s="22"/>
      <c r="AA95" s="19"/>
      <c r="AB95" s="20"/>
      <c r="AC95" s="20"/>
      <c r="AD95" s="20"/>
      <c r="AE95" s="20"/>
      <c r="AF95" s="21"/>
      <c r="AG95" s="22"/>
      <c r="AH95" s="22"/>
      <c r="AI95" s="22"/>
      <c r="AJ95" s="22"/>
      <c r="AK95" s="19"/>
      <c r="AL95" s="20"/>
      <c r="AM95" s="20"/>
      <c r="AN95" s="20"/>
      <c r="AO95" s="20"/>
      <c r="AP95" s="21"/>
      <c r="AQ95" s="22"/>
      <c r="AR95" s="22"/>
      <c r="AS95" s="22"/>
      <c r="AT95" s="22"/>
      <c r="AU95" s="19"/>
      <c r="AV95" s="20"/>
      <c r="AW95" s="20"/>
      <c r="AX95" s="20"/>
      <c r="AY95" s="20"/>
      <c r="AZ95" s="21"/>
      <c r="BA95" s="22"/>
      <c r="BB95" s="22"/>
      <c r="BC95" s="22"/>
      <c r="BD95" s="22"/>
      <c r="BE95" s="19"/>
      <c r="BF95" s="20"/>
      <c r="BG95" s="20"/>
      <c r="BH95" s="20"/>
      <c r="BI95" s="20"/>
      <c r="BJ95" s="21"/>
      <c r="BK95" s="22"/>
      <c r="BL95" s="22"/>
      <c r="BM95" s="22"/>
      <c r="BN95" s="22"/>
      <c r="BO95" s="19"/>
      <c r="BP95" s="20"/>
      <c r="BQ95" s="20"/>
      <c r="BR95" s="20"/>
      <c r="BS95" s="20"/>
      <c r="BT95" s="21"/>
      <c r="BU95" s="22"/>
      <c r="BV95" s="22"/>
      <c r="BW95" s="22"/>
      <c r="BX95" s="22"/>
      <c r="BY95" s="23"/>
      <c r="BZ95" s="24"/>
      <c r="CA95" s="24"/>
      <c r="CB95" s="24"/>
      <c r="CC95" s="24"/>
      <c r="CD95" s="25"/>
      <c r="CE95" s="26"/>
      <c r="CF95" s="26"/>
      <c r="CG95" s="26"/>
      <c r="CH95" s="26"/>
      <c r="CI95" s="27"/>
      <c r="CJ95" s="28"/>
      <c r="CK95" s="28"/>
      <c r="CL95" s="28"/>
      <c r="CM95" s="28"/>
      <c r="CN95" s="25"/>
      <c r="CO95" s="26"/>
      <c r="CP95" s="26"/>
      <c r="CQ95" s="26"/>
      <c r="CR95" s="26"/>
      <c r="CS95" s="27"/>
      <c r="CT95" s="28"/>
      <c r="CU95" s="28"/>
      <c r="CV95" s="28"/>
      <c r="CW95" s="28"/>
      <c r="CX95" s="25"/>
      <c r="CY95" s="26"/>
      <c r="CZ95" s="26"/>
      <c r="DA95" s="26"/>
      <c r="DB95" s="26"/>
      <c r="DC95" s="27"/>
      <c r="DD95" s="28"/>
      <c r="DE95" s="28"/>
      <c r="DF95" s="28"/>
      <c r="DG95" s="28"/>
      <c r="DH95" s="25"/>
      <c r="DI95" s="26"/>
      <c r="DJ95" s="26"/>
      <c r="DK95" s="26"/>
      <c r="DL95" s="26"/>
      <c r="DM95" s="27"/>
      <c r="DN95" s="28"/>
      <c r="DO95" s="28"/>
      <c r="DP95" s="28"/>
      <c r="DQ95" s="28"/>
      <c r="DR95" s="25"/>
      <c r="DS95" s="26"/>
      <c r="DT95" s="26"/>
      <c r="DU95" s="26"/>
      <c r="DV95" s="26"/>
      <c r="DW95" s="27"/>
      <c r="DX95" s="28"/>
      <c r="DY95" s="28"/>
      <c r="DZ95" s="28"/>
      <c r="EA95" s="28"/>
      <c r="EB95" s="29"/>
      <c r="EC95" s="30"/>
      <c r="ED95" s="30"/>
      <c r="EE95" s="30"/>
      <c r="EF95" s="30"/>
      <c r="EG95" s="31"/>
      <c r="EH95" s="32"/>
      <c r="EI95" s="32"/>
      <c r="EJ95" s="32"/>
      <c r="EK95" s="32"/>
      <c r="EL95" s="29"/>
      <c r="EM95" s="30"/>
      <c r="EN95" s="30"/>
      <c r="EO95" s="30"/>
      <c r="EP95" s="30"/>
      <c r="EQ95" s="31"/>
      <c r="ER95" s="32"/>
      <c r="ES95" s="32"/>
      <c r="ET95" s="32"/>
      <c r="EU95" s="32"/>
      <c r="EV95" s="29"/>
      <c r="EW95" s="30"/>
      <c r="EX95" s="30"/>
      <c r="EY95" s="30"/>
      <c r="EZ95" s="30"/>
      <c r="FA95" s="31"/>
      <c r="FB95" s="32"/>
      <c r="FC95" s="32"/>
      <c r="FD95" s="32"/>
      <c r="FE95" s="32"/>
      <c r="FF95" s="29"/>
      <c r="FG95" s="30"/>
      <c r="FH95" s="30"/>
      <c r="FI95" s="30"/>
      <c r="FJ95" s="30"/>
      <c r="FK95" s="31"/>
      <c r="FL95" s="32"/>
      <c r="FM95" s="32"/>
      <c r="FN95" s="32"/>
      <c r="FO95" s="32"/>
      <c r="FP95" s="29"/>
      <c r="FQ95" s="30"/>
      <c r="FR95" s="30"/>
      <c r="FS95" s="30"/>
      <c r="FT95" s="30"/>
      <c r="FU95" s="31"/>
      <c r="FV95" s="32"/>
      <c r="FW95" s="32"/>
      <c r="FX95" s="32"/>
      <c r="FY95" s="32"/>
      <c r="FZ95" s="29"/>
      <c r="GA95" s="30"/>
      <c r="GB95" s="30"/>
      <c r="GC95" s="30"/>
      <c r="GD95" s="30"/>
    </row>
    <row r="96" spans="1:186" ht="48" x14ac:dyDescent="0.25">
      <c r="A96" s="156">
        <v>87</v>
      </c>
      <c r="B96" s="395">
        <f>'Tier 3 Intervention'!B355</f>
        <v>0</v>
      </c>
      <c r="C96" s="395"/>
      <c r="D96" s="395"/>
      <c r="E96" s="395"/>
      <c r="F96" s="395"/>
      <c r="G96" s="395"/>
      <c r="H96" s="761" t="e">
        <f>'Tier 3 Intervention'!AA355+30</f>
        <v>#VALUE!</v>
      </c>
      <c r="I96" s="761"/>
      <c r="J96" s="762" t="e">
        <f t="shared" si="2"/>
        <v>#VALUE!</v>
      </c>
      <c r="K96" s="395"/>
      <c r="L96" s="47" t="s">
        <v>873</v>
      </c>
      <c r="M96" s="46"/>
      <c r="N96" s="46"/>
      <c r="O96" s="46"/>
      <c r="P96" s="49"/>
      <c r="Q96" s="19"/>
      <c r="R96" s="20"/>
      <c r="S96" s="20"/>
      <c r="T96" s="20"/>
      <c r="U96" s="20"/>
      <c r="V96" s="21"/>
      <c r="W96" s="22"/>
      <c r="X96" s="22"/>
      <c r="Y96" s="22"/>
      <c r="Z96" s="22"/>
      <c r="AA96" s="19"/>
      <c r="AB96" s="20"/>
      <c r="AC96" s="20"/>
      <c r="AD96" s="20"/>
      <c r="AE96" s="20"/>
      <c r="AF96" s="21"/>
      <c r="AG96" s="22"/>
      <c r="AH96" s="22"/>
      <c r="AI96" s="22"/>
      <c r="AJ96" s="22"/>
      <c r="AK96" s="19"/>
      <c r="AL96" s="20"/>
      <c r="AM96" s="20"/>
      <c r="AN96" s="20"/>
      <c r="AO96" s="20"/>
      <c r="AP96" s="21"/>
      <c r="AQ96" s="22"/>
      <c r="AR96" s="22"/>
      <c r="AS96" s="22"/>
      <c r="AT96" s="22"/>
      <c r="AU96" s="19"/>
      <c r="AV96" s="20"/>
      <c r="AW96" s="20"/>
      <c r="AX96" s="20"/>
      <c r="AY96" s="20"/>
      <c r="AZ96" s="21"/>
      <c r="BA96" s="22"/>
      <c r="BB96" s="22"/>
      <c r="BC96" s="22"/>
      <c r="BD96" s="22"/>
      <c r="BE96" s="19"/>
      <c r="BF96" s="20"/>
      <c r="BG96" s="20"/>
      <c r="BH96" s="20"/>
      <c r="BI96" s="20"/>
      <c r="BJ96" s="21"/>
      <c r="BK96" s="22"/>
      <c r="BL96" s="22"/>
      <c r="BM96" s="22"/>
      <c r="BN96" s="22"/>
      <c r="BO96" s="19"/>
      <c r="BP96" s="20"/>
      <c r="BQ96" s="20"/>
      <c r="BR96" s="20"/>
      <c r="BS96" s="20"/>
      <c r="BT96" s="21"/>
      <c r="BU96" s="22"/>
      <c r="BV96" s="22"/>
      <c r="BW96" s="22"/>
      <c r="BX96" s="22"/>
      <c r="BY96" s="23"/>
      <c r="BZ96" s="24"/>
      <c r="CA96" s="24"/>
      <c r="CB96" s="24"/>
      <c r="CC96" s="24"/>
      <c r="CD96" s="25"/>
      <c r="CE96" s="26"/>
      <c r="CF96" s="26"/>
      <c r="CG96" s="26"/>
      <c r="CH96" s="26"/>
      <c r="CI96" s="27"/>
      <c r="CJ96" s="28"/>
      <c r="CK96" s="28"/>
      <c r="CL96" s="28"/>
      <c r="CM96" s="28"/>
      <c r="CN96" s="25"/>
      <c r="CO96" s="26"/>
      <c r="CP96" s="26"/>
      <c r="CQ96" s="26"/>
      <c r="CR96" s="26"/>
      <c r="CS96" s="27"/>
      <c r="CT96" s="28"/>
      <c r="CU96" s="28"/>
      <c r="CV96" s="28"/>
      <c r="CW96" s="28"/>
      <c r="CX96" s="25"/>
      <c r="CY96" s="26"/>
      <c r="CZ96" s="26"/>
      <c r="DA96" s="26"/>
      <c r="DB96" s="26"/>
      <c r="DC96" s="27"/>
      <c r="DD96" s="28"/>
      <c r="DE96" s="28"/>
      <c r="DF96" s="28"/>
      <c r="DG96" s="28"/>
      <c r="DH96" s="25"/>
      <c r="DI96" s="26"/>
      <c r="DJ96" s="26"/>
      <c r="DK96" s="26"/>
      <c r="DL96" s="26"/>
      <c r="DM96" s="27"/>
      <c r="DN96" s="28"/>
      <c r="DO96" s="28"/>
      <c r="DP96" s="28"/>
      <c r="DQ96" s="28"/>
      <c r="DR96" s="25"/>
      <c r="DS96" s="26"/>
      <c r="DT96" s="26"/>
      <c r="DU96" s="26"/>
      <c r="DV96" s="26"/>
      <c r="DW96" s="27"/>
      <c r="DX96" s="28"/>
      <c r="DY96" s="28"/>
      <c r="DZ96" s="28"/>
      <c r="EA96" s="28"/>
      <c r="EB96" s="29"/>
      <c r="EC96" s="30"/>
      <c r="ED96" s="30"/>
      <c r="EE96" s="30"/>
      <c r="EF96" s="30"/>
      <c r="EG96" s="31"/>
      <c r="EH96" s="32"/>
      <c r="EI96" s="32"/>
      <c r="EJ96" s="32"/>
      <c r="EK96" s="32"/>
      <c r="EL96" s="29"/>
      <c r="EM96" s="30"/>
      <c r="EN96" s="30"/>
      <c r="EO96" s="30"/>
      <c r="EP96" s="30"/>
      <c r="EQ96" s="31"/>
      <c r="ER96" s="32"/>
      <c r="ES96" s="32"/>
      <c r="ET96" s="32"/>
      <c r="EU96" s="32"/>
      <c r="EV96" s="29"/>
      <c r="EW96" s="30"/>
      <c r="EX96" s="30"/>
      <c r="EY96" s="30"/>
      <c r="EZ96" s="30"/>
      <c r="FA96" s="31"/>
      <c r="FB96" s="32"/>
      <c r="FC96" s="32"/>
      <c r="FD96" s="32"/>
      <c r="FE96" s="32"/>
      <c r="FF96" s="29"/>
      <c r="FG96" s="30"/>
      <c r="FH96" s="30"/>
      <c r="FI96" s="30"/>
      <c r="FJ96" s="30"/>
      <c r="FK96" s="31"/>
      <c r="FL96" s="32"/>
      <c r="FM96" s="32"/>
      <c r="FN96" s="32"/>
      <c r="FO96" s="32"/>
      <c r="FP96" s="29"/>
      <c r="FQ96" s="30"/>
      <c r="FR96" s="30"/>
      <c r="FS96" s="30"/>
      <c r="FT96" s="30"/>
      <c r="FU96" s="31"/>
      <c r="FV96" s="32"/>
      <c r="FW96" s="32"/>
      <c r="FX96" s="32"/>
      <c r="FY96" s="32"/>
      <c r="FZ96" s="29"/>
      <c r="GA96" s="30"/>
      <c r="GB96" s="30"/>
      <c r="GC96" s="30"/>
      <c r="GD96" s="30"/>
    </row>
    <row r="97" spans="1:186" ht="48" x14ac:dyDescent="0.25">
      <c r="A97" s="156">
        <v>88</v>
      </c>
      <c r="B97" s="395">
        <f>'Tier 3 Intervention'!B359</f>
        <v>0</v>
      </c>
      <c r="C97" s="395"/>
      <c r="D97" s="395"/>
      <c r="E97" s="395"/>
      <c r="F97" s="395"/>
      <c r="G97" s="395"/>
      <c r="H97" s="761" t="e">
        <f>'Tier 3 Intervention'!AA359+30</f>
        <v>#VALUE!</v>
      </c>
      <c r="I97" s="761"/>
      <c r="J97" s="762" t="e">
        <f t="shared" si="2"/>
        <v>#VALUE!</v>
      </c>
      <c r="K97" s="395"/>
      <c r="L97" s="47" t="s">
        <v>874</v>
      </c>
      <c r="M97" s="46"/>
      <c r="N97" s="46"/>
      <c r="O97" s="46"/>
      <c r="P97" s="49"/>
      <c r="Q97" s="19"/>
      <c r="R97" s="20"/>
      <c r="S97" s="20"/>
      <c r="T97" s="20"/>
      <c r="U97" s="20"/>
      <c r="V97" s="21"/>
      <c r="W97" s="22"/>
      <c r="X97" s="22"/>
      <c r="Y97" s="22"/>
      <c r="Z97" s="22"/>
      <c r="AA97" s="19"/>
      <c r="AB97" s="20"/>
      <c r="AC97" s="20"/>
      <c r="AD97" s="20"/>
      <c r="AE97" s="20"/>
      <c r="AF97" s="21"/>
      <c r="AG97" s="22"/>
      <c r="AH97" s="22"/>
      <c r="AI97" s="22"/>
      <c r="AJ97" s="22"/>
      <c r="AK97" s="19"/>
      <c r="AL97" s="20"/>
      <c r="AM97" s="20"/>
      <c r="AN97" s="20"/>
      <c r="AO97" s="20"/>
      <c r="AP97" s="21"/>
      <c r="AQ97" s="22"/>
      <c r="AR97" s="22"/>
      <c r="AS97" s="22"/>
      <c r="AT97" s="22"/>
      <c r="AU97" s="19"/>
      <c r="AV97" s="20"/>
      <c r="AW97" s="20"/>
      <c r="AX97" s="20"/>
      <c r="AY97" s="20"/>
      <c r="AZ97" s="21"/>
      <c r="BA97" s="22"/>
      <c r="BB97" s="22"/>
      <c r="BC97" s="22"/>
      <c r="BD97" s="22"/>
      <c r="BE97" s="19"/>
      <c r="BF97" s="20"/>
      <c r="BG97" s="20"/>
      <c r="BH97" s="20"/>
      <c r="BI97" s="20"/>
      <c r="BJ97" s="21"/>
      <c r="BK97" s="22"/>
      <c r="BL97" s="22"/>
      <c r="BM97" s="22"/>
      <c r="BN97" s="22"/>
      <c r="BO97" s="19"/>
      <c r="BP97" s="20"/>
      <c r="BQ97" s="20"/>
      <c r="BR97" s="20"/>
      <c r="BS97" s="20"/>
      <c r="BT97" s="21"/>
      <c r="BU97" s="22"/>
      <c r="BV97" s="22"/>
      <c r="BW97" s="22"/>
      <c r="BX97" s="22"/>
      <c r="BY97" s="23"/>
      <c r="BZ97" s="24"/>
      <c r="CA97" s="24"/>
      <c r="CB97" s="24"/>
      <c r="CC97" s="24"/>
      <c r="CD97" s="25"/>
      <c r="CE97" s="26"/>
      <c r="CF97" s="26"/>
      <c r="CG97" s="26"/>
      <c r="CH97" s="26"/>
      <c r="CI97" s="27"/>
      <c r="CJ97" s="28"/>
      <c r="CK97" s="28"/>
      <c r="CL97" s="28"/>
      <c r="CM97" s="28"/>
      <c r="CN97" s="25"/>
      <c r="CO97" s="26"/>
      <c r="CP97" s="26"/>
      <c r="CQ97" s="26"/>
      <c r="CR97" s="26"/>
      <c r="CS97" s="27"/>
      <c r="CT97" s="28"/>
      <c r="CU97" s="28"/>
      <c r="CV97" s="28"/>
      <c r="CW97" s="28"/>
      <c r="CX97" s="25"/>
      <c r="CY97" s="26"/>
      <c r="CZ97" s="26"/>
      <c r="DA97" s="26"/>
      <c r="DB97" s="26"/>
      <c r="DC97" s="27"/>
      <c r="DD97" s="28"/>
      <c r="DE97" s="28"/>
      <c r="DF97" s="28"/>
      <c r="DG97" s="28"/>
      <c r="DH97" s="25"/>
      <c r="DI97" s="26"/>
      <c r="DJ97" s="26"/>
      <c r="DK97" s="26"/>
      <c r="DL97" s="26"/>
      <c r="DM97" s="27"/>
      <c r="DN97" s="28"/>
      <c r="DO97" s="28"/>
      <c r="DP97" s="28"/>
      <c r="DQ97" s="28"/>
      <c r="DR97" s="25"/>
      <c r="DS97" s="26"/>
      <c r="DT97" s="26"/>
      <c r="DU97" s="26"/>
      <c r="DV97" s="26"/>
      <c r="DW97" s="27"/>
      <c r="DX97" s="28"/>
      <c r="DY97" s="28"/>
      <c r="DZ97" s="28"/>
      <c r="EA97" s="28"/>
      <c r="EB97" s="29"/>
      <c r="EC97" s="30"/>
      <c r="ED97" s="30"/>
      <c r="EE97" s="30"/>
      <c r="EF97" s="30"/>
      <c r="EG97" s="31"/>
      <c r="EH97" s="32"/>
      <c r="EI97" s="32"/>
      <c r="EJ97" s="32"/>
      <c r="EK97" s="32"/>
      <c r="EL97" s="29"/>
      <c r="EM97" s="30"/>
      <c r="EN97" s="30"/>
      <c r="EO97" s="30"/>
      <c r="EP97" s="30"/>
      <c r="EQ97" s="31"/>
      <c r="ER97" s="32"/>
      <c r="ES97" s="32"/>
      <c r="ET97" s="32"/>
      <c r="EU97" s="32"/>
      <c r="EV97" s="29"/>
      <c r="EW97" s="30"/>
      <c r="EX97" s="30"/>
      <c r="EY97" s="30"/>
      <c r="EZ97" s="30"/>
      <c r="FA97" s="31"/>
      <c r="FB97" s="32"/>
      <c r="FC97" s="32"/>
      <c r="FD97" s="32"/>
      <c r="FE97" s="32"/>
      <c r="FF97" s="29"/>
      <c r="FG97" s="30"/>
      <c r="FH97" s="30"/>
      <c r="FI97" s="30"/>
      <c r="FJ97" s="30"/>
      <c r="FK97" s="31"/>
      <c r="FL97" s="32"/>
      <c r="FM97" s="32"/>
      <c r="FN97" s="32"/>
      <c r="FO97" s="32"/>
      <c r="FP97" s="29"/>
      <c r="FQ97" s="30"/>
      <c r="FR97" s="30"/>
      <c r="FS97" s="30"/>
      <c r="FT97" s="30"/>
      <c r="FU97" s="31"/>
      <c r="FV97" s="32"/>
      <c r="FW97" s="32"/>
      <c r="FX97" s="32"/>
      <c r="FY97" s="32"/>
      <c r="FZ97" s="29"/>
      <c r="GA97" s="30"/>
      <c r="GB97" s="30"/>
      <c r="GC97" s="30"/>
      <c r="GD97" s="30"/>
    </row>
    <row r="98" spans="1:186" ht="48" x14ac:dyDescent="0.25">
      <c r="A98" s="156">
        <v>89</v>
      </c>
      <c r="B98" s="395">
        <f>'Tier 3 Intervention'!B363</f>
        <v>0</v>
      </c>
      <c r="C98" s="395"/>
      <c r="D98" s="395"/>
      <c r="E98" s="395"/>
      <c r="F98" s="395"/>
      <c r="G98" s="395"/>
      <c r="H98" s="761" t="e">
        <f>'Tier 3 Intervention'!AA363+30</f>
        <v>#VALUE!</v>
      </c>
      <c r="I98" s="761"/>
      <c r="J98" s="762" t="e">
        <f t="shared" si="2"/>
        <v>#VALUE!</v>
      </c>
      <c r="K98" s="395"/>
      <c r="L98" s="47" t="s">
        <v>875</v>
      </c>
      <c r="M98" s="46"/>
      <c r="N98" s="46"/>
      <c r="O98" s="46"/>
      <c r="P98" s="49"/>
      <c r="Q98" s="19"/>
      <c r="R98" s="20"/>
      <c r="S98" s="20"/>
      <c r="T98" s="20"/>
      <c r="U98" s="20"/>
      <c r="V98" s="21"/>
      <c r="W98" s="22"/>
      <c r="X98" s="22"/>
      <c r="Y98" s="22"/>
      <c r="Z98" s="22"/>
      <c r="AA98" s="19"/>
      <c r="AB98" s="20"/>
      <c r="AC98" s="20"/>
      <c r="AD98" s="20"/>
      <c r="AE98" s="20"/>
      <c r="AF98" s="21"/>
      <c r="AG98" s="22"/>
      <c r="AH98" s="22"/>
      <c r="AI98" s="22"/>
      <c r="AJ98" s="22"/>
      <c r="AK98" s="19"/>
      <c r="AL98" s="20"/>
      <c r="AM98" s="20"/>
      <c r="AN98" s="20"/>
      <c r="AO98" s="20"/>
      <c r="AP98" s="21"/>
      <c r="AQ98" s="22"/>
      <c r="AR98" s="22"/>
      <c r="AS98" s="22"/>
      <c r="AT98" s="22"/>
      <c r="AU98" s="19"/>
      <c r="AV98" s="20"/>
      <c r="AW98" s="20"/>
      <c r="AX98" s="20"/>
      <c r="AY98" s="20"/>
      <c r="AZ98" s="21"/>
      <c r="BA98" s="22"/>
      <c r="BB98" s="22"/>
      <c r="BC98" s="22"/>
      <c r="BD98" s="22"/>
      <c r="BE98" s="19"/>
      <c r="BF98" s="20"/>
      <c r="BG98" s="20"/>
      <c r="BH98" s="20"/>
      <c r="BI98" s="20"/>
      <c r="BJ98" s="21"/>
      <c r="BK98" s="22"/>
      <c r="BL98" s="22"/>
      <c r="BM98" s="22"/>
      <c r="BN98" s="22"/>
      <c r="BO98" s="19"/>
      <c r="BP98" s="20"/>
      <c r="BQ98" s="20"/>
      <c r="BR98" s="20"/>
      <c r="BS98" s="20"/>
      <c r="BT98" s="21"/>
      <c r="BU98" s="22"/>
      <c r="BV98" s="22"/>
      <c r="BW98" s="22"/>
      <c r="BX98" s="22"/>
      <c r="BY98" s="23"/>
      <c r="BZ98" s="24"/>
      <c r="CA98" s="24"/>
      <c r="CB98" s="24"/>
      <c r="CC98" s="24"/>
      <c r="CD98" s="25"/>
      <c r="CE98" s="26"/>
      <c r="CF98" s="26"/>
      <c r="CG98" s="26"/>
      <c r="CH98" s="26"/>
      <c r="CI98" s="27"/>
      <c r="CJ98" s="28"/>
      <c r="CK98" s="28"/>
      <c r="CL98" s="28"/>
      <c r="CM98" s="28"/>
      <c r="CN98" s="25"/>
      <c r="CO98" s="26"/>
      <c r="CP98" s="26"/>
      <c r="CQ98" s="26"/>
      <c r="CR98" s="26"/>
      <c r="CS98" s="27"/>
      <c r="CT98" s="28"/>
      <c r="CU98" s="28"/>
      <c r="CV98" s="28"/>
      <c r="CW98" s="28"/>
      <c r="CX98" s="25"/>
      <c r="CY98" s="26"/>
      <c r="CZ98" s="26"/>
      <c r="DA98" s="26"/>
      <c r="DB98" s="26"/>
      <c r="DC98" s="27"/>
      <c r="DD98" s="28"/>
      <c r="DE98" s="28"/>
      <c r="DF98" s="28"/>
      <c r="DG98" s="28"/>
      <c r="DH98" s="25"/>
      <c r="DI98" s="26"/>
      <c r="DJ98" s="26"/>
      <c r="DK98" s="26"/>
      <c r="DL98" s="26"/>
      <c r="DM98" s="27"/>
      <c r="DN98" s="28"/>
      <c r="DO98" s="28"/>
      <c r="DP98" s="28"/>
      <c r="DQ98" s="28"/>
      <c r="DR98" s="25"/>
      <c r="DS98" s="26"/>
      <c r="DT98" s="26"/>
      <c r="DU98" s="26"/>
      <c r="DV98" s="26"/>
      <c r="DW98" s="27"/>
      <c r="DX98" s="28"/>
      <c r="DY98" s="28"/>
      <c r="DZ98" s="28"/>
      <c r="EA98" s="28"/>
      <c r="EB98" s="29"/>
      <c r="EC98" s="30"/>
      <c r="ED98" s="30"/>
      <c r="EE98" s="30"/>
      <c r="EF98" s="30"/>
      <c r="EG98" s="31"/>
      <c r="EH98" s="32"/>
      <c r="EI98" s="32"/>
      <c r="EJ98" s="32"/>
      <c r="EK98" s="32"/>
      <c r="EL98" s="29"/>
      <c r="EM98" s="30"/>
      <c r="EN98" s="30"/>
      <c r="EO98" s="30"/>
      <c r="EP98" s="30"/>
      <c r="EQ98" s="31"/>
      <c r="ER98" s="32"/>
      <c r="ES98" s="32"/>
      <c r="ET98" s="32"/>
      <c r="EU98" s="32"/>
      <c r="EV98" s="29"/>
      <c r="EW98" s="30"/>
      <c r="EX98" s="30"/>
      <c r="EY98" s="30"/>
      <c r="EZ98" s="30"/>
      <c r="FA98" s="31"/>
      <c r="FB98" s="32"/>
      <c r="FC98" s="32"/>
      <c r="FD98" s="32"/>
      <c r="FE98" s="32"/>
      <c r="FF98" s="29"/>
      <c r="FG98" s="30"/>
      <c r="FH98" s="30"/>
      <c r="FI98" s="30"/>
      <c r="FJ98" s="30"/>
      <c r="FK98" s="31"/>
      <c r="FL98" s="32"/>
      <c r="FM98" s="32"/>
      <c r="FN98" s="32"/>
      <c r="FO98" s="32"/>
      <c r="FP98" s="29"/>
      <c r="FQ98" s="30"/>
      <c r="FR98" s="30"/>
      <c r="FS98" s="30"/>
      <c r="FT98" s="30"/>
      <c r="FU98" s="31"/>
      <c r="FV98" s="32"/>
      <c r="FW98" s="32"/>
      <c r="FX98" s="32"/>
      <c r="FY98" s="32"/>
      <c r="FZ98" s="29"/>
      <c r="GA98" s="30"/>
      <c r="GB98" s="30"/>
      <c r="GC98" s="30"/>
      <c r="GD98" s="30"/>
    </row>
    <row r="99" spans="1:186" ht="48" x14ac:dyDescent="0.25">
      <c r="A99" s="156">
        <v>90</v>
      </c>
      <c r="B99" s="395">
        <f>'Tier 3 Intervention'!B367</f>
        <v>0</v>
      </c>
      <c r="C99" s="395"/>
      <c r="D99" s="395"/>
      <c r="E99" s="395"/>
      <c r="F99" s="395"/>
      <c r="G99" s="395"/>
      <c r="H99" s="761" t="e">
        <f>'Tier 3 Intervention'!AA367+30</f>
        <v>#VALUE!</v>
      </c>
      <c r="I99" s="761"/>
      <c r="J99" s="762" t="e">
        <f t="shared" si="2"/>
        <v>#VALUE!</v>
      </c>
      <c r="K99" s="395"/>
      <c r="L99" s="47" t="s">
        <v>876</v>
      </c>
      <c r="M99" s="46"/>
      <c r="N99" s="46"/>
      <c r="O99" s="46"/>
      <c r="P99" s="49"/>
      <c r="Q99" s="19"/>
      <c r="R99" s="20"/>
      <c r="S99" s="20"/>
      <c r="T99" s="20"/>
      <c r="U99" s="20"/>
      <c r="V99" s="21"/>
      <c r="W99" s="22"/>
      <c r="X99" s="22"/>
      <c r="Y99" s="22"/>
      <c r="Z99" s="22"/>
      <c r="AA99" s="19"/>
      <c r="AB99" s="20"/>
      <c r="AC99" s="20"/>
      <c r="AD99" s="20"/>
      <c r="AE99" s="20"/>
      <c r="AF99" s="21"/>
      <c r="AG99" s="22"/>
      <c r="AH99" s="22"/>
      <c r="AI99" s="22"/>
      <c r="AJ99" s="22"/>
      <c r="AK99" s="19"/>
      <c r="AL99" s="20"/>
      <c r="AM99" s="20"/>
      <c r="AN99" s="20"/>
      <c r="AO99" s="20"/>
      <c r="AP99" s="21"/>
      <c r="AQ99" s="22"/>
      <c r="AR99" s="22"/>
      <c r="AS99" s="22"/>
      <c r="AT99" s="22"/>
      <c r="AU99" s="19"/>
      <c r="AV99" s="20"/>
      <c r="AW99" s="20"/>
      <c r="AX99" s="20"/>
      <c r="AY99" s="20"/>
      <c r="AZ99" s="21"/>
      <c r="BA99" s="22"/>
      <c r="BB99" s="22"/>
      <c r="BC99" s="22"/>
      <c r="BD99" s="22"/>
      <c r="BE99" s="19"/>
      <c r="BF99" s="20"/>
      <c r="BG99" s="20"/>
      <c r="BH99" s="20"/>
      <c r="BI99" s="20"/>
      <c r="BJ99" s="21"/>
      <c r="BK99" s="22"/>
      <c r="BL99" s="22"/>
      <c r="BM99" s="22"/>
      <c r="BN99" s="22"/>
      <c r="BO99" s="19"/>
      <c r="BP99" s="20"/>
      <c r="BQ99" s="20"/>
      <c r="BR99" s="20"/>
      <c r="BS99" s="20"/>
      <c r="BT99" s="21"/>
      <c r="BU99" s="22"/>
      <c r="BV99" s="22"/>
      <c r="BW99" s="22"/>
      <c r="BX99" s="22"/>
      <c r="BY99" s="23"/>
      <c r="BZ99" s="24"/>
      <c r="CA99" s="24"/>
      <c r="CB99" s="24"/>
      <c r="CC99" s="24"/>
      <c r="CD99" s="25"/>
      <c r="CE99" s="26"/>
      <c r="CF99" s="26"/>
      <c r="CG99" s="26"/>
      <c r="CH99" s="26"/>
      <c r="CI99" s="27"/>
      <c r="CJ99" s="28"/>
      <c r="CK99" s="28"/>
      <c r="CL99" s="28"/>
      <c r="CM99" s="28"/>
      <c r="CN99" s="25"/>
      <c r="CO99" s="26"/>
      <c r="CP99" s="26"/>
      <c r="CQ99" s="26"/>
      <c r="CR99" s="26"/>
      <c r="CS99" s="27"/>
      <c r="CT99" s="28"/>
      <c r="CU99" s="28"/>
      <c r="CV99" s="28"/>
      <c r="CW99" s="28"/>
      <c r="CX99" s="25"/>
      <c r="CY99" s="26"/>
      <c r="CZ99" s="26"/>
      <c r="DA99" s="26"/>
      <c r="DB99" s="26"/>
      <c r="DC99" s="27"/>
      <c r="DD99" s="28"/>
      <c r="DE99" s="28"/>
      <c r="DF99" s="28"/>
      <c r="DG99" s="28"/>
      <c r="DH99" s="25"/>
      <c r="DI99" s="26"/>
      <c r="DJ99" s="26"/>
      <c r="DK99" s="26"/>
      <c r="DL99" s="26"/>
      <c r="DM99" s="27"/>
      <c r="DN99" s="28"/>
      <c r="DO99" s="28"/>
      <c r="DP99" s="28"/>
      <c r="DQ99" s="28"/>
      <c r="DR99" s="25"/>
      <c r="DS99" s="26"/>
      <c r="DT99" s="26"/>
      <c r="DU99" s="26"/>
      <c r="DV99" s="26"/>
      <c r="DW99" s="27"/>
      <c r="DX99" s="28"/>
      <c r="DY99" s="28"/>
      <c r="DZ99" s="28"/>
      <c r="EA99" s="28"/>
      <c r="EB99" s="29"/>
      <c r="EC99" s="30"/>
      <c r="ED99" s="30"/>
      <c r="EE99" s="30"/>
      <c r="EF99" s="30"/>
      <c r="EG99" s="31"/>
      <c r="EH99" s="32"/>
      <c r="EI99" s="32"/>
      <c r="EJ99" s="32"/>
      <c r="EK99" s="32"/>
      <c r="EL99" s="29"/>
      <c r="EM99" s="30"/>
      <c r="EN99" s="30"/>
      <c r="EO99" s="30"/>
      <c r="EP99" s="30"/>
      <c r="EQ99" s="31"/>
      <c r="ER99" s="32"/>
      <c r="ES99" s="32"/>
      <c r="ET99" s="32"/>
      <c r="EU99" s="32"/>
      <c r="EV99" s="29"/>
      <c r="EW99" s="30"/>
      <c r="EX99" s="30"/>
      <c r="EY99" s="30"/>
      <c r="EZ99" s="30"/>
      <c r="FA99" s="31"/>
      <c r="FB99" s="32"/>
      <c r="FC99" s="32"/>
      <c r="FD99" s="32"/>
      <c r="FE99" s="32"/>
      <c r="FF99" s="29"/>
      <c r="FG99" s="30"/>
      <c r="FH99" s="30"/>
      <c r="FI99" s="30"/>
      <c r="FJ99" s="30"/>
      <c r="FK99" s="31"/>
      <c r="FL99" s="32"/>
      <c r="FM99" s="32"/>
      <c r="FN99" s="32"/>
      <c r="FO99" s="32"/>
      <c r="FP99" s="29"/>
      <c r="FQ99" s="30"/>
      <c r="FR99" s="30"/>
      <c r="FS99" s="30"/>
      <c r="FT99" s="30"/>
      <c r="FU99" s="31"/>
      <c r="FV99" s="32"/>
      <c r="FW99" s="32"/>
      <c r="FX99" s="32"/>
      <c r="FY99" s="32"/>
      <c r="FZ99" s="29"/>
      <c r="GA99" s="30"/>
      <c r="GB99" s="30"/>
      <c r="GC99" s="30"/>
      <c r="GD99" s="30"/>
    </row>
    <row r="100" spans="1:186" ht="48" x14ac:dyDescent="0.25">
      <c r="A100" s="156">
        <v>91</v>
      </c>
      <c r="B100" s="395">
        <f>'Tier 3 Intervention'!B371</f>
        <v>0</v>
      </c>
      <c r="C100" s="395"/>
      <c r="D100" s="395"/>
      <c r="E100" s="395"/>
      <c r="F100" s="395"/>
      <c r="G100" s="395"/>
      <c r="H100" s="761" t="e">
        <f>'Tier 3 Intervention'!AA371+30</f>
        <v>#VALUE!</v>
      </c>
      <c r="I100" s="761"/>
      <c r="J100" s="762" t="e">
        <f t="shared" si="2"/>
        <v>#VALUE!</v>
      </c>
      <c r="K100" s="395"/>
      <c r="L100" s="47" t="s">
        <v>877</v>
      </c>
      <c r="M100" s="46"/>
      <c r="N100" s="46"/>
      <c r="O100" s="46"/>
      <c r="P100" s="49"/>
      <c r="Q100" s="19"/>
      <c r="R100" s="20"/>
      <c r="S100" s="20"/>
      <c r="T100" s="20"/>
      <c r="U100" s="20"/>
      <c r="V100" s="21"/>
      <c r="W100" s="22"/>
      <c r="X100" s="22"/>
      <c r="Y100" s="22"/>
      <c r="Z100" s="22"/>
      <c r="AA100" s="19"/>
      <c r="AB100" s="20"/>
      <c r="AC100" s="20"/>
      <c r="AD100" s="20"/>
      <c r="AE100" s="20"/>
      <c r="AF100" s="21"/>
      <c r="AG100" s="22"/>
      <c r="AH100" s="22"/>
      <c r="AI100" s="22"/>
      <c r="AJ100" s="22"/>
      <c r="AK100" s="19"/>
      <c r="AL100" s="20"/>
      <c r="AM100" s="20"/>
      <c r="AN100" s="20"/>
      <c r="AO100" s="20"/>
      <c r="AP100" s="21"/>
      <c r="AQ100" s="22"/>
      <c r="AR100" s="22"/>
      <c r="AS100" s="22"/>
      <c r="AT100" s="22"/>
      <c r="AU100" s="19"/>
      <c r="AV100" s="20"/>
      <c r="AW100" s="20"/>
      <c r="AX100" s="20"/>
      <c r="AY100" s="20"/>
      <c r="AZ100" s="21"/>
      <c r="BA100" s="22"/>
      <c r="BB100" s="22"/>
      <c r="BC100" s="22"/>
      <c r="BD100" s="22"/>
      <c r="BE100" s="19"/>
      <c r="BF100" s="20"/>
      <c r="BG100" s="20"/>
      <c r="BH100" s="20"/>
      <c r="BI100" s="20"/>
      <c r="BJ100" s="21"/>
      <c r="BK100" s="22"/>
      <c r="BL100" s="22"/>
      <c r="BM100" s="22"/>
      <c r="BN100" s="22"/>
      <c r="BO100" s="19"/>
      <c r="BP100" s="20"/>
      <c r="BQ100" s="20"/>
      <c r="BR100" s="20"/>
      <c r="BS100" s="20"/>
      <c r="BT100" s="21"/>
      <c r="BU100" s="22"/>
      <c r="BV100" s="22"/>
      <c r="BW100" s="22"/>
      <c r="BX100" s="22"/>
      <c r="BY100" s="23"/>
      <c r="BZ100" s="24"/>
      <c r="CA100" s="24"/>
      <c r="CB100" s="24"/>
      <c r="CC100" s="24"/>
      <c r="CD100" s="25"/>
      <c r="CE100" s="26"/>
      <c r="CF100" s="26"/>
      <c r="CG100" s="26"/>
      <c r="CH100" s="26"/>
      <c r="CI100" s="27"/>
      <c r="CJ100" s="28"/>
      <c r="CK100" s="28"/>
      <c r="CL100" s="28"/>
      <c r="CM100" s="28"/>
      <c r="CN100" s="25"/>
      <c r="CO100" s="26"/>
      <c r="CP100" s="26"/>
      <c r="CQ100" s="26"/>
      <c r="CR100" s="26"/>
      <c r="CS100" s="27"/>
      <c r="CT100" s="28"/>
      <c r="CU100" s="28"/>
      <c r="CV100" s="28"/>
      <c r="CW100" s="28"/>
      <c r="CX100" s="25"/>
      <c r="CY100" s="26"/>
      <c r="CZ100" s="26"/>
      <c r="DA100" s="26"/>
      <c r="DB100" s="26"/>
      <c r="DC100" s="27"/>
      <c r="DD100" s="28"/>
      <c r="DE100" s="28"/>
      <c r="DF100" s="28"/>
      <c r="DG100" s="28"/>
      <c r="DH100" s="25"/>
      <c r="DI100" s="26"/>
      <c r="DJ100" s="26"/>
      <c r="DK100" s="26"/>
      <c r="DL100" s="26"/>
      <c r="DM100" s="27"/>
      <c r="DN100" s="28"/>
      <c r="DO100" s="28"/>
      <c r="DP100" s="28"/>
      <c r="DQ100" s="28"/>
      <c r="DR100" s="25"/>
      <c r="DS100" s="26"/>
      <c r="DT100" s="26"/>
      <c r="DU100" s="26"/>
      <c r="DV100" s="26"/>
      <c r="DW100" s="27"/>
      <c r="DX100" s="28"/>
      <c r="DY100" s="28"/>
      <c r="DZ100" s="28"/>
      <c r="EA100" s="28"/>
      <c r="EB100" s="29"/>
      <c r="EC100" s="30"/>
      <c r="ED100" s="30"/>
      <c r="EE100" s="30"/>
      <c r="EF100" s="30"/>
      <c r="EG100" s="31"/>
      <c r="EH100" s="32"/>
      <c r="EI100" s="32"/>
      <c r="EJ100" s="32"/>
      <c r="EK100" s="32"/>
      <c r="EL100" s="29"/>
      <c r="EM100" s="30"/>
      <c r="EN100" s="30"/>
      <c r="EO100" s="30"/>
      <c r="EP100" s="30"/>
      <c r="EQ100" s="31"/>
      <c r="ER100" s="32"/>
      <c r="ES100" s="32"/>
      <c r="ET100" s="32"/>
      <c r="EU100" s="32"/>
      <c r="EV100" s="29"/>
      <c r="EW100" s="30"/>
      <c r="EX100" s="30"/>
      <c r="EY100" s="30"/>
      <c r="EZ100" s="30"/>
      <c r="FA100" s="31"/>
      <c r="FB100" s="32"/>
      <c r="FC100" s="32"/>
      <c r="FD100" s="32"/>
      <c r="FE100" s="32"/>
      <c r="FF100" s="29"/>
      <c r="FG100" s="30"/>
      <c r="FH100" s="30"/>
      <c r="FI100" s="30"/>
      <c r="FJ100" s="30"/>
      <c r="FK100" s="31"/>
      <c r="FL100" s="32"/>
      <c r="FM100" s="32"/>
      <c r="FN100" s="32"/>
      <c r="FO100" s="32"/>
      <c r="FP100" s="29"/>
      <c r="FQ100" s="30"/>
      <c r="FR100" s="30"/>
      <c r="FS100" s="30"/>
      <c r="FT100" s="30"/>
      <c r="FU100" s="31"/>
      <c r="FV100" s="32"/>
      <c r="FW100" s="32"/>
      <c r="FX100" s="32"/>
      <c r="FY100" s="32"/>
      <c r="FZ100" s="29"/>
      <c r="GA100" s="30"/>
      <c r="GB100" s="30"/>
      <c r="GC100" s="30"/>
      <c r="GD100" s="30"/>
    </row>
    <row r="101" spans="1:186" ht="48" x14ac:dyDescent="0.25">
      <c r="A101" s="156">
        <v>92</v>
      </c>
      <c r="B101" s="395">
        <f>'Tier 3 Intervention'!B375</f>
        <v>0</v>
      </c>
      <c r="C101" s="395"/>
      <c r="D101" s="395"/>
      <c r="E101" s="395"/>
      <c r="F101" s="395"/>
      <c r="G101" s="395"/>
      <c r="H101" s="761" t="e">
        <f>'Tier 3 Intervention'!AA375+30</f>
        <v>#VALUE!</v>
      </c>
      <c r="I101" s="761"/>
      <c r="J101" s="762" t="e">
        <f t="shared" si="2"/>
        <v>#VALUE!</v>
      </c>
      <c r="K101" s="395"/>
      <c r="L101" s="47" t="s">
        <v>878</v>
      </c>
      <c r="M101" s="46"/>
      <c r="N101" s="46"/>
      <c r="O101" s="46"/>
      <c r="P101" s="49"/>
      <c r="Q101" s="19"/>
      <c r="R101" s="20"/>
      <c r="S101" s="20"/>
      <c r="T101" s="20"/>
      <c r="U101" s="20"/>
      <c r="V101" s="21"/>
      <c r="W101" s="22"/>
      <c r="X101" s="22"/>
      <c r="Y101" s="22"/>
      <c r="Z101" s="22"/>
      <c r="AA101" s="19"/>
      <c r="AB101" s="20"/>
      <c r="AC101" s="20"/>
      <c r="AD101" s="20"/>
      <c r="AE101" s="20"/>
      <c r="AF101" s="21"/>
      <c r="AG101" s="22"/>
      <c r="AH101" s="22"/>
      <c r="AI101" s="22"/>
      <c r="AJ101" s="22"/>
      <c r="AK101" s="19"/>
      <c r="AL101" s="20"/>
      <c r="AM101" s="20"/>
      <c r="AN101" s="20"/>
      <c r="AO101" s="20"/>
      <c r="AP101" s="21"/>
      <c r="AQ101" s="22"/>
      <c r="AR101" s="22"/>
      <c r="AS101" s="22"/>
      <c r="AT101" s="22"/>
      <c r="AU101" s="19"/>
      <c r="AV101" s="20"/>
      <c r="AW101" s="20"/>
      <c r="AX101" s="20"/>
      <c r="AY101" s="20"/>
      <c r="AZ101" s="21"/>
      <c r="BA101" s="22"/>
      <c r="BB101" s="22"/>
      <c r="BC101" s="22"/>
      <c r="BD101" s="22"/>
      <c r="BE101" s="19"/>
      <c r="BF101" s="20"/>
      <c r="BG101" s="20"/>
      <c r="BH101" s="20"/>
      <c r="BI101" s="20"/>
      <c r="BJ101" s="21"/>
      <c r="BK101" s="22"/>
      <c r="BL101" s="22"/>
      <c r="BM101" s="22"/>
      <c r="BN101" s="22"/>
      <c r="BO101" s="19"/>
      <c r="BP101" s="20"/>
      <c r="BQ101" s="20"/>
      <c r="BR101" s="20"/>
      <c r="BS101" s="20"/>
      <c r="BT101" s="21"/>
      <c r="BU101" s="22"/>
      <c r="BV101" s="22"/>
      <c r="BW101" s="22"/>
      <c r="BX101" s="22"/>
      <c r="BY101" s="23"/>
      <c r="BZ101" s="24"/>
      <c r="CA101" s="24"/>
      <c r="CB101" s="24"/>
      <c r="CC101" s="24"/>
      <c r="CD101" s="25"/>
      <c r="CE101" s="26"/>
      <c r="CF101" s="26"/>
      <c r="CG101" s="26"/>
      <c r="CH101" s="26"/>
      <c r="CI101" s="27"/>
      <c r="CJ101" s="28"/>
      <c r="CK101" s="28"/>
      <c r="CL101" s="28"/>
      <c r="CM101" s="28"/>
      <c r="CN101" s="25"/>
      <c r="CO101" s="26"/>
      <c r="CP101" s="26"/>
      <c r="CQ101" s="26"/>
      <c r="CR101" s="26"/>
      <c r="CS101" s="27"/>
      <c r="CT101" s="28"/>
      <c r="CU101" s="28"/>
      <c r="CV101" s="28"/>
      <c r="CW101" s="28"/>
      <c r="CX101" s="25"/>
      <c r="CY101" s="26"/>
      <c r="CZ101" s="26"/>
      <c r="DA101" s="26"/>
      <c r="DB101" s="26"/>
      <c r="DC101" s="27"/>
      <c r="DD101" s="28"/>
      <c r="DE101" s="28"/>
      <c r="DF101" s="28"/>
      <c r="DG101" s="28"/>
      <c r="DH101" s="25"/>
      <c r="DI101" s="26"/>
      <c r="DJ101" s="26"/>
      <c r="DK101" s="26"/>
      <c r="DL101" s="26"/>
      <c r="DM101" s="27"/>
      <c r="DN101" s="28"/>
      <c r="DO101" s="28"/>
      <c r="DP101" s="28"/>
      <c r="DQ101" s="28"/>
      <c r="DR101" s="25"/>
      <c r="DS101" s="26"/>
      <c r="DT101" s="26"/>
      <c r="DU101" s="26"/>
      <c r="DV101" s="26"/>
      <c r="DW101" s="27"/>
      <c r="DX101" s="28"/>
      <c r="DY101" s="28"/>
      <c r="DZ101" s="28"/>
      <c r="EA101" s="28"/>
      <c r="EB101" s="29"/>
      <c r="EC101" s="30"/>
      <c r="ED101" s="30"/>
      <c r="EE101" s="30"/>
      <c r="EF101" s="30"/>
      <c r="EG101" s="31"/>
      <c r="EH101" s="32"/>
      <c r="EI101" s="32"/>
      <c r="EJ101" s="32"/>
      <c r="EK101" s="32"/>
      <c r="EL101" s="29"/>
      <c r="EM101" s="30"/>
      <c r="EN101" s="30"/>
      <c r="EO101" s="30"/>
      <c r="EP101" s="30"/>
      <c r="EQ101" s="31"/>
      <c r="ER101" s="32"/>
      <c r="ES101" s="32"/>
      <c r="ET101" s="32"/>
      <c r="EU101" s="32"/>
      <c r="EV101" s="29"/>
      <c r="EW101" s="30"/>
      <c r="EX101" s="30"/>
      <c r="EY101" s="30"/>
      <c r="EZ101" s="30"/>
      <c r="FA101" s="31"/>
      <c r="FB101" s="32"/>
      <c r="FC101" s="32"/>
      <c r="FD101" s="32"/>
      <c r="FE101" s="32"/>
      <c r="FF101" s="29"/>
      <c r="FG101" s="30"/>
      <c r="FH101" s="30"/>
      <c r="FI101" s="30"/>
      <c r="FJ101" s="30"/>
      <c r="FK101" s="31"/>
      <c r="FL101" s="32"/>
      <c r="FM101" s="32"/>
      <c r="FN101" s="32"/>
      <c r="FO101" s="32"/>
      <c r="FP101" s="29"/>
      <c r="FQ101" s="30"/>
      <c r="FR101" s="30"/>
      <c r="FS101" s="30"/>
      <c r="FT101" s="30"/>
      <c r="FU101" s="31"/>
      <c r="FV101" s="32"/>
      <c r="FW101" s="32"/>
      <c r="FX101" s="32"/>
      <c r="FY101" s="32"/>
      <c r="FZ101" s="29"/>
      <c r="GA101" s="30"/>
      <c r="GB101" s="30"/>
      <c r="GC101" s="30"/>
      <c r="GD101" s="30"/>
    </row>
    <row r="102" spans="1:186" ht="48" x14ac:dyDescent="0.25">
      <c r="A102" s="156">
        <v>93</v>
      </c>
      <c r="B102" s="395">
        <f>'Tier 3 Intervention'!B379</f>
        <v>0</v>
      </c>
      <c r="C102" s="395"/>
      <c r="D102" s="395"/>
      <c r="E102" s="395"/>
      <c r="F102" s="395"/>
      <c r="G102" s="395"/>
      <c r="H102" s="761" t="e">
        <f>'Tier 3 Intervention'!AA379+30</f>
        <v>#VALUE!</v>
      </c>
      <c r="I102" s="761"/>
      <c r="J102" s="762" t="e">
        <f t="shared" si="2"/>
        <v>#VALUE!</v>
      </c>
      <c r="K102" s="395"/>
      <c r="L102" s="47" t="s">
        <v>879</v>
      </c>
      <c r="M102" s="46"/>
      <c r="N102" s="46"/>
      <c r="O102" s="46"/>
      <c r="P102" s="49"/>
      <c r="Q102" s="19"/>
      <c r="R102" s="20"/>
      <c r="S102" s="20"/>
      <c r="T102" s="20"/>
      <c r="U102" s="20"/>
      <c r="V102" s="21"/>
      <c r="W102" s="22"/>
      <c r="X102" s="22"/>
      <c r="Y102" s="22"/>
      <c r="Z102" s="22"/>
      <c r="AA102" s="19"/>
      <c r="AB102" s="20"/>
      <c r="AC102" s="20"/>
      <c r="AD102" s="20"/>
      <c r="AE102" s="20"/>
      <c r="AF102" s="21"/>
      <c r="AG102" s="22"/>
      <c r="AH102" s="22"/>
      <c r="AI102" s="22"/>
      <c r="AJ102" s="22"/>
      <c r="AK102" s="19"/>
      <c r="AL102" s="20"/>
      <c r="AM102" s="20"/>
      <c r="AN102" s="20"/>
      <c r="AO102" s="20"/>
      <c r="AP102" s="21"/>
      <c r="AQ102" s="22"/>
      <c r="AR102" s="22"/>
      <c r="AS102" s="22"/>
      <c r="AT102" s="22"/>
      <c r="AU102" s="19"/>
      <c r="AV102" s="20"/>
      <c r="AW102" s="20"/>
      <c r="AX102" s="20"/>
      <c r="AY102" s="20"/>
      <c r="AZ102" s="21"/>
      <c r="BA102" s="22"/>
      <c r="BB102" s="22"/>
      <c r="BC102" s="22"/>
      <c r="BD102" s="22"/>
      <c r="BE102" s="19"/>
      <c r="BF102" s="20"/>
      <c r="BG102" s="20"/>
      <c r="BH102" s="20"/>
      <c r="BI102" s="20"/>
      <c r="BJ102" s="21"/>
      <c r="BK102" s="22"/>
      <c r="BL102" s="22"/>
      <c r="BM102" s="22"/>
      <c r="BN102" s="22"/>
      <c r="BO102" s="19"/>
      <c r="BP102" s="20"/>
      <c r="BQ102" s="20"/>
      <c r="BR102" s="20"/>
      <c r="BS102" s="20"/>
      <c r="BT102" s="21"/>
      <c r="BU102" s="22"/>
      <c r="BV102" s="22"/>
      <c r="BW102" s="22"/>
      <c r="BX102" s="22"/>
      <c r="BY102" s="23"/>
      <c r="BZ102" s="24"/>
      <c r="CA102" s="24"/>
      <c r="CB102" s="24"/>
      <c r="CC102" s="24"/>
      <c r="CD102" s="25"/>
      <c r="CE102" s="26"/>
      <c r="CF102" s="26"/>
      <c r="CG102" s="26"/>
      <c r="CH102" s="26"/>
      <c r="CI102" s="27"/>
      <c r="CJ102" s="28"/>
      <c r="CK102" s="28"/>
      <c r="CL102" s="28"/>
      <c r="CM102" s="28"/>
      <c r="CN102" s="25"/>
      <c r="CO102" s="26"/>
      <c r="CP102" s="26"/>
      <c r="CQ102" s="26"/>
      <c r="CR102" s="26"/>
      <c r="CS102" s="27"/>
      <c r="CT102" s="28"/>
      <c r="CU102" s="28"/>
      <c r="CV102" s="28"/>
      <c r="CW102" s="28"/>
      <c r="CX102" s="25"/>
      <c r="CY102" s="26"/>
      <c r="CZ102" s="26"/>
      <c r="DA102" s="26"/>
      <c r="DB102" s="26"/>
      <c r="DC102" s="27"/>
      <c r="DD102" s="28"/>
      <c r="DE102" s="28"/>
      <c r="DF102" s="28"/>
      <c r="DG102" s="28"/>
      <c r="DH102" s="25"/>
      <c r="DI102" s="26"/>
      <c r="DJ102" s="26"/>
      <c r="DK102" s="26"/>
      <c r="DL102" s="26"/>
      <c r="DM102" s="27"/>
      <c r="DN102" s="28"/>
      <c r="DO102" s="28"/>
      <c r="DP102" s="28"/>
      <c r="DQ102" s="28"/>
      <c r="DR102" s="25"/>
      <c r="DS102" s="26"/>
      <c r="DT102" s="26"/>
      <c r="DU102" s="26"/>
      <c r="DV102" s="26"/>
      <c r="DW102" s="27"/>
      <c r="DX102" s="28"/>
      <c r="DY102" s="28"/>
      <c r="DZ102" s="28"/>
      <c r="EA102" s="28"/>
      <c r="EB102" s="29"/>
      <c r="EC102" s="30"/>
      <c r="ED102" s="30"/>
      <c r="EE102" s="30"/>
      <c r="EF102" s="30"/>
      <c r="EG102" s="31"/>
      <c r="EH102" s="32"/>
      <c r="EI102" s="32"/>
      <c r="EJ102" s="32"/>
      <c r="EK102" s="32"/>
      <c r="EL102" s="29"/>
      <c r="EM102" s="30"/>
      <c r="EN102" s="30"/>
      <c r="EO102" s="30"/>
      <c r="EP102" s="30"/>
      <c r="EQ102" s="31"/>
      <c r="ER102" s="32"/>
      <c r="ES102" s="32"/>
      <c r="ET102" s="32"/>
      <c r="EU102" s="32"/>
      <c r="EV102" s="29"/>
      <c r="EW102" s="30"/>
      <c r="EX102" s="30"/>
      <c r="EY102" s="30"/>
      <c r="EZ102" s="30"/>
      <c r="FA102" s="31"/>
      <c r="FB102" s="32"/>
      <c r="FC102" s="32"/>
      <c r="FD102" s="32"/>
      <c r="FE102" s="32"/>
      <c r="FF102" s="29"/>
      <c r="FG102" s="30"/>
      <c r="FH102" s="30"/>
      <c r="FI102" s="30"/>
      <c r="FJ102" s="30"/>
      <c r="FK102" s="31"/>
      <c r="FL102" s="32"/>
      <c r="FM102" s="32"/>
      <c r="FN102" s="32"/>
      <c r="FO102" s="32"/>
      <c r="FP102" s="29"/>
      <c r="FQ102" s="30"/>
      <c r="FR102" s="30"/>
      <c r="FS102" s="30"/>
      <c r="FT102" s="30"/>
      <c r="FU102" s="31"/>
      <c r="FV102" s="32"/>
      <c r="FW102" s="32"/>
      <c r="FX102" s="32"/>
      <c r="FY102" s="32"/>
      <c r="FZ102" s="29"/>
      <c r="GA102" s="30"/>
      <c r="GB102" s="30"/>
      <c r="GC102" s="30"/>
      <c r="GD102" s="30"/>
    </row>
    <row r="103" spans="1:186" ht="48" x14ac:dyDescent="0.25">
      <c r="A103" s="156">
        <v>94</v>
      </c>
      <c r="B103" s="395">
        <f>'Tier 3 Intervention'!B383</f>
        <v>0</v>
      </c>
      <c r="C103" s="395"/>
      <c r="D103" s="395"/>
      <c r="E103" s="395"/>
      <c r="F103" s="395"/>
      <c r="G103" s="395"/>
      <c r="H103" s="761" t="e">
        <f>'Tier 3 Intervention'!AA383+30</f>
        <v>#VALUE!</v>
      </c>
      <c r="I103" s="761"/>
      <c r="J103" s="762" t="e">
        <f t="shared" si="2"/>
        <v>#VALUE!</v>
      </c>
      <c r="K103" s="395"/>
      <c r="L103" s="47" t="s">
        <v>880</v>
      </c>
      <c r="M103" s="46"/>
      <c r="N103" s="46"/>
      <c r="O103" s="46"/>
      <c r="P103" s="49"/>
      <c r="Q103" s="19"/>
      <c r="R103" s="20"/>
      <c r="S103" s="20"/>
      <c r="T103" s="20"/>
      <c r="U103" s="20"/>
      <c r="V103" s="21"/>
      <c r="W103" s="22"/>
      <c r="X103" s="22"/>
      <c r="Y103" s="22"/>
      <c r="Z103" s="22"/>
      <c r="AA103" s="19"/>
      <c r="AB103" s="20"/>
      <c r="AC103" s="20"/>
      <c r="AD103" s="20"/>
      <c r="AE103" s="20"/>
      <c r="AF103" s="21"/>
      <c r="AG103" s="22"/>
      <c r="AH103" s="22"/>
      <c r="AI103" s="22"/>
      <c r="AJ103" s="22"/>
      <c r="AK103" s="19"/>
      <c r="AL103" s="20"/>
      <c r="AM103" s="20"/>
      <c r="AN103" s="20"/>
      <c r="AO103" s="20"/>
      <c r="AP103" s="21"/>
      <c r="AQ103" s="22"/>
      <c r="AR103" s="22"/>
      <c r="AS103" s="22"/>
      <c r="AT103" s="22"/>
      <c r="AU103" s="19"/>
      <c r="AV103" s="20"/>
      <c r="AW103" s="20"/>
      <c r="AX103" s="20"/>
      <c r="AY103" s="20"/>
      <c r="AZ103" s="21"/>
      <c r="BA103" s="22"/>
      <c r="BB103" s="22"/>
      <c r="BC103" s="22"/>
      <c r="BD103" s="22"/>
      <c r="BE103" s="19"/>
      <c r="BF103" s="20"/>
      <c r="BG103" s="20"/>
      <c r="BH103" s="20"/>
      <c r="BI103" s="20"/>
      <c r="BJ103" s="21"/>
      <c r="BK103" s="22"/>
      <c r="BL103" s="22"/>
      <c r="BM103" s="22"/>
      <c r="BN103" s="22"/>
      <c r="BO103" s="19"/>
      <c r="BP103" s="20"/>
      <c r="BQ103" s="20"/>
      <c r="BR103" s="20"/>
      <c r="BS103" s="20"/>
      <c r="BT103" s="21"/>
      <c r="BU103" s="22"/>
      <c r="BV103" s="22"/>
      <c r="BW103" s="22"/>
      <c r="BX103" s="22"/>
      <c r="BY103" s="23"/>
      <c r="BZ103" s="24"/>
      <c r="CA103" s="24"/>
      <c r="CB103" s="24"/>
      <c r="CC103" s="24"/>
      <c r="CD103" s="25"/>
      <c r="CE103" s="26"/>
      <c r="CF103" s="26"/>
      <c r="CG103" s="26"/>
      <c r="CH103" s="26"/>
      <c r="CI103" s="27"/>
      <c r="CJ103" s="28"/>
      <c r="CK103" s="28"/>
      <c r="CL103" s="28"/>
      <c r="CM103" s="28"/>
      <c r="CN103" s="25"/>
      <c r="CO103" s="26"/>
      <c r="CP103" s="26"/>
      <c r="CQ103" s="26"/>
      <c r="CR103" s="26"/>
      <c r="CS103" s="27"/>
      <c r="CT103" s="28"/>
      <c r="CU103" s="28"/>
      <c r="CV103" s="28"/>
      <c r="CW103" s="28"/>
      <c r="CX103" s="25"/>
      <c r="CY103" s="26"/>
      <c r="CZ103" s="26"/>
      <c r="DA103" s="26"/>
      <c r="DB103" s="26"/>
      <c r="DC103" s="27"/>
      <c r="DD103" s="28"/>
      <c r="DE103" s="28"/>
      <c r="DF103" s="28"/>
      <c r="DG103" s="28"/>
      <c r="DH103" s="25"/>
      <c r="DI103" s="26"/>
      <c r="DJ103" s="26"/>
      <c r="DK103" s="26"/>
      <c r="DL103" s="26"/>
      <c r="DM103" s="27"/>
      <c r="DN103" s="28"/>
      <c r="DO103" s="28"/>
      <c r="DP103" s="28"/>
      <c r="DQ103" s="28"/>
      <c r="DR103" s="25"/>
      <c r="DS103" s="26"/>
      <c r="DT103" s="26"/>
      <c r="DU103" s="26"/>
      <c r="DV103" s="26"/>
      <c r="DW103" s="27"/>
      <c r="DX103" s="28"/>
      <c r="DY103" s="28"/>
      <c r="DZ103" s="28"/>
      <c r="EA103" s="28"/>
      <c r="EB103" s="29"/>
      <c r="EC103" s="30"/>
      <c r="ED103" s="30"/>
      <c r="EE103" s="30"/>
      <c r="EF103" s="30"/>
      <c r="EG103" s="31"/>
      <c r="EH103" s="32"/>
      <c r="EI103" s="32"/>
      <c r="EJ103" s="32"/>
      <c r="EK103" s="32"/>
      <c r="EL103" s="29"/>
      <c r="EM103" s="30"/>
      <c r="EN103" s="30"/>
      <c r="EO103" s="30"/>
      <c r="EP103" s="30"/>
      <c r="EQ103" s="31"/>
      <c r="ER103" s="32"/>
      <c r="ES103" s="32"/>
      <c r="ET103" s="32"/>
      <c r="EU103" s="32"/>
      <c r="EV103" s="29"/>
      <c r="EW103" s="30"/>
      <c r="EX103" s="30"/>
      <c r="EY103" s="30"/>
      <c r="EZ103" s="30"/>
      <c r="FA103" s="31"/>
      <c r="FB103" s="32"/>
      <c r="FC103" s="32"/>
      <c r="FD103" s="32"/>
      <c r="FE103" s="32"/>
      <c r="FF103" s="29"/>
      <c r="FG103" s="30"/>
      <c r="FH103" s="30"/>
      <c r="FI103" s="30"/>
      <c r="FJ103" s="30"/>
      <c r="FK103" s="31"/>
      <c r="FL103" s="32"/>
      <c r="FM103" s="32"/>
      <c r="FN103" s="32"/>
      <c r="FO103" s="32"/>
      <c r="FP103" s="29"/>
      <c r="FQ103" s="30"/>
      <c r="FR103" s="30"/>
      <c r="FS103" s="30"/>
      <c r="FT103" s="30"/>
      <c r="FU103" s="31"/>
      <c r="FV103" s="32"/>
      <c r="FW103" s="32"/>
      <c r="FX103" s="32"/>
      <c r="FY103" s="32"/>
      <c r="FZ103" s="29"/>
      <c r="GA103" s="30"/>
      <c r="GB103" s="30"/>
      <c r="GC103" s="30"/>
      <c r="GD103" s="30"/>
    </row>
    <row r="104" spans="1:186" ht="48" x14ac:dyDescent="0.25">
      <c r="A104" s="156">
        <v>95</v>
      </c>
      <c r="B104" s="395">
        <f>'Tier 3 Intervention'!B387</f>
        <v>0</v>
      </c>
      <c r="C104" s="395"/>
      <c r="D104" s="395"/>
      <c r="E104" s="395"/>
      <c r="F104" s="395"/>
      <c r="G104" s="395"/>
      <c r="H104" s="761" t="e">
        <f>'Tier 3 Intervention'!AA387+30</f>
        <v>#VALUE!</v>
      </c>
      <c r="I104" s="761"/>
      <c r="J104" s="762" t="e">
        <f t="shared" si="2"/>
        <v>#VALUE!</v>
      </c>
      <c r="K104" s="395"/>
      <c r="L104" s="47" t="s">
        <v>881</v>
      </c>
      <c r="M104" s="46"/>
      <c r="N104" s="46"/>
      <c r="O104" s="46"/>
      <c r="P104" s="49"/>
      <c r="Q104" s="19"/>
      <c r="R104" s="20"/>
      <c r="S104" s="20"/>
      <c r="T104" s="20"/>
      <c r="U104" s="20"/>
      <c r="V104" s="21"/>
      <c r="W104" s="22"/>
      <c r="X104" s="22"/>
      <c r="Y104" s="22"/>
      <c r="Z104" s="22"/>
      <c r="AA104" s="19"/>
      <c r="AB104" s="20"/>
      <c r="AC104" s="20"/>
      <c r="AD104" s="20"/>
      <c r="AE104" s="20"/>
      <c r="AF104" s="21"/>
      <c r="AG104" s="22"/>
      <c r="AH104" s="22"/>
      <c r="AI104" s="22"/>
      <c r="AJ104" s="22"/>
      <c r="AK104" s="19"/>
      <c r="AL104" s="20"/>
      <c r="AM104" s="20"/>
      <c r="AN104" s="20"/>
      <c r="AO104" s="20"/>
      <c r="AP104" s="21"/>
      <c r="AQ104" s="22"/>
      <c r="AR104" s="22"/>
      <c r="AS104" s="22"/>
      <c r="AT104" s="22"/>
      <c r="AU104" s="19"/>
      <c r="AV104" s="20"/>
      <c r="AW104" s="20"/>
      <c r="AX104" s="20"/>
      <c r="AY104" s="20"/>
      <c r="AZ104" s="21"/>
      <c r="BA104" s="22"/>
      <c r="BB104" s="22"/>
      <c r="BC104" s="22"/>
      <c r="BD104" s="22"/>
      <c r="BE104" s="19"/>
      <c r="BF104" s="20"/>
      <c r="BG104" s="20"/>
      <c r="BH104" s="20"/>
      <c r="BI104" s="20"/>
      <c r="BJ104" s="21"/>
      <c r="BK104" s="22"/>
      <c r="BL104" s="22"/>
      <c r="BM104" s="22"/>
      <c r="BN104" s="22"/>
      <c r="BO104" s="19"/>
      <c r="BP104" s="20"/>
      <c r="BQ104" s="20"/>
      <c r="BR104" s="20"/>
      <c r="BS104" s="20"/>
      <c r="BT104" s="21"/>
      <c r="BU104" s="22"/>
      <c r="BV104" s="22"/>
      <c r="BW104" s="22"/>
      <c r="BX104" s="22"/>
      <c r="BY104" s="23"/>
      <c r="BZ104" s="24"/>
      <c r="CA104" s="24"/>
      <c r="CB104" s="24"/>
      <c r="CC104" s="24"/>
      <c r="CD104" s="25"/>
      <c r="CE104" s="26"/>
      <c r="CF104" s="26"/>
      <c r="CG104" s="26"/>
      <c r="CH104" s="26"/>
      <c r="CI104" s="27"/>
      <c r="CJ104" s="28"/>
      <c r="CK104" s="28"/>
      <c r="CL104" s="28"/>
      <c r="CM104" s="28"/>
      <c r="CN104" s="25"/>
      <c r="CO104" s="26"/>
      <c r="CP104" s="26"/>
      <c r="CQ104" s="26"/>
      <c r="CR104" s="26"/>
      <c r="CS104" s="27"/>
      <c r="CT104" s="28"/>
      <c r="CU104" s="28"/>
      <c r="CV104" s="28"/>
      <c r="CW104" s="28"/>
      <c r="CX104" s="25"/>
      <c r="CY104" s="26"/>
      <c r="CZ104" s="26"/>
      <c r="DA104" s="26"/>
      <c r="DB104" s="26"/>
      <c r="DC104" s="27"/>
      <c r="DD104" s="28"/>
      <c r="DE104" s="28"/>
      <c r="DF104" s="28"/>
      <c r="DG104" s="28"/>
      <c r="DH104" s="25"/>
      <c r="DI104" s="26"/>
      <c r="DJ104" s="26"/>
      <c r="DK104" s="26"/>
      <c r="DL104" s="26"/>
      <c r="DM104" s="27"/>
      <c r="DN104" s="28"/>
      <c r="DO104" s="28"/>
      <c r="DP104" s="28"/>
      <c r="DQ104" s="28"/>
      <c r="DR104" s="25"/>
      <c r="DS104" s="26"/>
      <c r="DT104" s="26"/>
      <c r="DU104" s="26"/>
      <c r="DV104" s="26"/>
      <c r="DW104" s="27"/>
      <c r="DX104" s="28"/>
      <c r="DY104" s="28"/>
      <c r="DZ104" s="28"/>
      <c r="EA104" s="28"/>
      <c r="EB104" s="29"/>
      <c r="EC104" s="30"/>
      <c r="ED104" s="30"/>
      <c r="EE104" s="30"/>
      <c r="EF104" s="30"/>
      <c r="EG104" s="31"/>
      <c r="EH104" s="32"/>
      <c r="EI104" s="32"/>
      <c r="EJ104" s="32"/>
      <c r="EK104" s="32"/>
      <c r="EL104" s="29"/>
      <c r="EM104" s="30"/>
      <c r="EN104" s="30"/>
      <c r="EO104" s="30"/>
      <c r="EP104" s="30"/>
      <c r="EQ104" s="31"/>
      <c r="ER104" s="32"/>
      <c r="ES104" s="32"/>
      <c r="ET104" s="32"/>
      <c r="EU104" s="32"/>
      <c r="EV104" s="29"/>
      <c r="EW104" s="30"/>
      <c r="EX104" s="30"/>
      <c r="EY104" s="30"/>
      <c r="EZ104" s="30"/>
      <c r="FA104" s="31"/>
      <c r="FB104" s="32"/>
      <c r="FC104" s="32"/>
      <c r="FD104" s="32"/>
      <c r="FE104" s="32"/>
      <c r="FF104" s="29"/>
      <c r="FG104" s="30"/>
      <c r="FH104" s="30"/>
      <c r="FI104" s="30"/>
      <c r="FJ104" s="30"/>
      <c r="FK104" s="31"/>
      <c r="FL104" s="32"/>
      <c r="FM104" s="32"/>
      <c r="FN104" s="32"/>
      <c r="FO104" s="32"/>
      <c r="FP104" s="29"/>
      <c r="FQ104" s="30"/>
      <c r="FR104" s="30"/>
      <c r="FS104" s="30"/>
      <c r="FT104" s="30"/>
      <c r="FU104" s="31"/>
      <c r="FV104" s="32"/>
      <c r="FW104" s="32"/>
      <c r="FX104" s="32"/>
      <c r="FY104" s="32"/>
      <c r="FZ104" s="29"/>
      <c r="GA104" s="30"/>
      <c r="GB104" s="30"/>
      <c r="GC104" s="30"/>
      <c r="GD104" s="30"/>
    </row>
    <row r="105" spans="1:186" ht="48" x14ac:dyDescent="0.25">
      <c r="A105" s="156">
        <v>96</v>
      </c>
      <c r="B105" s="395">
        <f>'Tier 3 Intervention'!B391</f>
        <v>0</v>
      </c>
      <c r="C105" s="395"/>
      <c r="D105" s="395"/>
      <c r="E105" s="395"/>
      <c r="F105" s="395"/>
      <c r="G105" s="395"/>
      <c r="H105" s="761" t="e">
        <f>'Tier 3 Intervention'!AA391+30</f>
        <v>#VALUE!</v>
      </c>
      <c r="I105" s="761"/>
      <c r="J105" s="762" t="e">
        <f t="shared" si="2"/>
        <v>#VALUE!</v>
      </c>
      <c r="K105" s="395"/>
      <c r="L105" s="47" t="s">
        <v>882</v>
      </c>
      <c r="M105" s="46"/>
      <c r="N105" s="46"/>
      <c r="O105" s="46"/>
      <c r="P105" s="49"/>
      <c r="Q105" s="19"/>
      <c r="R105" s="20"/>
      <c r="S105" s="20"/>
      <c r="T105" s="20"/>
      <c r="U105" s="20"/>
      <c r="V105" s="21"/>
      <c r="W105" s="22"/>
      <c r="X105" s="22"/>
      <c r="Y105" s="22"/>
      <c r="Z105" s="22"/>
      <c r="AA105" s="19"/>
      <c r="AB105" s="20"/>
      <c r="AC105" s="20"/>
      <c r="AD105" s="20"/>
      <c r="AE105" s="20"/>
      <c r="AF105" s="21"/>
      <c r="AG105" s="22"/>
      <c r="AH105" s="22"/>
      <c r="AI105" s="22"/>
      <c r="AJ105" s="22"/>
      <c r="AK105" s="19"/>
      <c r="AL105" s="20"/>
      <c r="AM105" s="20"/>
      <c r="AN105" s="20"/>
      <c r="AO105" s="20"/>
      <c r="AP105" s="21"/>
      <c r="AQ105" s="22"/>
      <c r="AR105" s="22"/>
      <c r="AS105" s="22"/>
      <c r="AT105" s="22"/>
      <c r="AU105" s="19"/>
      <c r="AV105" s="20"/>
      <c r="AW105" s="20"/>
      <c r="AX105" s="20"/>
      <c r="AY105" s="20"/>
      <c r="AZ105" s="21"/>
      <c r="BA105" s="22"/>
      <c r="BB105" s="22"/>
      <c r="BC105" s="22"/>
      <c r="BD105" s="22"/>
      <c r="BE105" s="19"/>
      <c r="BF105" s="20"/>
      <c r="BG105" s="20"/>
      <c r="BH105" s="20"/>
      <c r="BI105" s="20"/>
      <c r="BJ105" s="21"/>
      <c r="BK105" s="22"/>
      <c r="BL105" s="22"/>
      <c r="BM105" s="22"/>
      <c r="BN105" s="22"/>
      <c r="BO105" s="19"/>
      <c r="BP105" s="20"/>
      <c r="BQ105" s="20"/>
      <c r="BR105" s="20"/>
      <c r="BS105" s="20"/>
      <c r="BT105" s="21"/>
      <c r="BU105" s="22"/>
      <c r="BV105" s="22"/>
      <c r="BW105" s="22"/>
      <c r="BX105" s="22"/>
      <c r="BY105" s="23"/>
      <c r="BZ105" s="24"/>
      <c r="CA105" s="24"/>
      <c r="CB105" s="24"/>
      <c r="CC105" s="24"/>
      <c r="CD105" s="25"/>
      <c r="CE105" s="26"/>
      <c r="CF105" s="26"/>
      <c r="CG105" s="26"/>
      <c r="CH105" s="26"/>
      <c r="CI105" s="27"/>
      <c r="CJ105" s="28"/>
      <c r="CK105" s="28"/>
      <c r="CL105" s="28"/>
      <c r="CM105" s="28"/>
      <c r="CN105" s="25"/>
      <c r="CO105" s="26"/>
      <c r="CP105" s="26"/>
      <c r="CQ105" s="26"/>
      <c r="CR105" s="26"/>
      <c r="CS105" s="27"/>
      <c r="CT105" s="28"/>
      <c r="CU105" s="28"/>
      <c r="CV105" s="28"/>
      <c r="CW105" s="28"/>
      <c r="CX105" s="25"/>
      <c r="CY105" s="26"/>
      <c r="CZ105" s="26"/>
      <c r="DA105" s="26"/>
      <c r="DB105" s="26"/>
      <c r="DC105" s="27"/>
      <c r="DD105" s="28"/>
      <c r="DE105" s="28"/>
      <c r="DF105" s="28"/>
      <c r="DG105" s="28"/>
      <c r="DH105" s="25"/>
      <c r="DI105" s="26"/>
      <c r="DJ105" s="26"/>
      <c r="DK105" s="26"/>
      <c r="DL105" s="26"/>
      <c r="DM105" s="27"/>
      <c r="DN105" s="28"/>
      <c r="DO105" s="28"/>
      <c r="DP105" s="28"/>
      <c r="DQ105" s="28"/>
      <c r="DR105" s="25"/>
      <c r="DS105" s="26"/>
      <c r="DT105" s="26"/>
      <c r="DU105" s="26"/>
      <c r="DV105" s="26"/>
      <c r="DW105" s="27"/>
      <c r="DX105" s="28"/>
      <c r="DY105" s="28"/>
      <c r="DZ105" s="28"/>
      <c r="EA105" s="28"/>
      <c r="EB105" s="29"/>
      <c r="EC105" s="30"/>
      <c r="ED105" s="30"/>
      <c r="EE105" s="30"/>
      <c r="EF105" s="30"/>
      <c r="EG105" s="31"/>
      <c r="EH105" s="32"/>
      <c r="EI105" s="32"/>
      <c r="EJ105" s="32"/>
      <c r="EK105" s="32"/>
      <c r="EL105" s="29"/>
      <c r="EM105" s="30"/>
      <c r="EN105" s="30"/>
      <c r="EO105" s="30"/>
      <c r="EP105" s="30"/>
      <c r="EQ105" s="31"/>
      <c r="ER105" s="32"/>
      <c r="ES105" s="32"/>
      <c r="ET105" s="32"/>
      <c r="EU105" s="32"/>
      <c r="EV105" s="29"/>
      <c r="EW105" s="30"/>
      <c r="EX105" s="30"/>
      <c r="EY105" s="30"/>
      <c r="EZ105" s="30"/>
      <c r="FA105" s="31"/>
      <c r="FB105" s="32"/>
      <c r="FC105" s="32"/>
      <c r="FD105" s="32"/>
      <c r="FE105" s="32"/>
      <c r="FF105" s="29"/>
      <c r="FG105" s="30"/>
      <c r="FH105" s="30"/>
      <c r="FI105" s="30"/>
      <c r="FJ105" s="30"/>
      <c r="FK105" s="31"/>
      <c r="FL105" s="32"/>
      <c r="FM105" s="32"/>
      <c r="FN105" s="32"/>
      <c r="FO105" s="32"/>
      <c r="FP105" s="29"/>
      <c r="FQ105" s="30"/>
      <c r="FR105" s="30"/>
      <c r="FS105" s="30"/>
      <c r="FT105" s="30"/>
      <c r="FU105" s="31"/>
      <c r="FV105" s="32"/>
      <c r="FW105" s="32"/>
      <c r="FX105" s="32"/>
      <c r="FY105" s="32"/>
      <c r="FZ105" s="29"/>
      <c r="GA105" s="30"/>
      <c r="GB105" s="30"/>
      <c r="GC105" s="30"/>
      <c r="GD105" s="30"/>
    </row>
    <row r="106" spans="1:186" ht="48" x14ac:dyDescent="0.25">
      <c r="A106" s="156">
        <v>97</v>
      </c>
      <c r="B106" s="395">
        <f>'Tier 3 Intervention'!B395</f>
        <v>0</v>
      </c>
      <c r="C106" s="395"/>
      <c r="D106" s="395"/>
      <c r="E106" s="395"/>
      <c r="F106" s="395"/>
      <c r="G106" s="395"/>
      <c r="H106" s="761" t="e">
        <f>'Tier 3 Intervention'!AA395+30</f>
        <v>#VALUE!</v>
      </c>
      <c r="I106" s="761"/>
      <c r="J106" s="762" t="e">
        <f t="shared" si="2"/>
        <v>#VALUE!</v>
      </c>
      <c r="K106" s="395"/>
      <c r="L106" s="47" t="s">
        <v>883</v>
      </c>
      <c r="M106" s="46"/>
      <c r="N106" s="46"/>
      <c r="O106" s="46"/>
      <c r="P106" s="49"/>
      <c r="Q106" s="19"/>
      <c r="R106" s="20"/>
      <c r="S106" s="20"/>
      <c r="T106" s="20"/>
      <c r="U106" s="20"/>
      <c r="V106" s="21"/>
      <c r="W106" s="22"/>
      <c r="X106" s="22"/>
      <c r="Y106" s="22"/>
      <c r="Z106" s="22"/>
      <c r="AA106" s="19"/>
      <c r="AB106" s="20"/>
      <c r="AC106" s="20"/>
      <c r="AD106" s="20"/>
      <c r="AE106" s="20"/>
      <c r="AF106" s="21"/>
      <c r="AG106" s="22"/>
      <c r="AH106" s="22"/>
      <c r="AI106" s="22"/>
      <c r="AJ106" s="22"/>
      <c r="AK106" s="19"/>
      <c r="AL106" s="20"/>
      <c r="AM106" s="20"/>
      <c r="AN106" s="20"/>
      <c r="AO106" s="20"/>
      <c r="AP106" s="21"/>
      <c r="AQ106" s="22"/>
      <c r="AR106" s="22"/>
      <c r="AS106" s="22"/>
      <c r="AT106" s="22"/>
      <c r="AU106" s="19"/>
      <c r="AV106" s="20"/>
      <c r="AW106" s="20"/>
      <c r="AX106" s="20"/>
      <c r="AY106" s="20"/>
      <c r="AZ106" s="21"/>
      <c r="BA106" s="22"/>
      <c r="BB106" s="22"/>
      <c r="BC106" s="22"/>
      <c r="BD106" s="22"/>
      <c r="BE106" s="19"/>
      <c r="BF106" s="20"/>
      <c r="BG106" s="20"/>
      <c r="BH106" s="20"/>
      <c r="BI106" s="20"/>
      <c r="BJ106" s="21"/>
      <c r="BK106" s="22"/>
      <c r="BL106" s="22"/>
      <c r="BM106" s="22"/>
      <c r="BN106" s="22"/>
      <c r="BO106" s="19"/>
      <c r="BP106" s="20"/>
      <c r="BQ106" s="20"/>
      <c r="BR106" s="20"/>
      <c r="BS106" s="20"/>
      <c r="BT106" s="21"/>
      <c r="BU106" s="22"/>
      <c r="BV106" s="22"/>
      <c r="BW106" s="22"/>
      <c r="BX106" s="22"/>
      <c r="BY106" s="23"/>
      <c r="BZ106" s="24"/>
      <c r="CA106" s="24"/>
      <c r="CB106" s="24"/>
      <c r="CC106" s="24"/>
      <c r="CD106" s="25"/>
      <c r="CE106" s="26"/>
      <c r="CF106" s="26"/>
      <c r="CG106" s="26"/>
      <c r="CH106" s="26"/>
      <c r="CI106" s="27"/>
      <c r="CJ106" s="28"/>
      <c r="CK106" s="28"/>
      <c r="CL106" s="28"/>
      <c r="CM106" s="28"/>
      <c r="CN106" s="25"/>
      <c r="CO106" s="26"/>
      <c r="CP106" s="26"/>
      <c r="CQ106" s="26"/>
      <c r="CR106" s="26"/>
      <c r="CS106" s="27"/>
      <c r="CT106" s="28"/>
      <c r="CU106" s="28"/>
      <c r="CV106" s="28"/>
      <c r="CW106" s="28"/>
      <c r="CX106" s="25"/>
      <c r="CY106" s="26"/>
      <c r="CZ106" s="26"/>
      <c r="DA106" s="26"/>
      <c r="DB106" s="26"/>
      <c r="DC106" s="27"/>
      <c r="DD106" s="28"/>
      <c r="DE106" s="28"/>
      <c r="DF106" s="28"/>
      <c r="DG106" s="28"/>
      <c r="DH106" s="25"/>
      <c r="DI106" s="26"/>
      <c r="DJ106" s="26"/>
      <c r="DK106" s="26"/>
      <c r="DL106" s="26"/>
      <c r="DM106" s="27"/>
      <c r="DN106" s="28"/>
      <c r="DO106" s="28"/>
      <c r="DP106" s="28"/>
      <c r="DQ106" s="28"/>
      <c r="DR106" s="25"/>
      <c r="DS106" s="26"/>
      <c r="DT106" s="26"/>
      <c r="DU106" s="26"/>
      <c r="DV106" s="26"/>
      <c r="DW106" s="27"/>
      <c r="DX106" s="28"/>
      <c r="DY106" s="28"/>
      <c r="DZ106" s="28"/>
      <c r="EA106" s="28"/>
      <c r="EB106" s="29"/>
      <c r="EC106" s="30"/>
      <c r="ED106" s="30"/>
      <c r="EE106" s="30"/>
      <c r="EF106" s="30"/>
      <c r="EG106" s="31"/>
      <c r="EH106" s="32"/>
      <c r="EI106" s="32"/>
      <c r="EJ106" s="32"/>
      <c r="EK106" s="32"/>
      <c r="EL106" s="29"/>
      <c r="EM106" s="30"/>
      <c r="EN106" s="30"/>
      <c r="EO106" s="30"/>
      <c r="EP106" s="30"/>
      <c r="EQ106" s="31"/>
      <c r="ER106" s="32"/>
      <c r="ES106" s="32"/>
      <c r="ET106" s="32"/>
      <c r="EU106" s="32"/>
      <c r="EV106" s="29"/>
      <c r="EW106" s="30"/>
      <c r="EX106" s="30"/>
      <c r="EY106" s="30"/>
      <c r="EZ106" s="30"/>
      <c r="FA106" s="31"/>
      <c r="FB106" s="32"/>
      <c r="FC106" s="32"/>
      <c r="FD106" s="32"/>
      <c r="FE106" s="32"/>
      <c r="FF106" s="29"/>
      <c r="FG106" s="30"/>
      <c r="FH106" s="30"/>
      <c r="FI106" s="30"/>
      <c r="FJ106" s="30"/>
      <c r="FK106" s="31"/>
      <c r="FL106" s="32"/>
      <c r="FM106" s="32"/>
      <c r="FN106" s="32"/>
      <c r="FO106" s="32"/>
      <c r="FP106" s="29"/>
      <c r="FQ106" s="30"/>
      <c r="FR106" s="30"/>
      <c r="FS106" s="30"/>
      <c r="FT106" s="30"/>
      <c r="FU106" s="31"/>
      <c r="FV106" s="32"/>
      <c r="FW106" s="32"/>
      <c r="FX106" s="32"/>
      <c r="FY106" s="32"/>
      <c r="FZ106" s="29"/>
      <c r="GA106" s="30"/>
      <c r="GB106" s="30"/>
      <c r="GC106" s="30"/>
      <c r="GD106" s="30"/>
    </row>
    <row r="107" spans="1:186" ht="48" x14ac:dyDescent="0.25">
      <c r="A107" s="156">
        <v>98</v>
      </c>
      <c r="B107" s="395">
        <f>'Tier 3 Intervention'!B399</f>
        <v>0</v>
      </c>
      <c r="C107" s="395"/>
      <c r="D107" s="395"/>
      <c r="E107" s="395"/>
      <c r="F107" s="395"/>
      <c r="G107" s="395"/>
      <c r="H107" s="761" t="e">
        <f>'Tier 3 Intervention'!AA399+30</f>
        <v>#VALUE!</v>
      </c>
      <c r="I107" s="761"/>
      <c r="J107" s="762" t="e">
        <f t="shared" si="2"/>
        <v>#VALUE!</v>
      </c>
      <c r="K107" s="395"/>
      <c r="L107" s="47" t="s">
        <v>884</v>
      </c>
      <c r="M107" s="46"/>
      <c r="N107" s="46"/>
      <c r="O107" s="46"/>
      <c r="P107" s="49"/>
      <c r="Q107" s="19"/>
      <c r="R107" s="20"/>
      <c r="S107" s="20"/>
      <c r="T107" s="20"/>
      <c r="U107" s="20"/>
      <c r="V107" s="21"/>
      <c r="W107" s="22"/>
      <c r="X107" s="22"/>
      <c r="Y107" s="22"/>
      <c r="Z107" s="22"/>
      <c r="AA107" s="19"/>
      <c r="AB107" s="20"/>
      <c r="AC107" s="20"/>
      <c r="AD107" s="20"/>
      <c r="AE107" s="20"/>
      <c r="AF107" s="21"/>
      <c r="AG107" s="22"/>
      <c r="AH107" s="22"/>
      <c r="AI107" s="22"/>
      <c r="AJ107" s="22"/>
      <c r="AK107" s="19"/>
      <c r="AL107" s="20"/>
      <c r="AM107" s="20"/>
      <c r="AN107" s="20"/>
      <c r="AO107" s="20"/>
      <c r="AP107" s="21"/>
      <c r="AQ107" s="22"/>
      <c r="AR107" s="22"/>
      <c r="AS107" s="22"/>
      <c r="AT107" s="22"/>
      <c r="AU107" s="19"/>
      <c r="AV107" s="20"/>
      <c r="AW107" s="20"/>
      <c r="AX107" s="20"/>
      <c r="AY107" s="20"/>
      <c r="AZ107" s="21"/>
      <c r="BA107" s="22"/>
      <c r="BB107" s="22"/>
      <c r="BC107" s="22"/>
      <c r="BD107" s="22"/>
      <c r="BE107" s="19"/>
      <c r="BF107" s="20"/>
      <c r="BG107" s="20"/>
      <c r="BH107" s="20"/>
      <c r="BI107" s="20"/>
      <c r="BJ107" s="21"/>
      <c r="BK107" s="22"/>
      <c r="BL107" s="22"/>
      <c r="BM107" s="22"/>
      <c r="BN107" s="22"/>
      <c r="BO107" s="19"/>
      <c r="BP107" s="20"/>
      <c r="BQ107" s="20"/>
      <c r="BR107" s="20"/>
      <c r="BS107" s="20"/>
      <c r="BT107" s="21"/>
      <c r="BU107" s="22"/>
      <c r="BV107" s="22"/>
      <c r="BW107" s="22"/>
      <c r="BX107" s="22"/>
      <c r="BY107" s="23"/>
      <c r="BZ107" s="24"/>
      <c r="CA107" s="24"/>
      <c r="CB107" s="24"/>
      <c r="CC107" s="24"/>
      <c r="CD107" s="25"/>
      <c r="CE107" s="26"/>
      <c r="CF107" s="26"/>
      <c r="CG107" s="26"/>
      <c r="CH107" s="26"/>
      <c r="CI107" s="27"/>
      <c r="CJ107" s="28"/>
      <c r="CK107" s="28"/>
      <c r="CL107" s="28"/>
      <c r="CM107" s="28"/>
      <c r="CN107" s="25"/>
      <c r="CO107" s="26"/>
      <c r="CP107" s="26"/>
      <c r="CQ107" s="26"/>
      <c r="CR107" s="26"/>
      <c r="CS107" s="27"/>
      <c r="CT107" s="28"/>
      <c r="CU107" s="28"/>
      <c r="CV107" s="28"/>
      <c r="CW107" s="28"/>
      <c r="CX107" s="25"/>
      <c r="CY107" s="26"/>
      <c r="CZ107" s="26"/>
      <c r="DA107" s="26"/>
      <c r="DB107" s="26"/>
      <c r="DC107" s="27"/>
      <c r="DD107" s="28"/>
      <c r="DE107" s="28"/>
      <c r="DF107" s="28"/>
      <c r="DG107" s="28"/>
      <c r="DH107" s="25"/>
      <c r="DI107" s="26"/>
      <c r="DJ107" s="26"/>
      <c r="DK107" s="26"/>
      <c r="DL107" s="26"/>
      <c r="DM107" s="27"/>
      <c r="DN107" s="28"/>
      <c r="DO107" s="28"/>
      <c r="DP107" s="28"/>
      <c r="DQ107" s="28"/>
      <c r="DR107" s="25"/>
      <c r="DS107" s="26"/>
      <c r="DT107" s="26"/>
      <c r="DU107" s="26"/>
      <c r="DV107" s="26"/>
      <c r="DW107" s="27"/>
      <c r="DX107" s="28"/>
      <c r="DY107" s="28"/>
      <c r="DZ107" s="28"/>
      <c r="EA107" s="28"/>
      <c r="EB107" s="29"/>
      <c r="EC107" s="30"/>
      <c r="ED107" s="30"/>
      <c r="EE107" s="30"/>
      <c r="EF107" s="30"/>
      <c r="EG107" s="31"/>
      <c r="EH107" s="32"/>
      <c r="EI107" s="32"/>
      <c r="EJ107" s="32"/>
      <c r="EK107" s="32"/>
      <c r="EL107" s="29"/>
      <c r="EM107" s="30"/>
      <c r="EN107" s="30"/>
      <c r="EO107" s="30"/>
      <c r="EP107" s="30"/>
      <c r="EQ107" s="31"/>
      <c r="ER107" s="32"/>
      <c r="ES107" s="32"/>
      <c r="ET107" s="32"/>
      <c r="EU107" s="32"/>
      <c r="EV107" s="29"/>
      <c r="EW107" s="30"/>
      <c r="EX107" s="30"/>
      <c r="EY107" s="30"/>
      <c r="EZ107" s="30"/>
      <c r="FA107" s="31"/>
      <c r="FB107" s="32"/>
      <c r="FC107" s="32"/>
      <c r="FD107" s="32"/>
      <c r="FE107" s="32"/>
      <c r="FF107" s="29"/>
      <c r="FG107" s="30"/>
      <c r="FH107" s="30"/>
      <c r="FI107" s="30"/>
      <c r="FJ107" s="30"/>
      <c r="FK107" s="31"/>
      <c r="FL107" s="32"/>
      <c r="FM107" s="32"/>
      <c r="FN107" s="32"/>
      <c r="FO107" s="32"/>
      <c r="FP107" s="29"/>
      <c r="FQ107" s="30"/>
      <c r="FR107" s="30"/>
      <c r="FS107" s="30"/>
      <c r="FT107" s="30"/>
      <c r="FU107" s="31"/>
      <c r="FV107" s="32"/>
      <c r="FW107" s="32"/>
      <c r="FX107" s="32"/>
      <c r="FY107" s="32"/>
      <c r="FZ107" s="29"/>
      <c r="GA107" s="30"/>
      <c r="GB107" s="30"/>
      <c r="GC107" s="30"/>
      <c r="GD107" s="30"/>
    </row>
    <row r="108" spans="1:186" ht="48" x14ac:dyDescent="0.25">
      <c r="A108" s="156">
        <v>99</v>
      </c>
      <c r="B108" s="395">
        <f>'Tier 3 Intervention'!B403</f>
        <v>0</v>
      </c>
      <c r="C108" s="395"/>
      <c r="D108" s="395"/>
      <c r="E108" s="395"/>
      <c r="F108" s="395"/>
      <c r="G108" s="395"/>
      <c r="H108" s="761" t="e">
        <f>'Tier 3 Intervention'!AA403+30</f>
        <v>#VALUE!</v>
      </c>
      <c r="I108" s="761"/>
      <c r="J108" s="762" t="e">
        <f t="shared" si="2"/>
        <v>#VALUE!</v>
      </c>
      <c r="K108" s="395"/>
      <c r="L108" s="47" t="s">
        <v>885</v>
      </c>
      <c r="M108" s="46"/>
      <c r="N108" s="46"/>
      <c r="O108" s="46"/>
      <c r="P108" s="49"/>
      <c r="Q108" s="19"/>
      <c r="R108" s="20"/>
      <c r="S108" s="20"/>
      <c r="T108" s="20"/>
      <c r="U108" s="20"/>
      <c r="V108" s="21"/>
      <c r="W108" s="22"/>
      <c r="X108" s="22"/>
      <c r="Y108" s="22"/>
      <c r="Z108" s="22"/>
      <c r="AA108" s="19"/>
      <c r="AB108" s="20"/>
      <c r="AC108" s="20"/>
      <c r="AD108" s="20"/>
      <c r="AE108" s="20"/>
      <c r="AF108" s="21"/>
      <c r="AG108" s="22"/>
      <c r="AH108" s="22"/>
      <c r="AI108" s="22"/>
      <c r="AJ108" s="22"/>
      <c r="AK108" s="19"/>
      <c r="AL108" s="20"/>
      <c r="AM108" s="20"/>
      <c r="AN108" s="20"/>
      <c r="AO108" s="20"/>
      <c r="AP108" s="21"/>
      <c r="AQ108" s="22"/>
      <c r="AR108" s="22"/>
      <c r="AS108" s="22"/>
      <c r="AT108" s="22"/>
      <c r="AU108" s="19"/>
      <c r="AV108" s="20"/>
      <c r="AW108" s="20"/>
      <c r="AX108" s="20"/>
      <c r="AY108" s="20"/>
      <c r="AZ108" s="21"/>
      <c r="BA108" s="22"/>
      <c r="BB108" s="22"/>
      <c r="BC108" s="22"/>
      <c r="BD108" s="22"/>
      <c r="BE108" s="19"/>
      <c r="BF108" s="20"/>
      <c r="BG108" s="20"/>
      <c r="BH108" s="20"/>
      <c r="BI108" s="20"/>
      <c r="BJ108" s="21"/>
      <c r="BK108" s="22"/>
      <c r="BL108" s="22"/>
      <c r="BM108" s="22"/>
      <c r="BN108" s="22"/>
      <c r="BO108" s="19"/>
      <c r="BP108" s="20"/>
      <c r="BQ108" s="20"/>
      <c r="BR108" s="20"/>
      <c r="BS108" s="20"/>
      <c r="BT108" s="21"/>
      <c r="BU108" s="22"/>
      <c r="BV108" s="22"/>
      <c r="BW108" s="22"/>
      <c r="BX108" s="22"/>
      <c r="BY108" s="23"/>
      <c r="BZ108" s="24"/>
      <c r="CA108" s="24"/>
      <c r="CB108" s="24"/>
      <c r="CC108" s="24"/>
      <c r="CD108" s="25"/>
      <c r="CE108" s="26"/>
      <c r="CF108" s="26"/>
      <c r="CG108" s="26"/>
      <c r="CH108" s="26"/>
      <c r="CI108" s="27"/>
      <c r="CJ108" s="28"/>
      <c r="CK108" s="28"/>
      <c r="CL108" s="28"/>
      <c r="CM108" s="28"/>
      <c r="CN108" s="25"/>
      <c r="CO108" s="26"/>
      <c r="CP108" s="26"/>
      <c r="CQ108" s="26"/>
      <c r="CR108" s="26"/>
      <c r="CS108" s="27"/>
      <c r="CT108" s="28"/>
      <c r="CU108" s="28"/>
      <c r="CV108" s="28"/>
      <c r="CW108" s="28"/>
      <c r="CX108" s="25"/>
      <c r="CY108" s="26"/>
      <c r="CZ108" s="26"/>
      <c r="DA108" s="26"/>
      <c r="DB108" s="26"/>
      <c r="DC108" s="27"/>
      <c r="DD108" s="28"/>
      <c r="DE108" s="28"/>
      <c r="DF108" s="28"/>
      <c r="DG108" s="28"/>
      <c r="DH108" s="25"/>
      <c r="DI108" s="26"/>
      <c r="DJ108" s="26"/>
      <c r="DK108" s="26"/>
      <c r="DL108" s="26"/>
      <c r="DM108" s="27"/>
      <c r="DN108" s="28"/>
      <c r="DO108" s="28"/>
      <c r="DP108" s="28"/>
      <c r="DQ108" s="28"/>
      <c r="DR108" s="25"/>
      <c r="DS108" s="26"/>
      <c r="DT108" s="26"/>
      <c r="DU108" s="26"/>
      <c r="DV108" s="26"/>
      <c r="DW108" s="27"/>
      <c r="DX108" s="28"/>
      <c r="DY108" s="28"/>
      <c r="DZ108" s="28"/>
      <c r="EA108" s="28"/>
      <c r="EB108" s="29"/>
      <c r="EC108" s="30"/>
      <c r="ED108" s="30"/>
      <c r="EE108" s="30"/>
      <c r="EF108" s="30"/>
      <c r="EG108" s="31"/>
      <c r="EH108" s="32"/>
      <c r="EI108" s="32"/>
      <c r="EJ108" s="32"/>
      <c r="EK108" s="32"/>
      <c r="EL108" s="29"/>
      <c r="EM108" s="30"/>
      <c r="EN108" s="30"/>
      <c r="EO108" s="30"/>
      <c r="EP108" s="30"/>
      <c r="EQ108" s="31"/>
      <c r="ER108" s="32"/>
      <c r="ES108" s="32"/>
      <c r="ET108" s="32"/>
      <c r="EU108" s="32"/>
      <c r="EV108" s="29"/>
      <c r="EW108" s="30"/>
      <c r="EX108" s="30"/>
      <c r="EY108" s="30"/>
      <c r="EZ108" s="30"/>
      <c r="FA108" s="31"/>
      <c r="FB108" s="32"/>
      <c r="FC108" s="32"/>
      <c r="FD108" s="32"/>
      <c r="FE108" s="32"/>
      <c r="FF108" s="29"/>
      <c r="FG108" s="30"/>
      <c r="FH108" s="30"/>
      <c r="FI108" s="30"/>
      <c r="FJ108" s="30"/>
      <c r="FK108" s="31"/>
      <c r="FL108" s="32"/>
      <c r="FM108" s="32"/>
      <c r="FN108" s="32"/>
      <c r="FO108" s="32"/>
      <c r="FP108" s="29"/>
      <c r="FQ108" s="30"/>
      <c r="FR108" s="30"/>
      <c r="FS108" s="30"/>
      <c r="FT108" s="30"/>
      <c r="FU108" s="31"/>
      <c r="FV108" s="32"/>
      <c r="FW108" s="32"/>
      <c r="FX108" s="32"/>
      <c r="FY108" s="32"/>
      <c r="FZ108" s="29"/>
      <c r="GA108" s="30"/>
      <c r="GB108" s="30"/>
      <c r="GC108" s="30"/>
      <c r="GD108" s="30"/>
    </row>
    <row r="109" spans="1:186" ht="48" x14ac:dyDescent="0.25">
      <c r="A109" s="156">
        <v>100</v>
      </c>
      <c r="B109" s="395">
        <f>'Tier 3 Intervention'!B407</f>
        <v>0</v>
      </c>
      <c r="C109" s="395"/>
      <c r="D109" s="395"/>
      <c r="E109" s="395"/>
      <c r="F109" s="395"/>
      <c r="G109" s="395"/>
      <c r="H109" s="761" t="e">
        <f>'Tier 3 Intervention'!AA407+30</f>
        <v>#VALUE!</v>
      </c>
      <c r="I109" s="761"/>
      <c r="J109" s="762" t="e">
        <f t="shared" si="2"/>
        <v>#VALUE!</v>
      </c>
      <c r="K109" s="395"/>
      <c r="L109" s="47" t="s">
        <v>886</v>
      </c>
      <c r="M109" s="46"/>
      <c r="N109" s="46"/>
      <c r="O109" s="46"/>
      <c r="P109" s="49"/>
      <c r="Q109" s="19"/>
      <c r="R109" s="20"/>
      <c r="S109" s="20"/>
      <c r="T109" s="20"/>
      <c r="U109" s="20"/>
      <c r="V109" s="21"/>
      <c r="W109" s="22"/>
      <c r="X109" s="22"/>
      <c r="Y109" s="22"/>
      <c r="Z109" s="22"/>
      <c r="AA109" s="19"/>
      <c r="AB109" s="20"/>
      <c r="AC109" s="20"/>
      <c r="AD109" s="20"/>
      <c r="AE109" s="20"/>
      <c r="AF109" s="21"/>
      <c r="AG109" s="22"/>
      <c r="AH109" s="22"/>
      <c r="AI109" s="22"/>
      <c r="AJ109" s="22"/>
      <c r="AK109" s="19"/>
      <c r="AL109" s="20"/>
      <c r="AM109" s="20"/>
      <c r="AN109" s="20"/>
      <c r="AO109" s="20"/>
      <c r="AP109" s="21"/>
      <c r="AQ109" s="22"/>
      <c r="AR109" s="22"/>
      <c r="AS109" s="22"/>
      <c r="AT109" s="22"/>
      <c r="AU109" s="19"/>
      <c r="AV109" s="20"/>
      <c r="AW109" s="20"/>
      <c r="AX109" s="20"/>
      <c r="AY109" s="20"/>
      <c r="AZ109" s="21"/>
      <c r="BA109" s="22"/>
      <c r="BB109" s="22"/>
      <c r="BC109" s="22"/>
      <c r="BD109" s="22"/>
      <c r="BE109" s="19"/>
      <c r="BF109" s="20"/>
      <c r="BG109" s="20"/>
      <c r="BH109" s="20"/>
      <c r="BI109" s="20"/>
      <c r="BJ109" s="21"/>
      <c r="BK109" s="22"/>
      <c r="BL109" s="22"/>
      <c r="BM109" s="22"/>
      <c r="BN109" s="22"/>
      <c r="BO109" s="19"/>
      <c r="BP109" s="20"/>
      <c r="BQ109" s="20"/>
      <c r="BR109" s="20"/>
      <c r="BS109" s="20"/>
      <c r="BT109" s="21"/>
      <c r="BU109" s="22"/>
      <c r="BV109" s="22"/>
      <c r="BW109" s="22"/>
      <c r="BX109" s="22"/>
      <c r="BY109" s="23"/>
      <c r="BZ109" s="24"/>
      <c r="CA109" s="24"/>
      <c r="CB109" s="24"/>
      <c r="CC109" s="24"/>
      <c r="CD109" s="25"/>
      <c r="CE109" s="26"/>
      <c r="CF109" s="26"/>
      <c r="CG109" s="26"/>
      <c r="CH109" s="26"/>
      <c r="CI109" s="27"/>
      <c r="CJ109" s="28"/>
      <c r="CK109" s="28"/>
      <c r="CL109" s="28"/>
      <c r="CM109" s="28"/>
      <c r="CN109" s="25"/>
      <c r="CO109" s="26"/>
      <c r="CP109" s="26"/>
      <c r="CQ109" s="26"/>
      <c r="CR109" s="26"/>
      <c r="CS109" s="27"/>
      <c r="CT109" s="28"/>
      <c r="CU109" s="28"/>
      <c r="CV109" s="28"/>
      <c r="CW109" s="28"/>
      <c r="CX109" s="25"/>
      <c r="CY109" s="26"/>
      <c r="CZ109" s="26"/>
      <c r="DA109" s="26"/>
      <c r="DB109" s="26"/>
      <c r="DC109" s="27"/>
      <c r="DD109" s="28"/>
      <c r="DE109" s="28"/>
      <c r="DF109" s="28"/>
      <c r="DG109" s="28"/>
      <c r="DH109" s="25"/>
      <c r="DI109" s="26"/>
      <c r="DJ109" s="26"/>
      <c r="DK109" s="26"/>
      <c r="DL109" s="26"/>
      <c r="DM109" s="27"/>
      <c r="DN109" s="28"/>
      <c r="DO109" s="28"/>
      <c r="DP109" s="28"/>
      <c r="DQ109" s="28"/>
      <c r="DR109" s="25"/>
      <c r="DS109" s="26"/>
      <c r="DT109" s="26"/>
      <c r="DU109" s="26"/>
      <c r="DV109" s="26"/>
      <c r="DW109" s="27"/>
      <c r="DX109" s="28"/>
      <c r="DY109" s="28"/>
      <c r="DZ109" s="28"/>
      <c r="EA109" s="28"/>
      <c r="EB109" s="29"/>
      <c r="EC109" s="30"/>
      <c r="ED109" s="30"/>
      <c r="EE109" s="30"/>
      <c r="EF109" s="30"/>
      <c r="EG109" s="31"/>
      <c r="EH109" s="32"/>
      <c r="EI109" s="32"/>
      <c r="EJ109" s="32"/>
      <c r="EK109" s="32"/>
      <c r="EL109" s="29"/>
      <c r="EM109" s="30"/>
      <c r="EN109" s="30"/>
      <c r="EO109" s="30"/>
      <c r="EP109" s="30"/>
      <c r="EQ109" s="31"/>
      <c r="ER109" s="32"/>
      <c r="ES109" s="32"/>
      <c r="ET109" s="32"/>
      <c r="EU109" s="32"/>
      <c r="EV109" s="29"/>
      <c r="EW109" s="30"/>
      <c r="EX109" s="30"/>
      <c r="EY109" s="30"/>
      <c r="EZ109" s="30"/>
      <c r="FA109" s="31"/>
      <c r="FB109" s="32"/>
      <c r="FC109" s="32"/>
      <c r="FD109" s="32"/>
      <c r="FE109" s="32"/>
      <c r="FF109" s="29"/>
      <c r="FG109" s="30"/>
      <c r="FH109" s="30"/>
      <c r="FI109" s="30"/>
      <c r="FJ109" s="30"/>
      <c r="FK109" s="31"/>
      <c r="FL109" s="32"/>
      <c r="FM109" s="32"/>
      <c r="FN109" s="32"/>
      <c r="FO109" s="32"/>
      <c r="FP109" s="29"/>
      <c r="FQ109" s="30"/>
      <c r="FR109" s="30"/>
      <c r="FS109" s="30"/>
      <c r="FT109" s="30"/>
      <c r="FU109" s="31"/>
      <c r="FV109" s="32"/>
      <c r="FW109" s="32"/>
      <c r="FX109" s="32"/>
      <c r="FY109" s="32"/>
      <c r="FZ109" s="29"/>
      <c r="GA109" s="30"/>
      <c r="GB109" s="30"/>
      <c r="GC109" s="30"/>
      <c r="GD109" s="30"/>
    </row>
    <row r="110" spans="1:186" ht="48" x14ac:dyDescent="0.25">
      <c r="A110" s="156">
        <v>101</v>
      </c>
      <c r="B110" s="395">
        <f>'Tier 3 Intervention'!B411</f>
        <v>0</v>
      </c>
      <c r="C110" s="395"/>
      <c r="D110" s="395"/>
      <c r="E110" s="395"/>
      <c r="F110" s="395"/>
      <c r="G110" s="395"/>
      <c r="H110" s="761" t="e">
        <f>'Tier 3 Intervention'!AA411+30</f>
        <v>#VALUE!</v>
      </c>
      <c r="I110" s="761"/>
      <c r="J110" s="762" t="e">
        <f t="shared" si="2"/>
        <v>#VALUE!</v>
      </c>
      <c r="K110" s="395"/>
      <c r="L110" s="47" t="s">
        <v>887</v>
      </c>
      <c r="M110" s="46"/>
      <c r="N110" s="46"/>
      <c r="O110" s="46"/>
      <c r="P110" s="49"/>
      <c r="Q110" s="19"/>
      <c r="R110" s="20"/>
      <c r="S110" s="20"/>
      <c r="T110" s="20"/>
      <c r="U110" s="20"/>
      <c r="V110" s="21"/>
      <c r="W110" s="22"/>
      <c r="X110" s="22"/>
      <c r="Y110" s="22"/>
      <c r="Z110" s="22"/>
      <c r="AA110" s="19"/>
      <c r="AB110" s="20"/>
      <c r="AC110" s="20"/>
      <c r="AD110" s="20"/>
      <c r="AE110" s="20"/>
      <c r="AF110" s="21"/>
      <c r="AG110" s="22"/>
      <c r="AH110" s="22"/>
      <c r="AI110" s="22"/>
      <c r="AJ110" s="22"/>
      <c r="AK110" s="19"/>
      <c r="AL110" s="20"/>
      <c r="AM110" s="20"/>
      <c r="AN110" s="20"/>
      <c r="AO110" s="20"/>
      <c r="AP110" s="21"/>
      <c r="AQ110" s="22"/>
      <c r="AR110" s="22"/>
      <c r="AS110" s="22"/>
      <c r="AT110" s="22"/>
      <c r="AU110" s="19"/>
      <c r="AV110" s="20"/>
      <c r="AW110" s="20"/>
      <c r="AX110" s="20"/>
      <c r="AY110" s="20"/>
      <c r="AZ110" s="21"/>
      <c r="BA110" s="22"/>
      <c r="BB110" s="22"/>
      <c r="BC110" s="22"/>
      <c r="BD110" s="22"/>
      <c r="BE110" s="19"/>
      <c r="BF110" s="20"/>
      <c r="BG110" s="20"/>
      <c r="BH110" s="20"/>
      <c r="BI110" s="20"/>
      <c r="BJ110" s="21"/>
      <c r="BK110" s="22"/>
      <c r="BL110" s="22"/>
      <c r="BM110" s="22"/>
      <c r="BN110" s="22"/>
      <c r="BO110" s="19"/>
      <c r="BP110" s="20"/>
      <c r="BQ110" s="20"/>
      <c r="BR110" s="20"/>
      <c r="BS110" s="20"/>
      <c r="BT110" s="21"/>
      <c r="BU110" s="22"/>
      <c r="BV110" s="22"/>
      <c r="BW110" s="22"/>
      <c r="BX110" s="22"/>
      <c r="BY110" s="23"/>
      <c r="BZ110" s="24"/>
      <c r="CA110" s="24"/>
      <c r="CB110" s="24"/>
      <c r="CC110" s="24"/>
      <c r="CD110" s="25"/>
      <c r="CE110" s="26"/>
      <c r="CF110" s="26"/>
      <c r="CG110" s="26"/>
      <c r="CH110" s="26"/>
      <c r="CI110" s="27"/>
      <c r="CJ110" s="28"/>
      <c r="CK110" s="28"/>
      <c r="CL110" s="28"/>
      <c r="CM110" s="28"/>
      <c r="CN110" s="25"/>
      <c r="CO110" s="26"/>
      <c r="CP110" s="26"/>
      <c r="CQ110" s="26"/>
      <c r="CR110" s="26"/>
      <c r="CS110" s="27"/>
      <c r="CT110" s="28"/>
      <c r="CU110" s="28"/>
      <c r="CV110" s="28"/>
      <c r="CW110" s="28"/>
      <c r="CX110" s="25"/>
      <c r="CY110" s="26"/>
      <c r="CZ110" s="26"/>
      <c r="DA110" s="26"/>
      <c r="DB110" s="26"/>
      <c r="DC110" s="27"/>
      <c r="DD110" s="28"/>
      <c r="DE110" s="28"/>
      <c r="DF110" s="28"/>
      <c r="DG110" s="28"/>
      <c r="DH110" s="25"/>
      <c r="DI110" s="26"/>
      <c r="DJ110" s="26"/>
      <c r="DK110" s="26"/>
      <c r="DL110" s="26"/>
      <c r="DM110" s="27"/>
      <c r="DN110" s="28"/>
      <c r="DO110" s="28"/>
      <c r="DP110" s="28"/>
      <c r="DQ110" s="28"/>
      <c r="DR110" s="25"/>
      <c r="DS110" s="26"/>
      <c r="DT110" s="26"/>
      <c r="DU110" s="26"/>
      <c r="DV110" s="26"/>
      <c r="DW110" s="27"/>
      <c r="DX110" s="28"/>
      <c r="DY110" s="28"/>
      <c r="DZ110" s="28"/>
      <c r="EA110" s="28"/>
      <c r="EB110" s="29"/>
      <c r="EC110" s="30"/>
      <c r="ED110" s="30"/>
      <c r="EE110" s="30"/>
      <c r="EF110" s="30"/>
      <c r="EG110" s="31"/>
      <c r="EH110" s="32"/>
      <c r="EI110" s="32"/>
      <c r="EJ110" s="32"/>
      <c r="EK110" s="32"/>
      <c r="EL110" s="29"/>
      <c r="EM110" s="30"/>
      <c r="EN110" s="30"/>
      <c r="EO110" s="30"/>
      <c r="EP110" s="30"/>
      <c r="EQ110" s="31"/>
      <c r="ER110" s="32"/>
      <c r="ES110" s="32"/>
      <c r="ET110" s="32"/>
      <c r="EU110" s="32"/>
      <c r="EV110" s="29"/>
      <c r="EW110" s="30"/>
      <c r="EX110" s="30"/>
      <c r="EY110" s="30"/>
      <c r="EZ110" s="30"/>
      <c r="FA110" s="31"/>
      <c r="FB110" s="32"/>
      <c r="FC110" s="32"/>
      <c r="FD110" s="32"/>
      <c r="FE110" s="32"/>
      <c r="FF110" s="29"/>
      <c r="FG110" s="30"/>
      <c r="FH110" s="30"/>
      <c r="FI110" s="30"/>
      <c r="FJ110" s="30"/>
      <c r="FK110" s="31"/>
      <c r="FL110" s="32"/>
      <c r="FM110" s="32"/>
      <c r="FN110" s="32"/>
      <c r="FO110" s="32"/>
      <c r="FP110" s="29"/>
      <c r="FQ110" s="30"/>
      <c r="FR110" s="30"/>
      <c r="FS110" s="30"/>
      <c r="FT110" s="30"/>
      <c r="FU110" s="31"/>
      <c r="FV110" s="32"/>
      <c r="FW110" s="32"/>
      <c r="FX110" s="32"/>
      <c r="FY110" s="32"/>
      <c r="FZ110" s="29"/>
      <c r="GA110" s="30"/>
      <c r="GB110" s="30"/>
      <c r="GC110" s="30"/>
      <c r="GD110" s="30"/>
    </row>
    <row r="111" spans="1:186" ht="48" x14ac:dyDescent="0.25">
      <c r="A111" s="156">
        <v>102</v>
      </c>
      <c r="B111" s="395">
        <f>'Tier 3 Intervention'!B415</f>
        <v>0</v>
      </c>
      <c r="C111" s="395"/>
      <c r="D111" s="395"/>
      <c r="E111" s="395"/>
      <c r="F111" s="395"/>
      <c r="G111" s="395"/>
      <c r="H111" s="761" t="e">
        <f>'Tier 3 Intervention'!AA415+30</f>
        <v>#VALUE!</v>
      </c>
      <c r="I111" s="761"/>
      <c r="J111" s="762" t="e">
        <f t="shared" si="2"/>
        <v>#VALUE!</v>
      </c>
      <c r="K111" s="395"/>
      <c r="L111" s="47" t="s">
        <v>888</v>
      </c>
      <c r="M111" s="46"/>
      <c r="N111" s="46"/>
      <c r="O111" s="46"/>
      <c r="P111" s="49"/>
      <c r="Q111" s="19"/>
      <c r="R111" s="20"/>
      <c r="S111" s="20"/>
      <c r="T111" s="20"/>
      <c r="U111" s="20"/>
      <c r="V111" s="21"/>
      <c r="W111" s="22"/>
      <c r="X111" s="22"/>
      <c r="Y111" s="22"/>
      <c r="Z111" s="22"/>
      <c r="AA111" s="19"/>
      <c r="AB111" s="20"/>
      <c r="AC111" s="20"/>
      <c r="AD111" s="20"/>
      <c r="AE111" s="20"/>
      <c r="AF111" s="21"/>
      <c r="AG111" s="22"/>
      <c r="AH111" s="22"/>
      <c r="AI111" s="22"/>
      <c r="AJ111" s="22"/>
      <c r="AK111" s="19"/>
      <c r="AL111" s="20"/>
      <c r="AM111" s="20"/>
      <c r="AN111" s="20"/>
      <c r="AO111" s="20"/>
      <c r="AP111" s="21"/>
      <c r="AQ111" s="22"/>
      <c r="AR111" s="22"/>
      <c r="AS111" s="22"/>
      <c r="AT111" s="22"/>
      <c r="AU111" s="19"/>
      <c r="AV111" s="20"/>
      <c r="AW111" s="20"/>
      <c r="AX111" s="20"/>
      <c r="AY111" s="20"/>
      <c r="AZ111" s="21"/>
      <c r="BA111" s="22"/>
      <c r="BB111" s="22"/>
      <c r="BC111" s="22"/>
      <c r="BD111" s="22"/>
      <c r="BE111" s="19"/>
      <c r="BF111" s="20"/>
      <c r="BG111" s="20"/>
      <c r="BH111" s="20"/>
      <c r="BI111" s="20"/>
      <c r="BJ111" s="21"/>
      <c r="BK111" s="22"/>
      <c r="BL111" s="22"/>
      <c r="BM111" s="22"/>
      <c r="BN111" s="22"/>
      <c r="BO111" s="19"/>
      <c r="BP111" s="20"/>
      <c r="BQ111" s="20"/>
      <c r="BR111" s="20"/>
      <c r="BS111" s="20"/>
      <c r="BT111" s="21"/>
      <c r="BU111" s="22"/>
      <c r="BV111" s="22"/>
      <c r="BW111" s="22"/>
      <c r="BX111" s="22"/>
      <c r="BY111" s="23"/>
      <c r="BZ111" s="24"/>
      <c r="CA111" s="24"/>
      <c r="CB111" s="24"/>
      <c r="CC111" s="24"/>
      <c r="CD111" s="25"/>
      <c r="CE111" s="26"/>
      <c r="CF111" s="26"/>
      <c r="CG111" s="26"/>
      <c r="CH111" s="26"/>
      <c r="CI111" s="27"/>
      <c r="CJ111" s="28"/>
      <c r="CK111" s="28"/>
      <c r="CL111" s="28"/>
      <c r="CM111" s="28"/>
      <c r="CN111" s="25"/>
      <c r="CO111" s="26"/>
      <c r="CP111" s="26"/>
      <c r="CQ111" s="26"/>
      <c r="CR111" s="26"/>
      <c r="CS111" s="27"/>
      <c r="CT111" s="28"/>
      <c r="CU111" s="28"/>
      <c r="CV111" s="28"/>
      <c r="CW111" s="28"/>
      <c r="CX111" s="25"/>
      <c r="CY111" s="26"/>
      <c r="CZ111" s="26"/>
      <c r="DA111" s="26"/>
      <c r="DB111" s="26"/>
      <c r="DC111" s="27"/>
      <c r="DD111" s="28"/>
      <c r="DE111" s="28"/>
      <c r="DF111" s="28"/>
      <c r="DG111" s="28"/>
      <c r="DH111" s="25"/>
      <c r="DI111" s="26"/>
      <c r="DJ111" s="26"/>
      <c r="DK111" s="26"/>
      <c r="DL111" s="26"/>
      <c r="DM111" s="27"/>
      <c r="DN111" s="28"/>
      <c r="DO111" s="28"/>
      <c r="DP111" s="28"/>
      <c r="DQ111" s="28"/>
      <c r="DR111" s="25"/>
      <c r="DS111" s="26"/>
      <c r="DT111" s="26"/>
      <c r="DU111" s="26"/>
      <c r="DV111" s="26"/>
      <c r="DW111" s="27"/>
      <c r="DX111" s="28"/>
      <c r="DY111" s="28"/>
      <c r="DZ111" s="28"/>
      <c r="EA111" s="28"/>
      <c r="EB111" s="29"/>
      <c r="EC111" s="30"/>
      <c r="ED111" s="30"/>
      <c r="EE111" s="30"/>
      <c r="EF111" s="30"/>
      <c r="EG111" s="31"/>
      <c r="EH111" s="32"/>
      <c r="EI111" s="32"/>
      <c r="EJ111" s="32"/>
      <c r="EK111" s="32"/>
      <c r="EL111" s="29"/>
      <c r="EM111" s="30"/>
      <c r="EN111" s="30"/>
      <c r="EO111" s="30"/>
      <c r="EP111" s="30"/>
      <c r="EQ111" s="31"/>
      <c r="ER111" s="32"/>
      <c r="ES111" s="32"/>
      <c r="ET111" s="32"/>
      <c r="EU111" s="32"/>
      <c r="EV111" s="29"/>
      <c r="EW111" s="30"/>
      <c r="EX111" s="30"/>
      <c r="EY111" s="30"/>
      <c r="EZ111" s="30"/>
      <c r="FA111" s="31"/>
      <c r="FB111" s="32"/>
      <c r="FC111" s="32"/>
      <c r="FD111" s="32"/>
      <c r="FE111" s="32"/>
      <c r="FF111" s="29"/>
      <c r="FG111" s="30"/>
      <c r="FH111" s="30"/>
      <c r="FI111" s="30"/>
      <c r="FJ111" s="30"/>
      <c r="FK111" s="31"/>
      <c r="FL111" s="32"/>
      <c r="FM111" s="32"/>
      <c r="FN111" s="32"/>
      <c r="FO111" s="32"/>
      <c r="FP111" s="29"/>
      <c r="FQ111" s="30"/>
      <c r="FR111" s="30"/>
      <c r="FS111" s="30"/>
      <c r="FT111" s="30"/>
      <c r="FU111" s="31"/>
      <c r="FV111" s="32"/>
      <c r="FW111" s="32"/>
      <c r="FX111" s="32"/>
      <c r="FY111" s="32"/>
      <c r="FZ111" s="29"/>
      <c r="GA111" s="30"/>
      <c r="GB111" s="30"/>
      <c r="GC111" s="30"/>
      <c r="GD111" s="30"/>
    </row>
    <row r="112" spans="1:186" ht="48" x14ac:dyDescent="0.25">
      <c r="A112" s="156">
        <v>103</v>
      </c>
      <c r="B112" s="395">
        <f>'Tier 3 Intervention'!B419</f>
        <v>0</v>
      </c>
      <c r="C112" s="395"/>
      <c r="D112" s="395"/>
      <c r="E112" s="395"/>
      <c r="F112" s="395"/>
      <c r="G112" s="395"/>
      <c r="H112" s="761" t="e">
        <f>'Tier 3 Intervention'!AA419+30</f>
        <v>#VALUE!</v>
      </c>
      <c r="I112" s="761"/>
      <c r="J112" s="762" t="e">
        <f t="shared" si="2"/>
        <v>#VALUE!</v>
      </c>
      <c r="K112" s="395"/>
      <c r="L112" s="47" t="s">
        <v>889</v>
      </c>
      <c r="M112" s="46"/>
      <c r="N112" s="46"/>
      <c r="O112" s="46"/>
      <c r="P112" s="49"/>
      <c r="Q112" s="19"/>
      <c r="R112" s="20"/>
      <c r="S112" s="20"/>
      <c r="T112" s="20"/>
      <c r="U112" s="20"/>
      <c r="V112" s="21"/>
      <c r="W112" s="22"/>
      <c r="X112" s="22"/>
      <c r="Y112" s="22"/>
      <c r="Z112" s="22"/>
      <c r="AA112" s="19"/>
      <c r="AB112" s="20"/>
      <c r="AC112" s="20"/>
      <c r="AD112" s="20"/>
      <c r="AE112" s="20"/>
      <c r="AF112" s="21"/>
      <c r="AG112" s="22"/>
      <c r="AH112" s="22"/>
      <c r="AI112" s="22"/>
      <c r="AJ112" s="22"/>
      <c r="AK112" s="19"/>
      <c r="AL112" s="20"/>
      <c r="AM112" s="20"/>
      <c r="AN112" s="20"/>
      <c r="AO112" s="20"/>
      <c r="AP112" s="21"/>
      <c r="AQ112" s="22"/>
      <c r="AR112" s="22"/>
      <c r="AS112" s="22"/>
      <c r="AT112" s="22"/>
      <c r="AU112" s="19"/>
      <c r="AV112" s="20"/>
      <c r="AW112" s="20"/>
      <c r="AX112" s="20"/>
      <c r="AY112" s="20"/>
      <c r="AZ112" s="21"/>
      <c r="BA112" s="22"/>
      <c r="BB112" s="22"/>
      <c r="BC112" s="22"/>
      <c r="BD112" s="22"/>
      <c r="BE112" s="19"/>
      <c r="BF112" s="20"/>
      <c r="BG112" s="20"/>
      <c r="BH112" s="20"/>
      <c r="BI112" s="20"/>
      <c r="BJ112" s="21"/>
      <c r="BK112" s="22"/>
      <c r="BL112" s="22"/>
      <c r="BM112" s="22"/>
      <c r="BN112" s="22"/>
      <c r="BO112" s="19"/>
      <c r="BP112" s="20"/>
      <c r="BQ112" s="20"/>
      <c r="BR112" s="20"/>
      <c r="BS112" s="20"/>
      <c r="BT112" s="21"/>
      <c r="BU112" s="22"/>
      <c r="BV112" s="22"/>
      <c r="BW112" s="22"/>
      <c r="BX112" s="22"/>
      <c r="BY112" s="23"/>
      <c r="BZ112" s="24"/>
      <c r="CA112" s="24"/>
      <c r="CB112" s="24"/>
      <c r="CC112" s="24"/>
      <c r="CD112" s="25"/>
      <c r="CE112" s="26"/>
      <c r="CF112" s="26"/>
      <c r="CG112" s="26"/>
      <c r="CH112" s="26"/>
      <c r="CI112" s="27"/>
      <c r="CJ112" s="28"/>
      <c r="CK112" s="28"/>
      <c r="CL112" s="28"/>
      <c r="CM112" s="28"/>
      <c r="CN112" s="25"/>
      <c r="CO112" s="26"/>
      <c r="CP112" s="26"/>
      <c r="CQ112" s="26"/>
      <c r="CR112" s="26"/>
      <c r="CS112" s="27"/>
      <c r="CT112" s="28"/>
      <c r="CU112" s="28"/>
      <c r="CV112" s="28"/>
      <c r="CW112" s="28"/>
      <c r="CX112" s="25"/>
      <c r="CY112" s="26"/>
      <c r="CZ112" s="26"/>
      <c r="DA112" s="26"/>
      <c r="DB112" s="26"/>
      <c r="DC112" s="27"/>
      <c r="DD112" s="28"/>
      <c r="DE112" s="28"/>
      <c r="DF112" s="28"/>
      <c r="DG112" s="28"/>
      <c r="DH112" s="25"/>
      <c r="DI112" s="26"/>
      <c r="DJ112" s="26"/>
      <c r="DK112" s="26"/>
      <c r="DL112" s="26"/>
      <c r="DM112" s="27"/>
      <c r="DN112" s="28"/>
      <c r="DO112" s="28"/>
      <c r="DP112" s="28"/>
      <c r="DQ112" s="28"/>
      <c r="DR112" s="25"/>
      <c r="DS112" s="26"/>
      <c r="DT112" s="26"/>
      <c r="DU112" s="26"/>
      <c r="DV112" s="26"/>
      <c r="DW112" s="27"/>
      <c r="DX112" s="28"/>
      <c r="DY112" s="28"/>
      <c r="DZ112" s="28"/>
      <c r="EA112" s="28"/>
      <c r="EB112" s="29"/>
      <c r="EC112" s="30"/>
      <c r="ED112" s="30"/>
      <c r="EE112" s="30"/>
      <c r="EF112" s="30"/>
      <c r="EG112" s="31"/>
      <c r="EH112" s="32"/>
      <c r="EI112" s="32"/>
      <c r="EJ112" s="32"/>
      <c r="EK112" s="32"/>
      <c r="EL112" s="29"/>
      <c r="EM112" s="30"/>
      <c r="EN112" s="30"/>
      <c r="EO112" s="30"/>
      <c r="EP112" s="30"/>
      <c r="EQ112" s="31"/>
      <c r="ER112" s="32"/>
      <c r="ES112" s="32"/>
      <c r="ET112" s="32"/>
      <c r="EU112" s="32"/>
      <c r="EV112" s="29"/>
      <c r="EW112" s="30"/>
      <c r="EX112" s="30"/>
      <c r="EY112" s="30"/>
      <c r="EZ112" s="30"/>
      <c r="FA112" s="31"/>
      <c r="FB112" s="32"/>
      <c r="FC112" s="32"/>
      <c r="FD112" s="32"/>
      <c r="FE112" s="32"/>
      <c r="FF112" s="29"/>
      <c r="FG112" s="30"/>
      <c r="FH112" s="30"/>
      <c r="FI112" s="30"/>
      <c r="FJ112" s="30"/>
      <c r="FK112" s="31"/>
      <c r="FL112" s="32"/>
      <c r="FM112" s="32"/>
      <c r="FN112" s="32"/>
      <c r="FO112" s="32"/>
      <c r="FP112" s="29"/>
      <c r="FQ112" s="30"/>
      <c r="FR112" s="30"/>
      <c r="FS112" s="30"/>
      <c r="FT112" s="30"/>
      <c r="FU112" s="31"/>
      <c r="FV112" s="32"/>
      <c r="FW112" s="32"/>
      <c r="FX112" s="32"/>
      <c r="FY112" s="32"/>
      <c r="FZ112" s="29"/>
      <c r="GA112" s="30"/>
      <c r="GB112" s="30"/>
      <c r="GC112" s="30"/>
      <c r="GD112" s="30"/>
    </row>
    <row r="113" spans="1:186" ht="48" x14ac:dyDescent="0.25">
      <c r="A113" s="156">
        <v>104</v>
      </c>
      <c r="B113" s="395">
        <f>'Tier 3 Intervention'!B423</f>
        <v>0</v>
      </c>
      <c r="C113" s="395"/>
      <c r="D113" s="395"/>
      <c r="E113" s="395"/>
      <c r="F113" s="395"/>
      <c r="G113" s="395"/>
      <c r="H113" s="761" t="e">
        <f>'Tier 3 Intervention'!AA423+30</f>
        <v>#VALUE!</v>
      </c>
      <c r="I113" s="761"/>
      <c r="J113" s="762" t="e">
        <f t="shared" si="2"/>
        <v>#VALUE!</v>
      </c>
      <c r="K113" s="395"/>
      <c r="L113" s="47" t="s">
        <v>890</v>
      </c>
      <c r="M113" s="46"/>
      <c r="N113" s="46"/>
      <c r="O113" s="46"/>
      <c r="P113" s="49"/>
      <c r="Q113" s="19"/>
      <c r="R113" s="20"/>
      <c r="S113" s="20"/>
      <c r="T113" s="20"/>
      <c r="U113" s="20"/>
      <c r="V113" s="21"/>
      <c r="W113" s="22"/>
      <c r="X113" s="22"/>
      <c r="Y113" s="22"/>
      <c r="Z113" s="22"/>
      <c r="AA113" s="19"/>
      <c r="AB113" s="20"/>
      <c r="AC113" s="20"/>
      <c r="AD113" s="20"/>
      <c r="AE113" s="20"/>
      <c r="AF113" s="21"/>
      <c r="AG113" s="22"/>
      <c r="AH113" s="22"/>
      <c r="AI113" s="22"/>
      <c r="AJ113" s="22"/>
      <c r="AK113" s="19"/>
      <c r="AL113" s="20"/>
      <c r="AM113" s="20"/>
      <c r="AN113" s="20"/>
      <c r="AO113" s="20"/>
      <c r="AP113" s="21"/>
      <c r="AQ113" s="22"/>
      <c r="AR113" s="22"/>
      <c r="AS113" s="22"/>
      <c r="AT113" s="22"/>
      <c r="AU113" s="19"/>
      <c r="AV113" s="20"/>
      <c r="AW113" s="20"/>
      <c r="AX113" s="20"/>
      <c r="AY113" s="20"/>
      <c r="AZ113" s="21"/>
      <c r="BA113" s="22"/>
      <c r="BB113" s="22"/>
      <c r="BC113" s="22"/>
      <c r="BD113" s="22"/>
      <c r="BE113" s="19"/>
      <c r="BF113" s="20"/>
      <c r="BG113" s="20"/>
      <c r="BH113" s="20"/>
      <c r="BI113" s="20"/>
      <c r="BJ113" s="21"/>
      <c r="BK113" s="22"/>
      <c r="BL113" s="22"/>
      <c r="BM113" s="22"/>
      <c r="BN113" s="22"/>
      <c r="BO113" s="19"/>
      <c r="BP113" s="20"/>
      <c r="BQ113" s="20"/>
      <c r="BR113" s="20"/>
      <c r="BS113" s="20"/>
      <c r="BT113" s="21"/>
      <c r="BU113" s="22"/>
      <c r="BV113" s="22"/>
      <c r="BW113" s="22"/>
      <c r="BX113" s="22"/>
      <c r="BY113" s="23"/>
      <c r="BZ113" s="24"/>
      <c r="CA113" s="24"/>
      <c r="CB113" s="24"/>
      <c r="CC113" s="24"/>
      <c r="CD113" s="25"/>
      <c r="CE113" s="26"/>
      <c r="CF113" s="26"/>
      <c r="CG113" s="26"/>
      <c r="CH113" s="26"/>
      <c r="CI113" s="27"/>
      <c r="CJ113" s="28"/>
      <c r="CK113" s="28"/>
      <c r="CL113" s="28"/>
      <c r="CM113" s="28"/>
      <c r="CN113" s="25"/>
      <c r="CO113" s="26"/>
      <c r="CP113" s="26"/>
      <c r="CQ113" s="26"/>
      <c r="CR113" s="26"/>
      <c r="CS113" s="27"/>
      <c r="CT113" s="28"/>
      <c r="CU113" s="28"/>
      <c r="CV113" s="28"/>
      <c r="CW113" s="28"/>
      <c r="CX113" s="25"/>
      <c r="CY113" s="26"/>
      <c r="CZ113" s="26"/>
      <c r="DA113" s="26"/>
      <c r="DB113" s="26"/>
      <c r="DC113" s="27"/>
      <c r="DD113" s="28"/>
      <c r="DE113" s="28"/>
      <c r="DF113" s="28"/>
      <c r="DG113" s="28"/>
      <c r="DH113" s="25"/>
      <c r="DI113" s="26"/>
      <c r="DJ113" s="26"/>
      <c r="DK113" s="26"/>
      <c r="DL113" s="26"/>
      <c r="DM113" s="27"/>
      <c r="DN113" s="28"/>
      <c r="DO113" s="28"/>
      <c r="DP113" s="28"/>
      <c r="DQ113" s="28"/>
      <c r="DR113" s="25"/>
      <c r="DS113" s="26"/>
      <c r="DT113" s="26"/>
      <c r="DU113" s="26"/>
      <c r="DV113" s="26"/>
      <c r="DW113" s="27"/>
      <c r="DX113" s="28"/>
      <c r="DY113" s="28"/>
      <c r="DZ113" s="28"/>
      <c r="EA113" s="28"/>
      <c r="EB113" s="29"/>
      <c r="EC113" s="30"/>
      <c r="ED113" s="30"/>
      <c r="EE113" s="30"/>
      <c r="EF113" s="30"/>
      <c r="EG113" s="31"/>
      <c r="EH113" s="32"/>
      <c r="EI113" s="32"/>
      <c r="EJ113" s="32"/>
      <c r="EK113" s="32"/>
      <c r="EL113" s="29"/>
      <c r="EM113" s="30"/>
      <c r="EN113" s="30"/>
      <c r="EO113" s="30"/>
      <c r="EP113" s="30"/>
      <c r="EQ113" s="31"/>
      <c r="ER113" s="32"/>
      <c r="ES113" s="32"/>
      <c r="ET113" s="32"/>
      <c r="EU113" s="32"/>
      <c r="EV113" s="29"/>
      <c r="EW113" s="30"/>
      <c r="EX113" s="30"/>
      <c r="EY113" s="30"/>
      <c r="EZ113" s="30"/>
      <c r="FA113" s="31"/>
      <c r="FB113" s="32"/>
      <c r="FC113" s="32"/>
      <c r="FD113" s="32"/>
      <c r="FE113" s="32"/>
      <c r="FF113" s="29"/>
      <c r="FG113" s="30"/>
      <c r="FH113" s="30"/>
      <c r="FI113" s="30"/>
      <c r="FJ113" s="30"/>
      <c r="FK113" s="31"/>
      <c r="FL113" s="32"/>
      <c r="FM113" s="32"/>
      <c r="FN113" s="32"/>
      <c r="FO113" s="32"/>
      <c r="FP113" s="29"/>
      <c r="FQ113" s="30"/>
      <c r="FR113" s="30"/>
      <c r="FS113" s="30"/>
      <c r="FT113" s="30"/>
      <c r="FU113" s="31"/>
      <c r="FV113" s="32"/>
      <c r="FW113" s="32"/>
      <c r="FX113" s="32"/>
      <c r="FY113" s="32"/>
      <c r="FZ113" s="29"/>
      <c r="GA113" s="30"/>
      <c r="GB113" s="30"/>
      <c r="GC113" s="30"/>
      <c r="GD113" s="30"/>
    </row>
    <row r="114" spans="1:186" ht="48" x14ac:dyDescent="0.25">
      <c r="A114" s="156">
        <v>105</v>
      </c>
      <c r="B114" s="395">
        <f>'Tier 3 Intervention'!B427</f>
        <v>0</v>
      </c>
      <c r="C114" s="395"/>
      <c r="D114" s="395"/>
      <c r="E114" s="395"/>
      <c r="F114" s="395"/>
      <c r="G114" s="395"/>
      <c r="H114" s="761" t="e">
        <f>'Tier 3 Intervention'!AA427+30</f>
        <v>#VALUE!</v>
      </c>
      <c r="I114" s="761"/>
      <c r="J114" s="762" t="e">
        <f t="shared" si="2"/>
        <v>#VALUE!</v>
      </c>
      <c r="K114" s="395"/>
      <c r="L114" s="47" t="s">
        <v>891</v>
      </c>
      <c r="M114" s="46"/>
      <c r="N114" s="46"/>
      <c r="O114" s="46"/>
      <c r="P114" s="49"/>
      <c r="Q114" s="19"/>
      <c r="R114" s="20"/>
      <c r="S114" s="20"/>
      <c r="T114" s="20"/>
      <c r="U114" s="20"/>
      <c r="V114" s="21"/>
      <c r="W114" s="22"/>
      <c r="X114" s="22"/>
      <c r="Y114" s="22"/>
      <c r="Z114" s="22"/>
      <c r="AA114" s="19"/>
      <c r="AB114" s="20"/>
      <c r="AC114" s="20"/>
      <c r="AD114" s="20"/>
      <c r="AE114" s="20"/>
      <c r="AF114" s="21"/>
      <c r="AG114" s="22"/>
      <c r="AH114" s="22"/>
      <c r="AI114" s="22"/>
      <c r="AJ114" s="22"/>
      <c r="AK114" s="19"/>
      <c r="AL114" s="20"/>
      <c r="AM114" s="20"/>
      <c r="AN114" s="20"/>
      <c r="AO114" s="20"/>
      <c r="AP114" s="21"/>
      <c r="AQ114" s="22"/>
      <c r="AR114" s="22"/>
      <c r="AS114" s="22"/>
      <c r="AT114" s="22"/>
      <c r="AU114" s="19"/>
      <c r="AV114" s="20"/>
      <c r="AW114" s="20"/>
      <c r="AX114" s="20"/>
      <c r="AY114" s="20"/>
      <c r="AZ114" s="21"/>
      <c r="BA114" s="22"/>
      <c r="BB114" s="22"/>
      <c r="BC114" s="22"/>
      <c r="BD114" s="22"/>
      <c r="BE114" s="19"/>
      <c r="BF114" s="20"/>
      <c r="BG114" s="20"/>
      <c r="BH114" s="20"/>
      <c r="BI114" s="20"/>
      <c r="BJ114" s="21"/>
      <c r="BK114" s="22"/>
      <c r="BL114" s="22"/>
      <c r="BM114" s="22"/>
      <c r="BN114" s="22"/>
      <c r="BO114" s="19"/>
      <c r="BP114" s="20"/>
      <c r="BQ114" s="20"/>
      <c r="BR114" s="20"/>
      <c r="BS114" s="20"/>
      <c r="BT114" s="21"/>
      <c r="BU114" s="22"/>
      <c r="BV114" s="22"/>
      <c r="BW114" s="22"/>
      <c r="BX114" s="22"/>
      <c r="BY114" s="23"/>
      <c r="BZ114" s="24"/>
      <c r="CA114" s="24"/>
      <c r="CB114" s="24"/>
      <c r="CC114" s="24"/>
      <c r="CD114" s="25"/>
      <c r="CE114" s="26"/>
      <c r="CF114" s="26"/>
      <c r="CG114" s="26"/>
      <c r="CH114" s="26"/>
      <c r="CI114" s="27"/>
      <c r="CJ114" s="28"/>
      <c r="CK114" s="28"/>
      <c r="CL114" s="28"/>
      <c r="CM114" s="28"/>
      <c r="CN114" s="25"/>
      <c r="CO114" s="26"/>
      <c r="CP114" s="26"/>
      <c r="CQ114" s="26"/>
      <c r="CR114" s="26"/>
      <c r="CS114" s="27"/>
      <c r="CT114" s="28"/>
      <c r="CU114" s="28"/>
      <c r="CV114" s="28"/>
      <c r="CW114" s="28"/>
      <c r="CX114" s="25"/>
      <c r="CY114" s="26"/>
      <c r="CZ114" s="26"/>
      <c r="DA114" s="26"/>
      <c r="DB114" s="26"/>
      <c r="DC114" s="27"/>
      <c r="DD114" s="28"/>
      <c r="DE114" s="28"/>
      <c r="DF114" s="28"/>
      <c r="DG114" s="28"/>
      <c r="DH114" s="25"/>
      <c r="DI114" s="26"/>
      <c r="DJ114" s="26"/>
      <c r="DK114" s="26"/>
      <c r="DL114" s="26"/>
      <c r="DM114" s="27"/>
      <c r="DN114" s="28"/>
      <c r="DO114" s="28"/>
      <c r="DP114" s="28"/>
      <c r="DQ114" s="28"/>
      <c r="DR114" s="25"/>
      <c r="DS114" s="26"/>
      <c r="DT114" s="26"/>
      <c r="DU114" s="26"/>
      <c r="DV114" s="26"/>
      <c r="DW114" s="27"/>
      <c r="DX114" s="28"/>
      <c r="DY114" s="28"/>
      <c r="DZ114" s="28"/>
      <c r="EA114" s="28"/>
      <c r="EB114" s="29"/>
      <c r="EC114" s="30"/>
      <c r="ED114" s="30"/>
      <c r="EE114" s="30"/>
      <c r="EF114" s="30"/>
      <c r="EG114" s="31"/>
      <c r="EH114" s="32"/>
      <c r="EI114" s="32"/>
      <c r="EJ114" s="32"/>
      <c r="EK114" s="32"/>
      <c r="EL114" s="29"/>
      <c r="EM114" s="30"/>
      <c r="EN114" s="30"/>
      <c r="EO114" s="30"/>
      <c r="EP114" s="30"/>
      <c r="EQ114" s="31"/>
      <c r="ER114" s="32"/>
      <c r="ES114" s="32"/>
      <c r="ET114" s="32"/>
      <c r="EU114" s="32"/>
      <c r="EV114" s="29"/>
      <c r="EW114" s="30"/>
      <c r="EX114" s="30"/>
      <c r="EY114" s="30"/>
      <c r="EZ114" s="30"/>
      <c r="FA114" s="31"/>
      <c r="FB114" s="32"/>
      <c r="FC114" s="32"/>
      <c r="FD114" s="32"/>
      <c r="FE114" s="32"/>
      <c r="FF114" s="29"/>
      <c r="FG114" s="30"/>
      <c r="FH114" s="30"/>
      <c r="FI114" s="30"/>
      <c r="FJ114" s="30"/>
      <c r="FK114" s="31"/>
      <c r="FL114" s="32"/>
      <c r="FM114" s="32"/>
      <c r="FN114" s="32"/>
      <c r="FO114" s="32"/>
      <c r="FP114" s="29"/>
      <c r="FQ114" s="30"/>
      <c r="FR114" s="30"/>
      <c r="FS114" s="30"/>
      <c r="FT114" s="30"/>
      <c r="FU114" s="31"/>
      <c r="FV114" s="32"/>
      <c r="FW114" s="32"/>
      <c r="FX114" s="32"/>
      <c r="FY114" s="32"/>
      <c r="FZ114" s="29"/>
      <c r="GA114" s="30"/>
      <c r="GB114" s="30"/>
      <c r="GC114" s="30"/>
      <c r="GD114" s="30"/>
    </row>
    <row r="115" spans="1:186" ht="48" x14ac:dyDescent="0.25">
      <c r="A115" s="156">
        <v>106</v>
      </c>
      <c r="B115" s="395">
        <f>'Tier 3 Intervention'!B431</f>
        <v>0</v>
      </c>
      <c r="C115" s="395"/>
      <c r="D115" s="395"/>
      <c r="E115" s="395"/>
      <c r="F115" s="395"/>
      <c r="G115" s="395"/>
      <c r="H115" s="761" t="e">
        <f>'Tier 3 Intervention'!AA431+30</f>
        <v>#VALUE!</v>
      </c>
      <c r="I115" s="761"/>
      <c r="J115" s="762" t="e">
        <f t="shared" si="2"/>
        <v>#VALUE!</v>
      </c>
      <c r="K115" s="395"/>
      <c r="L115" s="47" t="s">
        <v>892</v>
      </c>
      <c r="M115" s="46"/>
      <c r="N115" s="46"/>
      <c r="O115" s="46"/>
      <c r="P115" s="49"/>
      <c r="Q115" s="19"/>
      <c r="R115" s="20"/>
      <c r="S115" s="20"/>
      <c r="T115" s="20"/>
      <c r="U115" s="20"/>
      <c r="V115" s="21"/>
      <c r="W115" s="22"/>
      <c r="X115" s="22"/>
      <c r="Y115" s="22"/>
      <c r="Z115" s="22"/>
      <c r="AA115" s="19"/>
      <c r="AB115" s="20"/>
      <c r="AC115" s="20"/>
      <c r="AD115" s="20"/>
      <c r="AE115" s="20"/>
      <c r="AF115" s="21"/>
      <c r="AG115" s="22"/>
      <c r="AH115" s="22"/>
      <c r="AI115" s="22"/>
      <c r="AJ115" s="22"/>
      <c r="AK115" s="19"/>
      <c r="AL115" s="20"/>
      <c r="AM115" s="20"/>
      <c r="AN115" s="20"/>
      <c r="AO115" s="20"/>
      <c r="AP115" s="21"/>
      <c r="AQ115" s="22"/>
      <c r="AR115" s="22"/>
      <c r="AS115" s="22"/>
      <c r="AT115" s="22"/>
      <c r="AU115" s="19"/>
      <c r="AV115" s="20"/>
      <c r="AW115" s="20"/>
      <c r="AX115" s="20"/>
      <c r="AY115" s="20"/>
      <c r="AZ115" s="21"/>
      <c r="BA115" s="22"/>
      <c r="BB115" s="22"/>
      <c r="BC115" s="22"/>
      <c r="BD115" s="22"/>
      <c r="BE115" s="19"/>
      <c r="BF115" s="20"/>
      <c r="BG115" s="20"/>
      <c r="BH115" s="20"/>
      <c r="BI115" s="20"/>
      <c r="BJ115" s="21"/>
      <c r="BK115" s="22"/>
      <c r="BL115" s="22"/>
      <c r="BM115" s="22"/>
      <c r="BN115" s="22"/>
      <c r="BO115" s="19"/>
      <c r="BP115" s="20"/>
      <c r="BQ115" s="20"/>
      <c r="BR115" s="20"/>
      <c r="BS115" s="20"/>
      <c r="BT115" s="21"/>
      <c r="BU115" s="22"/>
      <c r="BV115" s="22"/>
      <c r="BW115" s="22"/>
      <c r="BX115" s="22"/>
      <c r="BY115" s="23"/>
      <c r="BZ115" s="24"/>
      <c r="CA115" s="24"/>
      <c r="CB115" s="24"/>
      <c r="CC115" s="24"/>
      <c r="CD115" s="25"/>
      <c r="CE115" s="26"/>
      <c r="CF115" s="26"/>
      <c r="CG115" s="26"/>
      <c r="CH115" s="26"/>
      <c r="CI115" s="27"/>
      <c r="CJ115" s="28"/>
      <c r="CK115" s="28"/>
      <c r="CL115" s="28"/>
      <c r="CM115" s="28"/>
      <c r="CN115" s="25"/>
      <c r="CO115" s="26"/>
      <c r="CP115" s="26"/>
      <c r="CQ115" s="26"/>
      <c r="CR115" s="26"/>
      <c r="CS115" s="27"/>
      <c r="CT115" s="28"/>
      <c r="CU115" s="28"/>
      <c r="CV115" s="28"/>
      <c r="CW115" s="28"/>
      <c r="CX115" s="25"/>
      <c r="CY115" s="26"/>
      <c r="CZ115" s="26"/>
      <c r="DA115" s="26"/>
      <c r="DB115" s="26"/>
      <c r="DC115" s="27"/>
      <c r="DD115" s="28"/>
      <c r="DE115" s="28"/>
      <c r="DF115" s="28"/>
      <c r="DG115" s="28"/>
      <c r="DH115" s="25"/>
      <c r="DI115" s="26"/>
      <c r="DJ115" s="26"/>
      <c r="DK115" s="26"/>
      <c r="DL115" s="26"/>
      <c r="DM115" s="27"/>
      <c r="DN115" s="28"/>
      <c r="DO115" s="28"/>
      <c r="DP115" s="28"/>
      <c r="DQ115" s="28"/>
      <c r="DR115" s="25"/>
      <c r="DS115" s="26"/>
      <c r="DT115" s="26"/>
      <c r="DU115" s="26"/>
      <c r="DV115" s="26"/>
      <c r="DW115" s="27"/>
      <c r="DX115" s="28"/>
      <c r="DY115" s="28"/>
      <c r="DZ115" s="28"/>
      <c r="EA115" s="28"/>
      <c r="EB115" s="29"/>
      <c r="EC115" s="30"/>
      <c r="ED115" s="30"/>
      <c r="EE115" s="30"/>
      <c r="EF115" s="30"/>
      <c r="EG115" s="31"/>
      <c r="EH115" s="32"/>
      <c r="EI115" s="32"/>
      <c r="EJ115" s="32"/>
      <c r="EK115" s="32"/>
      <c r="EL115" s="29"/>
      <c r="EM115" s="30"/>
      <c r="EN115" s="30"/>
      <c r="EO115" s="30"/>
      <c r="EP115" s="30"/>
      <c r="EQ115" s="31"/>
      <c r="ER115" s="32"/>
      <c r="ES115" s="32"/>
      <c r="ET115" s="32"/>
      <c r="EU115" s="32"/>
      <c r="EV115" s="29"/>
      <c r="EW115" s="30"/>
      <c r="EX115" s="30"/>
      <c r="EY115" s="30"/>
      <c r="EZ115" s="30"/>
      <c r="FA115" s="31"/>
      <c r="FB115" s="32"/>
      <c r="FC115" s="32"/>
      <c r="FD115" s="32"/>
      <c r="FE115" s="32"/>
      <c r="FF115" s="29"/>
      <c r="FG115" s="30"/>
      <c r="FH115" s="30"/>
      <c r="FI115" s="30"/>
      <c r="FJ115" s="30"/>
      <c r="FK115" s="31"/>
      <c r="FL115" s="32"/>
      <c r="FM115" s="32"/>
      <c r="FN115" s="32"/>
      <c r="FO115" s="32"/>
      <c r="FP115" s="29"/>
      <c r="FQ115" s="30"/>
      <c r="FR115" s="30"/>
      <c r="FS115" s="30"/>
      <c r="FT115" s="30"/>
      <c r="FU115" s="31"/>
      <c r="FV115" s="32"/>
      <c r="FW115" s="32"/>
      <c r="FX115" s="32"/>
      <c r="FY115" s="32"/>
      <c r="FZ115" s="29"/>
      <c r="GA115" s="30"/>
      <c r="GB115" s="30"/>
      <c r="GC115" s="30"/>
      <c r="GD115" s="30"/>
    </row>
    <row r="116" spans="1:186" ht="48" x14ac:dyDescent="0.25">
      <c r="A116" s="156">
        <v>107</v>
      </c>
      <c r="B116" s="395">
        <f>'Tier 3 Intervention'!B435</f>
        <v>0</v>
      </c>
      <c r="C116" s="395"/>
      <c r="D116" s="395"/>
      <c r="E116" s="395"/>
      <c r="F116" s="395"/>
      <c r="G116" s="395"/>
      <c r="H116" s="761" t="e">
        <f>'Tier 3 Intervention'!AA435+30</f>
        <v>#VALUE!</v>
      </c>
      <c r="I116" s="761"/>
      <c r="J116" s="762" t="e">
        <f t="shared" si="2"/>
        <v>#VALUE!</v>
      </c>
      <c r="K116" s="395"/>
      <c r="L116" s="47" t="s">
        <v>893</v>
      </c>
      <c r="M116" s="46"/>
      <c r="N116" s="46"/>
      <c r="O116" s="46"/>
      <c r="P116" s="49"/>
      <c r="Q116" s="19"/>
      <c r="R116" s="20"/>
      <c r="S116" s="20"/>
      <c r="T116" s="20"/>
      <c r="U116" s="20"/>
      <c r="V116" s="21"/>
      <c r="W116" s="22"/>
      <c r="X116" s="22"/>
      <c r="Y116" s="22"/>
      <c r="Z116" s="22"/>
      <c r="AA116" s="19"/>
      <c r="AB116" s="20"/>
      <c r="AC116" s="20"/>
      <c r="AD116" s="20"/>
      <c r="AE116" s="20"/>
      <c r="AF116" s="21"/>
      <c r="AG116" s="22"/>
      <c r="AH116" s="22"/>
      <c r="AI116" s="22"/>
      <c r="AJ116" s="22"/>
      <c r="AK116" s="19"/>
      <c r="AL116" s="20"/>
      <c r="AM116" s="20"/>
      <c r="AN116" s="20"/>
      <c r="AO116" s="20"/>
      <c r="AP116" s="21"/>
      <c r="AQ116" s="22"/>
      <c r="AR116" s="22"/>
      <c r="AS116" s="22"/>
      <c r="AT116" s="22"/>
      <c r="AU116" s="19"/>
      <c r="AV116" s="20"/>
      <c r="AW116" s="20"/>
      <c r="AX116" s="20"/>
      <c r="AY116" s="20"/>
      <c r="AZ116" s="21"/>
      <c r="BA116" s="22"/>
      <c r="BB116" s="22"/>
      <c r="BC116" s="22"/>
      <c r="BD116" s="22"/>
      <c r="BE116" s="19"/>
      <c r="BF116" s="20"/>
      <c r="BG116" s="20"/>
      <c r="BH116" s="20"/>
      <c r="BI116" s="20"/>
      <c r="BJ116" s="21"/>
      <c r="BK116" s="22"/>
      <c r="BL116" s="22"/>
      <c r="BM116" s="22"/>
      <c r="BN116" s="22"/>
      <c r="BO116" s="19"/>
      <c r="BP116" s="20"/>
      <c r="BQ116" s="20"/>
      <c r="BR116" s="20"/>
      <c r="BS116" s="20"/>
      <c r="BT116" s="21"/>
      <c r="BU116" s="22"/>
      <c r="BV116" s="22"/>
      <c r="BW116" s="22"/>
      <c r="BX116" s="22"/>
      <c r="BY116" s="23"/>
      <c r="BZ116" s="24"/>
      <c r="CA116" s="24"/>
      <c r="CB116" s="24"/>
      <c r="CC116" s="24"/>
      <c r="CD116" s="25"/>
      <c r="CE116" s="26"/>
      <c r="CF116" s="26"/>
      <c r="CG116" s="26"/>
      <c r="CH116" s="26"/>
      <c r="CI116" s="27"/>
      <c r="CJ116" s="28"/>
      <c r="CK116" s="28"/>
      <c r="CL116" s="28"/>
      <c r="CM116" s="28"/>
      <c r="CN116" s="25"/>
      <c r="CO116" s="26"/>
      <c r="CP116" s="26"/>
      <c r="CQ116" s="26"/>
      <c r="CR116" s="26"/>
      <c r="CS116" s="27"/>
      <c r="CT116" s="28"/>
      <c r="CU116" s="28"/>
      <c r="CV116" s="28"/>
      <c r="CW116" s="28"/>
      <c r="CX116" s="25"/>
      <c r="CY116" s="26"/>
      <c r="CZ116" s="26"/>
      <c r="DA116" s="26"/>
      <c r="DB116" s="26"/>
      <c r="DC116" s="27"/>
      <c r="DD116" s="28"/>
      <c r="DE116" s="28"/>
      <c r="DF116" s="28"/>
      <c r="DG116" s="28"/>
      <c r="DH116" s="25"/>
      <c r="DI116" s="26"/>
      <c r="DJ116" s="26"/>
      <c r="DK116" s="26"/>
      <c r="DL116" s="26"/>
      <c r="DM116" s="27"/>
      <c r="DN116" s="28"/>
      <c r="DO116" s="28"/>
      <c r="DP116" s="28"/>
      <c r="DQ116" s="28"/>
      <c r="DR116" s="25"/>
      <c r="DS116" s="26"/>
      <c r="DT116" s="26"/>
      <c r="DU116" s="26"/>
      <c r="DV116" s="26"/>
      <c r="DW116" s="27"/>
      <c r="DX116" s="28"/>
      <c r="DY116" s="28"/>
      <c r="DZ116" s="28"/>
      <c r="EA116" s="28"/>
      <c r="EB116" s="29"/>
      <c r="EC116" s="30"/>
      <c r="ED116" s="30"/>
      <c r="EE116" s="30"/>
      <c r="EF116" s="30"/>
      <c r="EG116" s="31"/>
      <c r="EH116" s="32"/>
      <c r="EI116" s="32"/>
      <c r="EJ116" s="32"/>
      <c r="EK116" s="32"/>
      <c r="EL116" s="29"/>
      <c r="EM116" s="30"/>
      <c r="EN116" s="30"/>
      <c r="EO116" s="30"/>
      <c r="EP116" s="30"/>
      <c r="EQ116" s="31"/>
      <c r="ER116" s="32"/>
      <c r="ES116" s="32"/>
      <c r="ET116" s="32"/>
      <c r="EU116" s="32"/>
      <c r="EV116" s="29"/>
      <c r="EW116" s="30"/>
      <c r="EX116" s="30"/>
      <c r="EY116" s="30"/>
      <c r="EZ116" s="30"/>
      <c r="FA116" s="31"/>
      <c r="FB116" s="32"/>
      <c r="FC116" s="32"/>
      <c r="FD116" s="32"/>
      <c r="FE116" s="32"/>
      <c r="FF116" s="29"/>
      <c r="FG116" s="30"/>
      <c r="FH116" s="30"/>
      <c r="FI116" s="30"/>
      <c r="FJ116" s="30"/>
      <c r="FK116" s="31"/>
      <c r="FL116" s="32"/>
      <c r="FM116" s="32"/>
      <c r="FN116" s="32"/>
      <c r="FO116" s="32"/>
      <c r="FP116" s="29"/>
      <c r="FQ116" s="30"/>
      <c r="FR116" s="30"/>
      <c r="FS116" s="30"/>
      <c r="FT116" s="30"/>
      <c r="FU116" s="31"/>
      <c r="FV116" s="32"/>
      <c r="FW116" s="32"/>
      <c r="FX116" s="32"/>
      <c r="FY116" s="32"/>
      <c r="FZ116" s="29"/>
      <c r="GA116" s="30"/>
      <c r="GB116" s="30"/>
      <c r="GC116" s="30"/>
      <c r="GD116" s="30"/>
    </row>
    <row r="117" spans="1:186" ht="48" x14ac:dyDescent="0.25">
      <c r="A117" s="156">
        <v>108</v>
      </c>
      <c r="B117" s="395">
        <f>'Tier 3 Intervention'!B439</f>
        <v>0</v>
      </c>
      <c r="C117" s="395"/>
      <c r="D117" s="395"/>
      <c r="E117" s="395"/>
      <c r="F117" s="395"/>
      <c r="G117" s="395"/>
      <c r="H117" s="761" t="e">
        <f>'Tier 3 Intervention'!AA439+30</f>
        <v>#VALUE!</v>
      </c>
      <c r="I117" s="761"/>
      <c r="J117" s="762" t="e">
        <f t="shared" si="2"/>
        <v>#VALUE!</v>
      </c>
      <c r="K117" s="395"/>
      <c r="L117" s="47" t="s">
        <v>894</v>
      </c>
      <c r="M117" s="46"/>
      <c r="N117" s="46"/>
      <c r="O117" s="46"/>
      <c r="P117" s="49"/>
      <c r="Q117" s="19"/>
      <c r="R117" s="20"/>
      <c r="S117" s="20"/>
      <c r="T117" s="20"/>
      <c r="U117" s="20"/>
      <c r="V117" s="21"/>
      <c r="W117" s="22"/>
      <c r="X117" s="22"/>
      <c r="Y117" s="22"/>
      <c r="Z117" s="22"/>
      <c r="AA117" s="19"/>
      <c r="AB117" s="20"/>
      <c r="AC117" s="20"/>
      <c r="AD117" s="20"/>
      <c r="AE117" s="20"/>
      <c r="AF117" s="21"/>
      <c r="AG117" s="22"/>
      <c r="AH117" s="22"/>
      <c r="AI117" s="22"/>
      <c r="AJ117" s="22"/>
      <c r="AK117" s="19"/>
      <c r="AL117" s="20"/>
      <c r="AM117" s="20"/>
      <c r="AN117" s="20"/>
      <c r="AO117" s="20"/>
      <c r="AP117" s="21"/>
      <c r="AQ117" s="22"/>
      <c r="AR117" s="22"/>
      <c r="AS117" s="22"/>
      <c r="AT117" s="22"/>
      <c r="AU117" s="19"/>
      <c r="AV117" s="20"/>
      <c r="AW117" s="20"/>
      <c r="AX117" s="20"/>
      <c r="AY117" s="20"/>
      <c r="AZ117" s="21"/>
      <c r="BA117" s="22"/>
      <c r="BB117" s="22"/>
      <c r="BC117" s="22"/>
      <c r="BD117" s="22"/>
      <c r="BE117" s="19"/>
      <c r="BF117" s="20"/>
      <c r="BG117" s="20"/>
      <c r="BH117" s="20"/>
      <c r="BI117" s="20"/>
      <c r="BJ117" s="21"/>
      <c r="BK117" s="22"/>
      <c r="BL117" s="22"/>
      <c r="BM117" s="22"/>
      <c r="BN117" s="22"/>
      <c r="BO117" s="19"/>
      <c r="BP117" s="20"/>
      <c r="BQ117" s="20"/>
      <c r="BR117" s="20"/>
      <c r="BS117" s="20"/>
      <c r="BT117" s="21"/>
      <c r="BU117" s="22"/>
      <c r="BV117" s="22"/>
      <c r="BW117" s="22"/>
      <c r="BX117" s="22"/>
      <c r="BY117" s="23"/>
      <c r="BZ117" s="24"/>
      <c r="CA117" s="24"/>
      <c r="CB117" s="24"/>
      <c r="CC117" s="24"/>
      <c r="CD117" s="25"/>
      <c r="CE117" s="26"/>
      <c r="CF117" s="26"/>
      <c r="CG117" s="26"/>
      <c r="CH117" s="26"/>
      <c r="CI117" s="27"/>
      <c r="CJ117" s="28"/>
      <c r="CK117" s="28"/>
      <c r="CL117" s="28"/>
      <c r="CM117" s="28"/>
      <c r="CN117" s="25"/>
      <c r="CO117" s="26"/>
      <c r="CP117" s="26"/>
      <c r="CQ117" s="26"/>
      <c r="CR117" s="26"/>
      <c r="CS117" s="27"/>
      <c r="CT117" s="28"/>
      <c r="CU117" s="28"/>
      <c r="CV117" s="28"/>
      <c r="CW117" s="28"/>
      <c r="CX117" s="25"/>
      <c r="CY117" s="26"/>
      <c r="CZ117" s="26"/>
      <c r="DA117" s="26"/>
      <c r="DB117" s="26"/>
      <c r="DC117" s="27"/>
      <c r="DD117" s="28"/>
      <c r="DE117" s="28"/>
      <c r="DF117" s="28"/>
      <c r="DG117" s="28"/>
      <c r="DH117" s="25"/>
      <c r="DI117" s="26"/>
      <c r="DJ117" s="26"/>
      <c r="DK117" s="26"/>
      <c r="DL117" s="26"/>
      <c r="DM117" s="27"/>
      <c r="DN117" s="28"/>
      <c r="DO117" s="28"/>
      <c r="DP117" s="28"/>
      <c r="DQ117" s="28"/>
      <c r="DR117" s="25"/>
      <c r="DS117" s="26"/>
      <c r="DT117" s="26"/>
      <c r="DU117" s="26"/>
      <c r="DV117" s="26"/>
      <c r="DW117" s="27"/>
      <c r="DX117" s="28"/>
      <c r="DY117" s="28"/>
      <c r="DZ117" s="28"/>
      <c r="EA117" s="28"/>
      <c r="EB117" s="29"/>
      <c r="EC117" s="30"/>
      <c r="ED117" s="30"/>
      <c r="EE117" s="30"/>
      <c r="EF117" s="30"/>
      <c r="EG117" s="31"/>
      <c r="EH117" s="32"/>
      <c r="EI117" s="32"/>
      <c r="EJ117" s="32"/>
      <c r="EK117" s="32"/>
      <c r="EL117" s="29"/>
      <c r="EM117" s="30"/>
      <c r="EN117" s="30"/>
      <c r="EO117" s="30"/>
      <c r="EP117" s="30"/>
      <c r="EQ117" s="31"/>
      <c r="ER117" s="32"/>
      <c r="ES117" s="32"/>
      <c r="ET117" s="32"/>
      <c r="EU117" s="32"/>
      <c r="EV117" s="29"/>
      <c r="EW117" s="30"/>
      <c r="EX117" s="30"/>
      <c r="EY117" s="30"/>
      <c r="EZ117" s="30"/>
      <c r="FA117" s="31"/>
      <c r="FB117" s="32"/>
      <c r="FC117" s="32"/>
      <c r="FD117" s="32"/>
      <c r="FE117" s="32"/>
      <c r="FF117" s="29"/>
      <c r="FG117" s="30"/>
      <c r="FH117" s="30"/>
      <c r="FI117" s="30"/>
      <c r="FJ117" s="30"/>
      <c r="FK117" s="31"/>
      <c r="FL117" s="32"/>
      <c r="FM117" s="32"/>
      <c r="FN117" s="32"/>
      <c r="FO117" s="32"/>
      <c r="FP117" s="29"/>
      <c r="FQ117" s="30"/>
      <c r="FR117" s="30"/>
      <c r="FS117" s="30"/>
      <c r="FT117" s="30"/>
      <c r="FU117" s="31"/>
      <c r="FV117" s="32"/>
      <c r="FW117" s="32"/>
      <c r="FX117" s="32"/>
      <c r="FY117" s="32"/>
      <c r="FZ117" s="29"/>
      <c r="GA117" s="30"/>
      <c r="GB117" s="30"/>
      <c r="GC117" s="30"/>
      <c r="GD117" s="30"/>
    </row>
    <row r="118" spans="1:186" ht="48" x14ac:dyDescent="0.25">
      <c r="A118" s="156">
        <v>109</v>
      </c>
      <c r="B118" s="395">
        <f>'Tier 3 Intervention'!B443</f>
        <v>0</v>
      </c>
      <c r="C118" s="395"/>
      <c r="D118" s="395"/>
      <c r="E118" s="395"/>
      <c r="F118" s="395"/>
      <c r="G118" s="395"/>
      <c r="H118" s="761" t="e">
        <f>'Tier 3 Intervention'!AA443+30</f>
        <v>#VALUE!</v>
      </c>
      <c r="I118" s="761"/>
      <c r="J118" s="762" t="e">
        <f t="shared" si="2"/>
        <v>#VALUE!</v>
      </c>
      <c r="K118" s="395"/>
      <c r="L118" s="47" t="s">
        <v>895</v>
      </c>
      <c r="M118" s="46"/>
      <c r="N118" s="46"/>
      <c r="O118" s="46"/>
      <c r="P118" s="49"/>
      <c r="Q118" s="19"/>
      <c r="R118" s="20"/>
      <c r="S118" s="20"/>
      <c r="T118" s="20"/>
      <c r="U118" s="20"/>
      <c r="V118" s="21"/>
      <c r="W118" s="22"/>
      <c r="X118" s="22"/>
      <c r="Y118" s="22"/>
      <c r="Z118" s="22"/>
      <c r="AA118" s="19"/>
      <c r="AB118" s="20"/>
      <c r="AC118" s="20"/>
      <c r="AD118" s="20"/>
      <c r="AE118" s="20"/>
      <c r="AF118" s="21"/>
      <c r="AG118" s="22"/>
      <c r="AH118" s="22"/>
      <c r="AI118" s="22"/>
      <c r="AJ118" s="22"/>
      <c r="AK118" s="19"/>
      <c r="AL118" s="20"/>
      <c r="AM118" s="20"/>
      <c r="AN118" s="20"/>
      <c r="AO118" s="20"/>
      <c r="AP118" s="21"/>
      <c r="AQ118" s="22"/>
      <c r="AR118" s="22"/>
      <c r="AS118" s="22"/>
      <c r="AT118" s="22"/>
      <c r="AU118" s="19"/>
      <c r="AV118" s="20"/>
      <c r="AW118" s="20"/>
      <c r="AX118" s="20"/>
      <c r="AY118" s="20"/>
      <c r="AZ118" s="21"/>
      <c r="BA118" s="22"/>
      <c r="BB118" s="22"/>
      <c r="BC118" s="22"/>
      <c r="BD118" s="22"/>
      <c r="BE118" s="19"/>
      <c r="BF118" s="20"/>
      <c r="BG118" s="20"/>
      <c r="BH118" s="20"/>
      <c r="BI118" s="20"/>
      <c r="BJ118" s="21"/>
      <c r="BK118" s="22"/>
      <c r="BL118" s="22"/>
      <c r="BM118" s="22"/>
      <c r="BN118" s="22"/>
      <c r="BO118" s="19"/>
      <c r="BP118" s="20"/>
      <c r="BQ118" s="20"/>
      <c r="BR118" s="20"/>
      <c r="BS118" s="20"/>
      <c r="BT118" s="21"/>
      <c r="BU118" s="22"/>
      <c r="BV118" s="22"/>
      <c r="BW118" s="22"/>
      <c r="BX118" s="22"/>
      <c r="BY118" s="23"/>
      <c r="BZ118" s="24"/>
      <c r="CA118" s="24"/>
      <c r="CB118" s="24"/>
      <c r="CC118" s="24"/>
      <c r="CD118" s="25"/>
      <c r="CE118" s="26"/>
      <c r="CF118" s="26"/>
      <c r="CG118" s="26"/>
      <c r="CH118" s="26"/>
      <c r="CI118" s="27"/>
      <c r="CJ118" s="28"/>
      <c r="CK118" s="28"/>
      <c r="CL118" s="28"/>
      <c r="CM118" s="28"/>
      <c r="CN118" s="25"/>
      <c r="CO118" s="26"/>
      <c r="CP118" s="26"/>
      <c r="CQ118" s="26"/>
      <c r="CR118" s="26"/>
      <c r="CS118" s="27"/>
      <c r="CT118" s="28"/>
      <c r="CU118" s="28"/>
      <c r="CV118" s="28"/>
      <c r="CW118" s="28"/>
      <c r="CX118" s="25"/>
      <c r="CY118" s="26"/>
      <c r="CZ118" s="26"/>
      <c r="DA118" s="26"/>
      <c r="DB118" s="26"/>
      <c r="DC118" s="27"/>
      <c r="DD118" s="28"/>
      <c r="DE118" s="28"/>
      <c r="DF118" s="28"/>
      <c r="DG118" s="28"/>
      <c r="DH118" s="25"/>
      <c r="DI118" s="26"/>
      <c r="DJ118" s="26"/>
      <c r="DK118" s="26"/>
      <c r="DL118" s="26"/>
      <c r="DM118" s="27"/>
      <c r="DN118" s="28"/>
      <c r="DO118" s="28"/>
      <c r="DP118" s="28"/>
      <c r="DQ118" s="28"/>
      <c r="DR118" s="25"/>
      <c r="DS118" s="26"/>
      <c r="DT118" s="26"/>
      <c r="DU118" s="26"/>
      <c r="DV118" s="26"/>
      <c r="DW118" s="27"/>
      <c r="DX118" s="28"/>
      <c r="DY118" s="28"/>
      <c r="DZ118" s="28"/>
      <c r="EA118" s="28"/>
      <c r="EB118" s="29"/>
      <c r="EC118" s="30"/>
      <c r="ED118" s="30"/>
      <c r="EE118" s="30"/>
      <c r="EF118" s="30"/>
      <c r="EG118" s="31"/>
      <c r="EH118" s="32"/>
      <c r="EI118" s="32"/>
      <c r="EJ118" s="32"/>
      <c r="EK118" s="32"/>
      <c r="EL118" s="29"/>
      <c r="EM118" s="30"/>
      <c r="EN118" s="30"/>
      <c r="EO118" s="30"/>
      <c r="EP118" s="30"/>
      <c r="EQ118" s="31"/>
      <c r="ER118" s="32"/>
      <c r="ES118" s="32"/>
      <c r="ET118" s="32"/>
      <c r="EU118" s="32"/>
      <c r="EV118" s="29"/>
      <c r="EW118" s="30"/>
      <c r="EX118" s="30"/>
      <c r="EY118" s="30"/>
      <c r="EZ118" s="30"/>
      <c r="FA118" s="31"/>
      <c r="FB118" s="32"/>
      <c r="FC118" s="32"/>
      <c r="FD118" s="32"/>
      <c r="FE118" s="32"/>
      <c r="FF118" s="29"/>
      <c r="FG118" s="30"/>
      <c r="FH118" s="30"/>
      <c r="FI118" s="30"/>
      <c r="FJ118" s="30"/>
      <c r="FK118" s="31"/>
      <c r="FL118" s="32"/>
      <c r="FM118" s="32"/>
      <c r="FN118" s="32"/>
      <c r="FO118" s="32"/>
      <c r="FP118" s="29"/>
      <c r="FQ118" s="30"/>
      <c r="FR118" s="30"/>
      <c r="FS118" s="30"/>
      <c r="FT118" s="30"/>
      <c r="FU118" s="31"/>
      <c r="FV118" s="32"/>
      <c r="FW118" s="32"/>
      <c r="FX118" s="32"/>
      <c r="FY118" s="32"/>
      <c r="FZ118" s="29"/>
      <c r="GA118" s="30"/>
      <c r="GB118" s="30"/>
      <c r="GC118" s="30"/>
      <c r="GD118" s="30"/>
    </row>
    <row r="119" spans="1:186" ht="48" x14ac:dyDescent="0.25">
      <c r="A119" s="156">
        <v>110</v>
      </c>
      <c r="B119" s="395">
        <f>'Tier 3 Intervention'!B447</f>
        <v>0</v>
      </c>
      <c r="C119" s="395"/>
      <c r="D119" s="395"/>
      <c r="E119" s="395"/>
      <c r="F119" s="395"/>
      <c r="G119" s="395"/>
      <c r="H119" s="761" t="e">
        <f>'Tier 3 Intervention'!AA447+30</f>
        <v>#VALUE!</v>
      </c>
      <c r="I119" s="761"/>
      <c r="J119" s="762" t="e">
        <f t="shared" si="2"/>
        <v>#VALUE!</v>
      </c>
      <c r="K119" s="395"/>
      <c r="L119" s="47" t="s">
        <v>896</v>
      </c>
      <c r="M119" s="46"/>
      <c r="N119" s="46"/>
      <c r="O119" s="46"/>
      <c r="P119" s="49"/>
      <c r="Q119" s="19"/>
      <c r="R119" s="20"/>
      <c r="S119" s="20"/>
      <c r="T119" s="20"/>
      <c r="U119" s="20"/>
      <c r="V119" s="21"/>
      <c r="W119" s="22"/>
      <c r="X119" s="22"/>
      <c r="Y119" s="22"/>
      <c r="Z119" s="22"/>
      <c r="AA119" s="19"/>
      <c r="AB119" s="20"/>
      <c r="AC119" s="20"/>
      <c r="AD119" s="20"/>
      <c r="AE119" s="20"/>
      <c r="AF119" s="21"/>
      <c r="AG119" s="22"/>
      <c r="AH119" s="22"/>
      <c r="AI119" s="22"/>
      <c r="AJ119" s="22"/>
      <c r="AK119" s="19"/>
      <c r="AL119" s="20"/>
      <c r="AM119" s="20"/>
      <c r="AN119" s="20"/>
      <c r="AO119" s="20"/>
      <c r="AP119" s="21"/>
      <c r="AQ119" s="22"/>
      <c r="AR119" s="22"/>
      <c r="AS119" s="22"/>
      <c r="AT119" s="22"/>
      <c r="AU119" s="19"/>
      <c r="AV119" s="20"/>
      <c r="AW119" s="20"/>
      <c r="AX119" s="20"/>
      <c r="AY119" s="20"/>
      <c r="AZ119" s="21"/>
      <c r="BA119" s="22"/>
      <c r="BB119" s="22"/>
      <c r="BC119" s="22"/>
      <c r="BD119" s="22"/>
      <c r="BE119" s="19"/>
      <c r="BF119" s="20"/>
      <c r="BG119" s="20"/>
      <c r="BH119" s="20"/>
      <c r="BI119" s="20"/>
      <c r="BJ119" s="21"/>
      <c r="BK119" s="22"/>
      <c r="BL119" s="22"/>
      <c r="BM119" s="22"/>
      <c r="BN119" s="22"/>
      <c r="BO119" s="19"/>
      <c r="BP119" s="20"/>
      <c r="BQ119" s="20"/>
      <c r="BR119" s="20"/>
      <c r="BS119" s="20"/>
      <c r="BT119" s="21"/>
      <c r="BU119" s="22"/>
      <c r="BV119" s="22"/>
      <c r="BW119" s="22"/>
      <c r="BX119" s="22"/>
      <c r="BY119" s="23"/>
      <c r="BZ119" s="24"/>
      <c r="CA119" s="24"/>
      <c r="CB119" s="24"/>
      <c r="CC119" s="24"/>
      <c r="CD119" s="25"/>
      <c r="CE119" s="26"/>
      <c r="CF119" s="26"/>
      <c r="CG119" s="26"/>
      <c r="CH119" s="26"/>
      <c r="CI119" s="27"/>
      <c r="CJ119" s="28"/>
      <c r="CK119" s="28"/>
      <c r="CL119" s="28"/>
      <c r="CM119" s="28"/>
      <c r="CN119" s="25"/>
      <c r="CO119" s="26"/>
      <c r="CP119" s="26"/>
      <c r="CQ119" s="26"/>
      <c r="CR119" s="26"/>
      <c r="CS119" s="27"/>
      <c r="CT119" s="28"/>
      <c r="CU119" s="28"/>
      <c r="CV119" s="28"/>
      <c r="CW119" s="28"/>
      <c r="CX119" s="25"/>
      <c r="CY119" s="26"/>
      <c r="CZ119" s="26"/>
      <c r="DA119" s="26"/>
      <c r="DB119" s="26"/>
      <c r="DC119" s="27"/>
      <c r="DD119" s="28"/>
      <c r="DE119" s="28"/>
      <c r="DF119" s="28"/>
      <c r="DG119" s="28"/>
      <c r="DH119" s="25"/>
      <c r="DI119" s="26"/>
      <c r="DJ119" s="26"/>
      <c r="DK119" s="26"/>
      <c r="DL119" s="26"/>
      <c r="DM119" s="27"/>
      <c r="DN119" s="28"/>
      <c r="DO119" s="28"/>
      <c r="DP119" s="28"/>
      <c r="DQ119" s="28"/>
      <c r="DR119" s="25"/>
      <c r="DS119" s="26"/>
      <c r="DT119" s="26"/>
      <c r="DU119" s="26"/>
      <c r="DV119" s="26"/>
      <c r="DW119" s="27"/>
      <c r="DX119" s="28"/>
      <c r="DY119" s="28"/>
      <c r="DZ119" s="28"/>
      <c r="EA119" s="28"/>
      <c r="EB119" s="29"/>
      <c r="EC119" s="30"/>
      <c r="ED119" s="30"/>
      <c r="EE119" s="30"/>
      <c r="EF119" s="30"/>
      <c r="EG119" s="31"/>
      <c r="EH119" s="32"/>
      <c r="EI119" s="32"/>
      <c r="EJ119" s="32"/>
      <c r="EK119" s="32"/>
      <c r="EL119" s="29"/>
      <c r="EM119" s="30"/>
      <c r="EN119" s="30"/>
      <c r="EO119" s="30"/>
      <c r="EP119" s="30"/>
      <c r="EQ119" s="31"/>
      <c r="ER119" s="32"/>
      <c r="ES119" s="32"/>
      <c r="ET119" s="32"/>
      <c r="EU119" s="32"/>
      <c r="EV119" s="29"/>
      <c r="EW119" s="30"/>
      <c r="EX119" s="30"/>
      <c r="EY119" s="30"/>
      <c r="EZ119" s="30"/>
      <c r="FA119" s="31"/>
      <c r="FB119" s="32"/>
      <c r="FC119" s="32"/>
      <c r="FD119" s="32"/>
      <c r="FE119" s="32"/>
      <c r="FF119" s="29"/>
      <c r="FG119" s="30"/>
      <c r="FH119" s="30"/>
      <c r="FI119" s="30"/>
      <c r="FJ119" s="30"/>
      <c r="FK119" s="31"/>
      <c r="FL119" s="32"/>
      <c r="FM119" s="32"/>
      <c r="FN119" s="32"/>
      <c r="FO119" s="32"/>
      <c r="FP119" s="29"/>
      <c r="FQ119" s="30"/>
      <c r="FR119" s="30"/>
      <c r="FS119" s="30"/>
      <c r="FT119" s="30"/>
      <c r="FU119" s="31"/>
      <c r="FV119" s="32"/>
      <c r="FW119" s="32"/>
      <c r="FX119" s="32"/>
      <c r="FY119" s="32"/>
      <c r="FZ119" s="29"/>
      <c r="GA119" s="30"/>
      <c r="GB119" s="30"/>
      <c r="GC119" s="30"/>
      <c r="GD119" s="30"/>
    </row>
    <row r="120" spans="1:186" ht="48" x14ac:dyDescent="0.25">
      <c r="A120" s="156">
        <v>111</v>
      </c>
      <c r="B120" s="395">
        <f>'Tier 3 Intervention'!B451</f>
        <v>0</v>
      </c>
      <c r="C120" s="395"/>
      <c r="D120" s="395"/>
      <c r="E120" s="395"/>
      <c r="F120" s="395"/>
      <c r="G120" s="395"/>
      <c r="H120" s="761" t="e">
        <f>'Tier 3 Intervention'!AA451+30</f>
        <v>#VALUE!</v>
      </c>
      <c r="I120" s="761"/>
      <c r="J120" s="762" t="e">
        <f t="shared" si="2"/>
        <v>#VALUE!</v>
      </c>
      <c r="K120" s="395"/>
      <c r="L120" s="47" t="s">
        <v>897</v>
      </c>
      <c r="M120" s="46"/>
      <c r="N120" s="46"/>
      <c r="O120" s="46"/>
      <c r="P120" s="49"/>
      <c r="Q120" s="19"/>
      <c r="R120" s="20"/>
      <c r="S120" s="20"/>
      <c r="T120" s="20"/>
      <c r="U120" s="20"/>
      <c r="V120" s="21"/>
      <c r="W120" s="22"/>
      <c r="X120" s="22"/>
      <c r="Y120" s="22"/>
      <c r="Z120" s="22"/>
      <c r="AA120" s="19"/>
      <c r="AB120" s="20"/>
      <c r="AC120" s="20"/>
      <c r="AD120" s="20"/>
      <c r="AE120" s="20"/>
      <c r="AF120" s="21"/>
      <c r="AG120" s="22"/>
      <c r="AH120" s="22"/>
      <c r="AI120" s="22"/>
      <c r="AJ120" s="22"/>
      <c r="AK120" s="19"/>
      <c r="AL120" s="20"/>
      <c r="AM120" s="20"/>
      <c r="AN120" s="20"/>
      <c r="AO120" s="20"/>
      <c r="AP120" s="21"/>
      <c r="AQ120" s="22"/>
      <c r="AR120" s="22"/>
      <c r="AS120" s="22"/>
      <c r="AT120" s="22"/>
      <c r="AU120" s="19"/>
      <c r="AV120" s="20"/>
      <c r="AW120" s="20"/>
      <c r="AX120" s="20"/>
      <c r="AY120" s="20"/>
      <c r="AZ120" s="21"/>
      <c r="BA120" s="22"/>
      <c r="BB120" s="22"/>
      <c r="BC120" s="22"/>
      <c r="BD120" s="22"/>
      <c r="BE120" s="19"/>
      <c r="BF120" s="20"/>
      <c r="BG120" s="20"/>
      <c r="BH120" s="20"/>
      <c r="BI120" s="20"/>
      <c r="BJ120" s="21"/>
      <c r="BK120" s="22"/>
      <c r="BL120" s="22"/>
      <c r="BM120" s="22"/>
      <c r="BN120" s="22"/>
      <c r="BO120" s="19"/>
      <c r="BP120" s="20"/>
      <c r="BQ120" s="20"/>
      <c r="BR120" s="20"/>
      <c r="BS120" s="20"/>
      <c r="BT120" s="21"/>
      <c r="BU120" s="22"/>
      <c r="BV120" s="22"/>
      <c r="BW120" s="22"/>
      <c r="BX120" s="22"/>
      <c r="BY120" s="23"/>
      <c r="BZ120" s="24"/>
      <c r="CA120" s="24"/>
      <c r="CB120" s="24"/>
      <c r="CC120" s="24"/>
      <c r="CD120" s="25"/>
      <c r="CE120" s="26"/>
      <c r="CF120" s="26"/>
      <c r="CG120" s="26"/>
      <c r="CH120" s="26"/>
      <c r="CI120" s="27"/>
      <c r="CJ120" s="28"/>
      <c r="CK120" s="28"/>
      <c r="CL120" s="28"/>
      <c r="CM120" s="28"/>
      <c r="CN120" s="25"/>
      <c r="CO120" s="26"/>
      <c r="CP120" s="26"/>
      <c r="CQ120" s="26"/>
      <c r="CR120" s="26"/>
      <c r="CS120" s="27"/>
      <c r="CT120" s="28"/>
      <c r="CU120" s="28"/>
      <c r="CV120" s="28"/>
      <c r="CW120" s="28"/>
      <c r="CX120" s="25"/>
      <c r="CY120" s="26"/>
      <c r="CZ120" s="26"/>
      <c r="DA120" s="26"/>
      <c r="DB120" s="26"/>
      <c r="DC120" s="27"/>
      <c r="DD120" s="28"/>
      <c r="DE120" s="28"/>
      <c r="DF120" s="28"/>
      <c r="DG120" s="28"/>
      <c r="DH120" s="25"/>
      <c r="DI120" s="26"/>
      <c r="DJ120" s="26"/>
      <c r="DK120" s="26"/>
      <c r="DL120" s="26"/>
      <c r="DM120" s="27"/>
      <c r="DN120" s="28"/>
      <c r="DO120" s="28"/>
      <c r="DP120" s="28"/>
      <c r="DQ120" s="28"/>
      <c r="DR120" s="25"/>
      <c r="DS120" s="26"/>
      <c r="DT120" s="26"/>
      <c r="DU120" s="26"/>
      <c r="DV120" s="26"/>
      <c r="DW120" s="27"/>
      <c r="DX120" s="28"/>
      <c r="DY120" s="28"/>
      <c r="DZ120" s="28"/>
      <c r="EA120" s="28"/>
      <c r="EB120" s="29"/>
      <c r="EC120" s="30"/>
      <c r="ED120" s="30"/>
      <c r="EE120" s="30"/>
      <c r="EF120" s="30"/>
      <c r="EG120" s="31"/>
      <c r="EH120" s="32"/>
      <c r="EI120" s="32"/>
      <c r="EJ120" s="32"/>
      <c r="EK120" s="32"/>
      <c r="EL120" s="29"/>
      <c r="EM120" s="30"/>
      <c r="EN120" s="30"/>
      <c r="EO120" s="30"/>
      <c r="EP120" s="30"/>
      <c r="EQ120" s="31"/>
      <c r="ER120" s="32"/>
      <c r="ES120" s="32"/>
      <c r="ET120" s="32"/>
      <c r="EU120" s="32"/>
      <c r="EV120" s="29"/>
      <c r="EW120" s="30"/>
      <c r="EX120" s="30"/>
      <c r="EY120" s="30"/>
      <c r="EZ120" s="30"/>
      <c r="FA120" s="31"/>
      <c r="FB120" s="32"/>
      <c r="FC120" s="32"/>
      <c r="FD120" s="32"/>
      <c r="FE120" s="32"/>
      <c r="FF120" s="29"/>
      <c r="FG120" s="30"/>
      <c r="FH120" s="30"/>
      <c r="FI120" s="30"/>
      <c r="FJ120" s="30"/>
      <c r="FK120" s="31"/>
      <c r="FL120" s="32"/>
      <c r="FM120" s="32"/>
      <c r="FN120" s="32"/>
      <c r="FO120" s="32"/>
      <c r="FP120" s="29"/>
      <c r="FQ120" s="30"/>
      <c r="FR120" s="30"/>
      <c r="FS120" s="30"/>
      <c r="FT120" s="30"/>
      <c r="FU120" s="31"/>
      <c r="FV120" s="32"/>
      <c r="FW120" s="32"/>
      <c r="FX120" s="32"/>
      <c r="FY120" s="32"/>
      <c r="FZ120" s="29"/>
      <c r="GA120" s="30"/>
      <c r="GB120" s="30"/>
      <c r="GC120" s="30"/>
      <c r="GD120" s="30"/>
    </row>
    <row r="121" spans="1:186" ht="48" x14ac:dyDescent="0.25">
      <c r="A121" s="156">
        <v>112</v>
      </c>
      <c r="B121" s="395">
        <f>'Tier 3 Intervention'!B455</f>
        <v>0</v>
      </c>
      <c r="C121" s="395"/>
      <c r="D121" s="395"/>
      <c r="E121" s="395"/>
      <c r="F121" s="395"/>
      <c r="G121" s="395"/>
      <c r="H121" s="761" t="e">
        <f>'Tier 3 Intervention'!AA455+30</f>
        <v>#VALUE!</v>
      </c>
      <c r="I121" s="761"/>
      <c r="J121" s="762" t="e">
        <f t="shared" si="2"/>
        <v>#VALUE!</v>
      </c>
      <c r="K121" s="395"/>
      <c r="L121" s="47" t="s">
        <v>898</v>
      </c>
      <c r="M121" s="46"/>
      <c r="N121" s="46"/>
      <c r="O121" s="46"/>
      <c r="P121" s="49"/>
      <c r="Q121" s="19"/>
      <c r="R121" s="20"/>
      <c r="S121" s="20"/>
      <c r="T121" s="20"/>
      <c r="U121" s="20"/>
      <c r="V121" s="21"/>
      <c r="W121" s="22"/>
      <c r="X121" s="22"/>
      <c r="Y121" s="22"/>
      <c r="Z121" s="22"/>
      <c r="AA121" s="19"/>
      <c r="AB121" s="20"/>
      <c r="AC121" s="20"/>
      <c r="AD121" s="20"/>
      <c r="AE121" s="20"/>
      <c r="AF121" s="21"/>
      <c r="AG121" s="22"/>
      <c r="AH121" s="22"/>
      <c r="AI121" s="22"/>
      <c r="AJ121" s="22"/>
      <c r="AK121" s="19"/>
      <c r="AL121" s="20"/>
      <c r="AM121" s="20"/>
      <c r="AN121" s="20"/>
      <c r="AO121" s="20"/>
      <c r="AP121" s="21"/>
      <c r="AQ121" s="22"/>
      <c r="AR121" s="22"/>
      <c r="AS121" s="22"/>
      <c r="AT121" s="22"/>
      <c r="AU121" s="19"/>
      <c r="AV121" s="20"/>
      <c r="AW121" s="20"/>
      <c r="AX121" s="20"/>
      <c r="AY121" s="20"/>
      <c r="AZ121" s="21"/>
      <c r="BA121" s="22"/>
      <c r="BB121" s="22"/>
      <c r="BC121" s="22"/>
      <c r="BD121" s="22"/>
      <c r="BE121" s="19"/>
      <c r="BF121" s="20"/>
      <c r="BG121" s="20"/>
      <c r="BH121" s="20"/>
      <c r="BI121" s="20"/>
      <c r="BJ121" s="21"/>
      <c r="BK121" s="22"/>
      <c r="BL121" s="22"/>
      <c r="BM121" s="22"/>
      <c r="BN121" s="22"/>
      <c r="BO121" s="19"/>
      <c r="BP121" s="20"/>
      <c r="BQ121" s="20"/>
      <c r="BR121" s="20"/>
      <c r="BS121" s="20"/>
      <c r="BT121" s="21"/>
      <c r="BU121" s="22"/>
      <c r="BV121" s="22"/>
      <c r="BW121" s="22"/>
      <c r="BX121" s="22"/>
      <c r="BY121" s="23"/>
      <c r="BZ121" s="24"/>
      <c r="CA121" s="24"/>
      <c r="CB121" s="24"/>
      <c r="CC121" s="24"/>
      <c r="CD121" s="25"/>
      <c r="CE121" s="26"/>
      <c r="CF121" s="26"/>
      <c r="CG121" s="26"/>
      <c r="CH121" s="26"/>
      <c r="CI121" s="27"/>
      <c r="CJ121" s="28"/>
      <c r="CK121" s="28"/>
      <c r="CL121" s="28"/>
      <c r="CM121" s="28"/>
      <c r="CN121" s="25"/>
      <c r="CO121" s="26"/>
      <c r="CP121" s="26"/>
      <c r="CQ121" s="26"/>
      <c r="CR121" s="26"/>
      <c r="CS121" s="27"/>
      <c r="CT121" s="28"/>
      <c r="CU121" s="28"/>
      <c r="CV121" s="28"/>
      <c r="CW121" s="28"/>
      <c r="CX121" s="25"/>
      <c r="CY121" s="26"/>
      <c r="CZ121" s="26"/>
      <c r="DA121" s="26"/>
      <c r="DB121" s="26"/>
      <c r="DC121" s="27"/>
      <c r="DD121" s="28"/>
      <c r="DE121" s="28"/>
      <c r="DF121" s="28"/>
      <c r="DG121" s="28"/>
      <c r="DH121" s="25"/>
      <c r="DI121" s="26"/>
      <c r="DJ121" s="26"/>
      <c r="DK121" s="26"/>
      <c r="DL121" s="26"/>
      <c r="DM121" s="27"/>
      <c r="DN121" s="28"/>
      <c r="DO121" s="28"/>
      <c r="DP121" s="28"/>
      <c r="DQ121" s="28"/>
      <c r="DR121" s="25"/>
      <c r="DS121" s="26"/>
      <c r="DT121" s="26"/>
      <c r="DU121" s="26"/>
      <c r="DV121" s="26"/>
      <c r="DW121" s="27"/>
      <c r="DX121" s="28"/>
      <c r="DY121" s="28"/>
      <c r="DZ121" s="28"/>
      <c r="EA121" s="28"/>
      <c r="EB121" s="29"/>
      <c r="EC121" s="30"/>
      <c r="ED121" s="30"/>
      <c r="EE121" s="30"/>
      <c r="EF121" s="30"/>
      <c r="EG121" s="31"/>
      <c r="EH121" s="32"/>
      <c r="EI121" s="32"/>
      <c r="EJ121" s="32"/>
      <c r="EK121" s="32"/>
      <c r="EL121" s="29"/>
      <c r="EM121" s="30"/>
      <c r="EN121" s="30"/>
      <c r="EO121" s="30"/>
      <c r="EP121" s="30"/>
      <c r="EQ121" s="31"/>
      <c r="ER121" s="32"/>
      <c r="ES121" s="32"/>
      <c r="ET121" s="32"/>
      <c r="EU121" s="32"/>
      <c r="EV121" s="29"/>
      <c r="EW121" s="30"/>
      <c r="EX121" s="30"/>
      <c r="EY121" s="30"/>
      <c r="EZ121" s="30"/>
      <c r="FA121" s="31"/>
      <c r="FB121" s="32"/>
      <c r="FC121" s="32"/>
      <c r="FD121" s="32"/>
      <c r="FE121" s="32"/>
      <c r="FF121" s="29"/>
      <c r="FG121" s="30"/>
      <c r="FH121" s="30"/>
      <c r="FI121" s="30"/>
      <c r="FJ121" s="30"/>
      <c r="FK121" s="31"/>
      <c r="FL121" s="32"/>
      <c r="FM121" s="32"/>
      <c r="FN121" s="32"/>
      <c r="FO121" s="32"/>
      <c r="FP121" s="29"/>
      <c r="FQ121" s="30"/>
      <c r="FR121" s="30"/>
      <c r="FS121" s="30"/>
      <c r="FT121" s="30"/>
      <c r="FU121" s="31"/>
      <c r="FV121" s="32"/>
      <c r="FW121" s="32"/>
      <c r="FX121" s="32"/>
      <c r="FY121" s="32"/>
      <c r="FZ121" s="29"/>
      <c r="GA121" s="30"/>
      <c r="GB121" s="30"/>
      <c r="GC121" s="30"/>
      <c r="GD121" s="30"/>
    </row>
    <row r="122" spans="1:186" ht="48" x14ac:dyDescent="0.25">
      <c r="A122" s="156">
        <v>113</v>
      </c>
      <c r="B122" s="395">
        <f>'Tier 3 Intervention'!B459</f>
        <v>0</v>
      </c>
      <c r="C122" s="395"/>
      <c r="D122" s="395"/>
      <c r="E122" s="395"/>
      <c r="F122" s="395"/>
      <c r="G122" s="395"/>
      <c r="H122" s="761" t="e">
        <f>'Tier 3 Intervention'!AA459+30</f>
        <v>#VALUE!</v>
      </c>
      <c r="I122" s="761"/>
      <c r="J122" s="762" t="e">
        <f t="shared" si="2"/>
        <v>#VALUE!</v>
      </c>
      <c r="K122" s="395"/>
      <c r="L122" s="47" t="s">
        <v>899</v>
      </c>
      <c r="M122" s="46"/>
      <c r="N122" s="46"/>
      <c r="O122" s="46"/>
      <c r="P122" s="49"/>
      <c r="Q122" s="19"/>
      <c r="R122" s="20"/>
      <c r="S122" s="20"/>
      <c r="T122" s="20"/>
      <c r="U122" s="20"/>
      <c r="V122" s="21"/>
      <c r="W122" s="22"/>
      <c r="X122" s="22"/>
      <c r="Y122" s="22"/>
      <c r="Z122" s="22"/>
      <c r="AA122" s="19"/>
      <c r="AB122" s="20"/>
      <c r="AC122" s="20"/>
      <c r="AD122" s="20"/>
      <c r="AE122" s="20"/>
      <c r="AF122" s="21"/>
      <c r="AG122" s="22"/>
      <c r="AH122" s="22"/>
      <c r="AI122" s="22"/>
      <c r="AJ122" s="22"/>
      <c r="AK122" s="19"/>
      <c r="AL122" s="20"/>
      <c r="AM122" s="20"/>
      <c r="AN122" s="20"/>
      <c r="AO122" s="20"/>
      <c r="AP122" s="21"/>
      <c r="AQ122" s="22"/>
      <c r="AR122" s="22"/>
      <c r="AS122" s="22"/>
      <c r="AT122" s="22"/>
      <c r="AU122" s="19"/>
      <c r="AV122" s="20"/>
      <c r="AW122" s="20"/>
      <c r="AX122" s="20"/>
      <c r="AY122" s="20"/>
      <c r="AZ122" s="21"/>
      <c r="BA122" s="22"/>
      <c r="BB122" s="22"/>
      <c r="BC122" s="22"/>
      <c r="BD122" s="22"/>
      <c r="BE122" s="19"/>
      <c r="BF122" s="20"/>
      <c r="BG122" s="20"/>
      <c r="BH122" s="20"/>
      <c r="BI122" s="20"/>
      <c r="BJ122" s="21"/>
      <c r="BK122" s="22"/>
      <c r="BL122" s="22"/>
      <c r="BM122" s="22"/>
      <c r="BN122" s="22"/>
      <c r="BO122" s="19"/>
      <c r="BP122" s="20"/>
      <c r="BQ122" s="20"/>
      <c r="BR122" s="20"/>
      <c r="BS122" s="20"/>
      <c r="BT122" s="21"/>
      <c r="BU122" s="22"/>
      <c r="BV122" s="22"/>
      <c r="BW122" s="22"/>
      <c r="BX122" s="22"/>
      <c r="BY122" s="23"/>
      <c r="BZ122" s="24"/>
      <c r="CA122" s="24"/>
      <c r="CB122" s="24"/>
      <c r="CC122" s="24"/>
      <c r="CD122" s="25"/>
      <c r="CE122" s="26"/>
      <c r="CF122" s="26"/>
      <c r="CG122" s="26"/>
      <c r="CH122" s="26"/>
      <c r="CI122" s="27"/>
      <c r="CJ122" s="28"/>
      <c r="CK122" s="28"/>
      <c r="CL122" s="28"/>
      <c r="CM122" s="28"/>
      <c r="CN122" s="25"/>
      <c r="CO122" s="26"/>
      <c r="CP122" s="26"/>
      <c r="CQ122" s="26"/>
      <c r="CR122" s="26"/>
      <c r="CS122" s="27"/>
      <c r="CT122" s="28"/>
      <c r="CU122" s="28"/>
      <c r="CV122" s="28"/>
      <c r="CW122" s="28"/>
      <c r="CX122" s="25"/>
      <c r="CY122" s="26"/>
      <c r="CZ122" s="26"/>
      <c r="DA122" s="26"/>
      <c r="DB122" s="26"/>
      <c r="DC122" s="27"/>
      <c r="DD122" s="28"/>
      <c r="DE122" s="28"/>
      <c r="DF122" s="28"/>
      <c r="DG122" s="28"/>
      <c r="DH122" s="25"/>
      <c r="DI122" s="26"/>
      <c r="DJ122" s="26"/>
      <c r="DK122" s="26"/>
      <c r="DL122" s="26"/>
      <c r="DM122" s="27"/>
      <c r="DN122" s="28"/>
      <c r="DO122" s="28"/>
      <c r="DP122" s="28"/>
      <c r="DQ122" s="28"/>
      <c r="DR122" s="25"/>
      <c r="DS122" s="26"/>
      <c r="DT122" s="26"/>
      <c r="DU122" s="26"/>
      <c r="DV122" s="26"/>
      <c r="DW122" s="27"/>
      <c r="DX122" s="28"/>
      <c r="DY122" s="28"/>
      <c r="DZ122" s="28"/>
      <c r="EA122" s="28"/>
      <c r="EB122" s="29"/>
      <c r="EC122" s="30"/>
      <c r="ED122" s="30"/>
      <c r="EE122" s="30"/>
      <c r="EF122" s="30"/>
      <c r="EG122" s="31"/>
      <c r="EH122" s="32"/>
      <c r="EI122" s="32"/>
      <c r="EJ122" s="32"/>
      <c r="EK122" s="32"/>
      <c r="EL122" s="29"/>
      <c r="EM122" s="30"/>
      <c r="EN122" s="30"/>
      <c r="EO122" s="30"/>
      <c r="EP122" s="30"/>
      <c r="EQ122" s="31"/>
      <c r="ER122" s="32"/>
      <c r="ES122" s="32"/>
      <c r="ET122" s="32"/>
      <c r="EU122" s="32"/>
      <c r="EV122" s="29"/>
      <c r="EW122" s="30"/>
      <c r="EX122" s="30"/>
      <c r="EY122" s="30"/>
      <c r="EZ122" s="30"/>
      <c r="FA122" s="31"/>
      <c r="FB122" s="32"/>
      <c r="FC122" s="32"/>
      <c r="FD122" s="32"/>
      <c r="FE122" s="32"/>
      <c r="FF122" s="29"/>
      <c r="FG122" s="30"/>
      <c r="FH122" s="30"/>
      <c r="FI122" s="30"/>
      <c r="FJ122" s="30"/>
      <c r="FK122" s="31"/>
      <c r="FL122" s="32"/>
      <c r="FM122" s="32"/>
      <c r="FN122" s="32"/>
      <c r="FO122" s="32"/>
      <c r="FP122" s="29"/>
      <c r="FQ122" s="30"/>
      <c r="FR122" s="30"/>
      <c r="FS122" s="30"/>
      <c r="FT122" s="30"/>
      <c r="FU122" s="31"/>
      <c r="FV122" s="32"/>
      <c r="FW122" s="32"/>
      <c r="FX122" s="32"/>
      <c r="FY122" s="32"/>
      <c r="FZ122" s="29"/>
      <c r="GA122" s="30"/>
      <c r="GB122" s="30"/>
      <c r="GC122" s="30"/>
      <c r="GD122" s="30"/>
    </row>
    <row r="123" spans="1:186" ht="48" x14ac:dyDescent="0.25">
      <c r="A123" s="156">
        <v>114</v>
      </c>
      <c r="B123" s="395">
        <f>'Tier 3 Intervention'!B463</f>
        <v>0</v>
      </c>
      <c r="C123" s="395"/>
      <c r="D123" s="395"/>
      <c r="E123" s="395"/>
      <c r="F123" s="395"/>
      <c r="G123" s="395"/>
      <c r="H123" s="761" t="e">
        <f>'Tier 3 Intervention'!AA463+30</f>
        <v>#VALUE!</v>
      </c>
      <c r="I123" s="761"/>
      <c r="J123" s="762" t="e">
        <f t="shared" si="2"/>
        <v>#VALUE!</v>
      </c>
      <c r="K123" s="395"/>
      <c r="L123" s="47" t="s">
        <v>900</v>
      </c>
      <c r="M123" s="46"/>
      <c r="N123" s="46"/>
      <c r="O123" s="46"/>
      <c r="P123" s="49"/>
      <c r="Q123" s="19"/>
      <c r="R123" s="20"/>
      <c r="S123" s="20"/>
      <c r="T123" s="20"/>
      <c r="U123" s="20"/>
      <c r="V123" s="21"/>
      <c r="W123" s="22"/>
      <c r="X123" s="22"/>
      <c r="Y123" s="22"/>
      <c r="Z123" s="22"/>
      <c r="AA123" s="19"/>
      <c r="AB123" s="20"/>
      <c r="AC123" s="20"/>
      <c r="AD123" s="20"/>
      <c r="AE123" s="20"/>
      <c r="AF123" s="21"/>
      <c r="AG123" s="22"/>
      <c r="AH123" s="22"/>
      <c r="AI123" s="22"/>
      <c r="AJ123" s="22"/>
      <c r="AK123" s="19"/>
      <c r="AL123" s="20"/>
      <c r="AM123" s="20"/>
      <c r="AN123" s="20"/>
      <c r="AO123" s="20"/>
      <c r="AP123" s="21"/>
      <c r="AQ123" s="22"/>
      <c r="AR123" s="22"/>
      <c r="AS123" s="22"/>
      <c r="AT123" s="22"/>
      <c r="AU123" s="19"/>
      <c r="AV123" s="20"/>
      <c r="AW123" s="20"/>
      <c r="AX123" s="20"/>
      <c r="AY123" s="20"/>
      <c r="AZ123" s="21"/>
      <c r="BA123" s="22"/>
      <c r="BB123" s="22"/>
      <c r="BC123" s="22"/>
      <c r="BD123" s="22"/>
      <c r="BE123" s="19"/>
      <c r="BF123" s="20"/>
      <c r="BG123" s="20"/>
      <c r="BH123" s="20"/>
      <c r="BI123" s="20"/>
      <c r="BJ123" s="21"/>
      <c r="BK123" s="22"/>
      <c r="BL123" s="22"/>
      <c r="BM123" s="22"/>
      <c r="BN123" s="22"/>
      <c r="BO123" s="19"/>
      <c r="BP123" s="20"/>
      <c r="BQ123" s="20"/>
      <c r="BR123" s="20"/>
      <c r="BS123" s="20"/>
      <c r="BT123" s="21"/>
      <c r="BU123" s="22"/>
      <c r="BV123" s="22"/>
      <c r="BW123" s="22"/>
      <c r="BX123" s="22"/>
      <c r="BY123" s="23"/>
      <c r="BZ123" s="24"/>
      <c r="CA123" s="24"/>
      <c r="CB123" s="24"/>
      <c r="CC123" s="24"/>
      <c r="CD123" s="25"/>
      <c r="CE123" s="26"/>
      <c r="CF123" s="26"/>
      <c r="CG123" s="26"/>
      <c r="CH123" s="26"/>
      <c r="CI123" s="27"/>
      <c r="CJ123" s="28"/>
      <c r="CK123" s="28"/>
      <c r="CL123" s="28"/>
      <c r="CM123" s="28"/>
      <c r="CN123" s="25"/>
      <c r="CO123" s="26"/>
      <c r="CP123" s="26"/>
      <c r="CQ123" s="26"/>
      <c r="CR123" s="26"/>
      <c r="CS123" s="27"/>
      <c r="CT123" s="28"/>
      <c r="CU123" s="28"/>
      <c r="CV123" s="28"/>
      <c r="CW123" s="28"/>
      <c r="CX123" s="25"/>
      <c r="CY123" s="26"/>
      <c r="CZ123" s="26"/>
      <c r="DA123" s="26"/>
      <c r="DB123" s="26"/>
      <c r="DC123" s="27"/>
      <c r="DD123" s="28"/>
      <c r="DE123" s="28"/>
      <c r="DF123" s="28"/>
      <c r="DG123" s="28"/>
      <c r="DH123" s="25"/>
      <c r="DI123" s="26"/>
      <c r="DJ123" s="26"/>
      <c r="DK123" s="26"/>
      <c r="DL123" s="26"/>
      <c r="DM123" s="27"/>
      <c r="DN123" s="28"/>
      <c r="DO123" s="28"/>
      <c r="DP123" s="28"/>
      <c r="DQ123" s="28"/>
      <c r="DR123" s="25"/>
      <c r="DS123" s="26"/>
      <c r="DT123" s="26"/>
      <c r="DU123" s="26"/>
      <c r="DV123" s="26"/>
      <c r="DW123" s="27"/>
      <c r="DX123" s="28"/>
      <c r="DY123" s="28"/>
      <c r="DZ123" s="28"/>
      <c r="EA123" s="28"/>
      <c r="EB123" s="29"/>
      <c r="EC123" s="30"/>
      <c r="ED123" s="30"/>
      <c r="EE123" s="30"/>
      <c r="EF123" s="30"/>
      <c r="EG123" s="31"/>
      <c r="EH123" s="32"/>
      <c r="EI123" s="32"/>
      <c r="EJ123" s="32"/>
      <c r="EK123" s="32"/>
      <c r="EL123" s="29"/>
      <c r="EM123" s="30"/>
      <c r="EN123" s="30"/>
      <c r="EO123" s="30"/>
      <c r="EP123" s="30"/>
      <c r="EQ123" s="31"/>
      <c r="ER123" s="32"/>
      <c r="ES123" s="32"/>
      <c r="ET123" s="32"/>
      <c r="EU123" s="32"/>
      <c r="EV123" s="29"/>
      <c r="EW123" s="30"/>
      <c r="EX123" s="30"/>
      <c r="EY123" s="30"/>
      <c r="EZ123" s="30"/>
      <c r="FA123" s="31"/>
      <c r="FB123" s="32"/>
      <c r="FC123" s="32"/>
      <c r="FD123" s="32"/>
      <c r="FE123" s="32"/>
      <c r="FF123" s="29"/>
      <c r="FG123" s="30"/>
      <c r="FH123" s="30"/>
      <c r="FI123" s="30"/>
      <c r="FJ123" s="30"/>
      <c r="FK123" s="31"/>
      <c r="FL123" s="32"/>
      <c r="FM123" s="32"/>
      <c r="FN123" s="32"/>
      <c r="FO123" s="32"/>
      <c r="FP123" s="29"/>
      <c r="FQ123" s="30"/>
      <c r="FR123" s="30"/>
      <c r="FS123" s="30"/>
      <c r="FT123" s="30"/>
      <c r="FU123" s="31"/>
      <c r="FV123" s="32"/>
      <c r="FW123" s="32"/>
      <c r="FX123" s="32"/>
      <c r="FY123" s="32"/>
      <c r="FZ123" s="29"/>
      <c r="GA123" s="30"/>
      <c r="GB123" s="30"/>
      <c r="GC123" s="30"/>
      <c r="GD123" s="30"/>
    </row>
    <row r="124" spans="1:186" ht="48" x14ac:dyDescent="0.25">
      <c r="A124" s="156">
        <v>115</v>
      </c>
      <c r="B124" s="395">
        <f>'Tier 3 Intervention'!B467</f>
        <v>0</v>
      </c>
      <c r="C124" s="395"/>
      <c r="D124" s="395"/>
      <c r="E124" s="395"/>
      <c r="F124" s="395"/>
      <c r="G124" s="395"/>
      <c r="H124" s="761" t="e">
        <f>'Tier 3 Intervention'!AA467+30</f>
        <v>#VALUE!</v>
      </c>
      <c r="I124" s="761"/>
      <c r="J124" s="762" t="e">
        <f t="shared" si="2"/>
        <v>#VALUE!</v>
      </c>
      <c r="K124" s="395"/>
      <c r="L124" s="47" t="s">
        <v>901</v>
      </c>
      <c r="M124" s="46"/>
      <c r="N124" s="46"/>
      <c r="O124" s="46"/>
      <c r="P124" s="49"/>
      <c r="Q124" s="19"/>
      <c r="R124" s="20"/>
      <c r="S124" s="20"/>
      <c r="T124" s="20"/>
      <c r="U124" s="20"/>
      <c r="V124" s="21"/>
      <c r="W124" s="22"/>
      <c r="X124" s="22"/>
      <c r="Y124" s="22"/>
      <c r="Z124" s="22"/>
      <c r="AA124" s="19"/>
      <c r="AB124" s="20"/>
      <c r="AC124" s="20"/>
      <c r="AD124" s="20"/>
      <c r="AE124" s="20"/>
      <c r="AF124" s="21"/>
      <c r="AG124" s="22"/>
      <c r="AH124" s="22"/>
      <c r="AI124" s="22"/>
      <c r="AJ124" s="22"/>
      <c r="AK124" s="19"/>
      <c r="AL124" s="20"/>
      <c r="AM124" s="20"/>
      <c r="AN124" s="20"/>
      <c r="AO124" s="20"/>
      <c r="AP124" s="21"/>
      <c r="AQ124" s="22"/>
      <c r="AR124" s="22"/>
      <c r="AS124" s="22"/>
      <c r="AT124" s="22"/>
      <c r="AU124" s="19"/>
      <c r="AV124" s="20"/>
      <c r="AW124" s="20"/>
      <c r="AX124" s="20"/>
      <c r="AY124" s="20"/>
      <c r="AZ124" s="21"/>
      <c r="BA124" s="22"/>
      <c r="BB124" s="22"/>
      <c r="BC124" s="22"/>
      <c r="BD124" s="22"/>
      <c r="BE124" s="19"/>
      <c r="BF124" s="20"/>
      <c r="BG124" s="20"/>
      <c r="BH124" s="20"/>
      <c r="BI124" s="20"/>
      <c r="BJ124" s="21"/>
      <c r="BK124" s="22"/>
      <c r="BL124" s="22"/>
      <c r="BM124" s="22"/>
      <c r="BN124" s="22"/>
      <c r="BO124" s="19"/>
      <c r="BP124" s="20"/>
      <c r="BQ124" s="20"/>
      <c r="BR124" s="20"/>
      <c r="BS124" s="20"/>
      <c r="BT124" s="21"/>
      <c r="BU124" s="22"/>
      <c r="BV124" s="22"/>
      <c r="BW124" s="22"/>
      <c r="BX124" s="22"/>
      <c r="BY124" s="23"/>
      <c r="BZ124" s="24"/>
      <c r="CA124" s="24"/>
      <c r="CB124" s="24"/>
      <c r="CC124" s="24"/>
      <c r="CD124" s="25"/>
      <c r="CE124" s="26"/>
      <c r="CF124" s="26"/>
      <c r="CG124" s="26"/>
      <c r="CH124" s="26"/>
      <c r="CI124" s="27"/>
      <c r="CJ124" s="28"/>
      <c r="CK124" s="28"/>
      <c r="CL124" s="28"/>
      <c r="CM124" s="28"/>
      <c r="CN124" s="25"/>
      <c r="CO124" s="26"/>
      <c r="CP124" s="26"/>
      <c r="CQ124" s="26"/>
      <c r="CR124" s="26"/>
      <c r="CS124" s="27"/>
      <c r="CT124" s="28"/>
      <c r="CU124" s="28"/>
      <c r="CV124" s="28"/>
      <c r="CW124" s="28"/>
      <c r="CX124" s="25"/>
      <c r="CY124" s="26"/>
      <c r="CZ124" s="26"/>
      <c r="DA124" s="26"/>
      <c r="DB124" s="26"/>
      <c r="DC124" s="27"/>
      <c r="DD124" s="28"/>
      <c r="DE124" s="28"/>
      <c r="DF124" s="28"/>
      <c r="DG124" s="28"/>
      <c r="DH124" s="25"/>
      <c r="DI124" s="26"/>
      <c r="DJ124" s="26"/>
      <c r="DK124" s="26"/>
      <c r="DL124" s="26"/>
      <c r="DM124" s="27"/>
      <c r="DN124" s="28"/>
      <c r="DO124" s="28"/>
      <c r="DP124" s="28"/>
      <c r="DQ124" s="28"/>
      <c r="DR124" s="25"/>
      <c r="DS124" s="26"/>
      <c r="DT124" s="26"/>
      <c r="DU124" s="26"/>
      <c r="DV124" s="26"/>
      <c r="DW124" s="27"/>
      <c r="DX124" s="28"/>
      <c r="DY124" s="28"/>
      <c r="DZ124" s="28"/>
      <c r="EA124" s="28"/>
      <c r="EB124" s="29"/>
      <c r="EC124" s="30"/>
      <c r="ED124" s="30"/>
      <c r="EE124" s="30"/>
      <c r="EF124" s="30"/>
      <c r="EG124" s="31"/>
      <c r="EH124" s="32"/>
      <c r="EI124" s="32"/>
      <c r="EJ124" s="32"/>
      <c r="EK124" s="32"/>
      <c r="EL124" s="29"/>
      <c r="EM124" s="30"/>
      <c r="EN124" s="30"/>
      <c r="EO124" s="30"/>
      <c r="EP124" s="30"/>
      <c r="EQ124" s="31"/>
      <c r="ER124" s="32"/>
      <c r="ES124" s="32"/>
      <c r="ET124" s="32"/>
      <c r="EU124" s="32"/>
      <c r="EV124" s="29"/>
      <c r="EW124" s="30"/>
      <c r="EX124" s="30"/>
      <c r="EY124" s="30"/>
      <c r="EZ124" s="30"/>
      <c r="FA124" s="31"/>
      <c r="FB124" s="32"/>
      <c r="FC124" s="32"/>
      <c r="FD124" s="32"/>
      <c r="FE124" s="32"/>
      <c r="FF124" s="29"/>
      <c r="FG124" s="30"/>
      <c r="FH124" s="30"/>
      <c r="FI124" s="30"/>
      <c r="FJ124" s="30"/>
      <c r="FK124" s="31"/>
      <c r="FL124" s="32"/>
      <c r="FM124" s="32"/>
      <c r="FN124" s="32"/>
      <c r="FO124" s="32"/>
      <c r="FP124" s="29"/>
      <c r="FQ124" s="30"/>
      <c r="FR124" s="30"/>
      <c r="FS124" s="30"/>
      <c r="FT124" s="30"/>
      <c r="FU124" s="31"/>
      <c r="FV124" s="32"/>
      <c r="FW124" s="32"/>
      <c r="FX124" s="32"/>
      <c r="FY124" s="32"/>
      <c r="FZ124" s="29"/>
      <c r="GA124" s="30"/>
      <c r="GB124" s="30"/>
      <c r="GC124" s="30"/>
      <c r="GD124" s="30"/>
    </row>
    <row r="125" spans="1:186" ht="48" x14ac:dyDescent="0.25">
      <c r="A125" s="156">
        <v>116</v>
      </c>
      <c r="B125" s="395">
        <f>'Tier 3 Intervention'!B471</f>
        <v>0</v>
      </c>
      <c r="C125" s="395"/>
      <c r="D125" s="395"/>
      <c r="E125" s="395"/>
      <c r="F125" s="395"/>
      <c r="G125" s="395"/>
      <c r="H125" s="761" t="e">
        <f>'Tier 3 Intervention'!AA471+30</f>
        <v>#VALUE!</v>
      </c>
      <c r="I125" s="761"/>
      <c r="J125" s="762" t="e">
        <f t="shared" si="2"/>
        <v>#VALUE!</v>
      </c>
      <c r="K125" s="395"/>
      <c r="L125" s="47" t="s">
        <v>902</v>
      </c>
      <c r="M125" s="46"/>
      <c r="N125" s="46"/>
      <c r="O125" s="46"/>
      <c r="P125" s="49"/>
      <c r="Q125" s="19"/>
      <c r="R125" s="20"/>
      <c r="S125" s="20"/>
      <c r="T125" s="20"/>
      <c r="U125" s="20"/>
      <c r="V125" s="21"/>
      <c r="W125" s="22"/>
      <c r="X125" s="22"/>
      <c r="Y125" s="22"/>
      <c r="Z125" s="22"/>
      <c r="AA125" s="19"/>
      <c r="AB125" s="20"/>
      <c r="AC125" s="20"/>
      <c r="AD125" s="20"/>
      <c r="AE125" s="20"/>
      <c r="AF125" s="21"/>
      <c r="AG125" s="22"/>
      <c r="AH125" s="22"/>
      <c r="AI125" s="22"/>
      <c r="AJ125" s="22"/>
      <c r="AK125" s="19"/>
      <c r="AL125" s="20"/>
      <c r="AM125" s="20"/>
      <c r="AN125" s="20"/>
      <c r="AO125" s="20"/>
      <c r="AP125" s="21"/>
      <c r="AQ125" s="22"/>
      <c r="AR125" s="22"/>
      <c r="AS125" s="22"/>
      <c r="AT125" s="22"/>
      <c r="AU125" s="19"/>
      <c r="AV125" s="20"/>
      <c r="AW125" s="20"/>
      <c r="AX125" s="20"/>
      <c r="AY125" s="20"/>
      <c r="AZ125" s="21"/>
      <c r="BA125" s="22"/>
      <c r="BB125" s="22"/>
      <c r="BC125" s="22"/>
      <c r="BD125" s="22"/>
      <c r="BE125" s="19"/>
      <c r="BF125" s="20"/>
      <c r="BG125" s="20"/>
      <c r="BH125" s="20"/>
      <c r="BI125" s="20"/>
      <c r="BJ125" s="21"/>
      <c r="BK125" s="22"/>
      <c r="BL125" s="22"/>
      <c r="BM125" s="22"/>
      <c r="BN125" s="22"/>
      <c r="BO125" s="19"/>
      <c r="BP125" s="20"/>
      <c r="BQ125" s="20"/>
      <c r="BR125" s="20"/>
      <c r="BS125" s="20"/>
      <c r="BT125" s="21"/>
      <c r="BU125" s="22"/>
      <c r="BV125" s="22"/>
      <c r="BW125" s="22"/>
      <c r="BX125" s="22"/>
      <c r="BY125" s="23"/>
      <c r="BZ125" s="24"/>
      <c r="CA125" s="24"/>
      <c r="CB125" s="24"/>
      <c r="CC125" s="24"/>
      <c r="CD125" s="25"/>
      <c r="CE125" s="26"/>
      <c r="CF125" s="26"/>
      <c r="CG125" s="26"/>
      <c r="CH125" s="26"/>
      <c r="CI125" s="27"/>
      <c r="CJ125" s="28"/>
      <c r="CK125" s="28"/>
      <c r="CL125" s="28"/>
      <c r="CM125" s="28"/>
      <c r="CN125" s="25"/>
      <c r="CO125" s="26"/>
      <c r="CP125" s="26"/>
      <c r="CQ125" s="26"/>
      <c r="CR125" s="26"/>
      <c r="CS125" s="27"/>
      <c r="CT125" s="28"/>
      <c r="CU125" s="28"/>
      <c r="CV125" s="28"/>
      <c r="CW125" s="28"/>
      <c r="CX125" s="25"/>
      <c r="CY125" s="26"/>
      <c r="CZ125" s="26"/>
      <c r="DA125" s="26"/>
      <c r="DB125" s="26"/>
      <c r="DC125" s="27"/>
      <c r="DD125" s="28"/>
      <c r="DE125" s="28"/>
      <c r="DF125" s="28"/>
      <c r="DG125" s="28"/>
      <c r="DH125" s="25"/>
      <c r="DI125" s="26"/>
      <c r="DJ125" s="26"/>
      <c r="DK125" s="26"/>
      <c r="DL125" s="26"/>
      <c r="DM125" s="27"/>
      <c r="DN125" s="28"/>
      <c r="DO125" s="28"/>
      <c r="DP125" s="28"/>
      <c r="DQ125" s="28"/>
      <c r="DR125" s="25"/>
      <c r="DS125" s="26"/>
      <c r="DT125" s="26"/>
      <c r="DU125" s="26"/>
      <c r="DV125" s="26"/>
      <c r="DW125" s="27"/>
      <c r="DX125" s="28"/>
      <c r="DY125" s="28"/>
      <c r="DZ125" s="28"/>
      <c r="EA125" s="28"/>
      <c r="EB125" s="29"/>
      <c r="EC125" s="30"/>
      <c r="ED125" s="30"/>
      <c r="EE125" s="30"/>
      <c r="EF125" s="30"/>
      <c r="EG125" s="31"/>
      <c r="EH125" s="32"/>
      <c r="EI125" s="32"/>
      <c r="EJ125" s="32"/>
      <c r="EK125" s="32"/>
      <c r="EL125" s="29"/>
      <c r="EM125" s="30"/>
      <c r="EN125" s="30"/>
      <c r="EO125" s="30"/>
      <c r="EP125" s="30"/>
      <c r="EQ125" s="31"/>
      <c r="ER125" s="32"/>
      <c r="ES125" s="32"/>
      <c r="ET125" s="32"/>
      <c r="EU125" s="32"/>
      <c r="EV125" s="29"/>
      <c r="EW125" s="30"/>
      <c r="EX125" s="30"/>
      <c r="EY125" s="30"/>
      <c r="EZ125" s="30"/>
      <c r="FA125" s="31"/>
      <c r="FB125" s="32"/>
      <c r="FC125" s="32"/>
      <c r="FD125" s="32"/>
      <c r="FE125" s="32"/>
      <c r="FF125" s="29"/>
      <c r="FG125" s="30"/>
      <c r="FH125" s="30"/>
      <c r="FI125" s="30"/>
      <c r="FJ125" s="30"/>
      <c r="FK125" s="31"/>
      <c r="FL125" s="32"/>
      <c r="FM125" s="32"/>
      <c r="FN125" s="32"/>
      <c r="FO125" s="32"/>
      <c r="FP125" s="29"/>
      <c r="FQ125" s="30"/>
      <c r="FR125" s="30"/>
      <c r="FS125" s="30"/>
      <c r="FT125" s="30"/>
      <c r="FU125" s="31"/>
      <c r="FV125" s="32"/>
      <c r="FW125" s="32"/>
      <c r="FX125" s="32"/>
      <c r="FY125" s="32"/>
      <c r="FZ125" s="29"/>
      <c r="GA125" s="30"/>
      <c r="GB125" s="30"/>
      <c r="GC125" s="30"/>
      <c r="GD125" s="30"/>
    </row>
    <row r="126" spans="1:186" ht="48" x14ac:dyDescent="0.25">
      <c r="A126" s="156">
        <v>117</v>
      </c>
      <c r="B126" s="395">
        <f>'Tier 3 Intervention'!B475</f>
        <v>0</v>
      </c>
      <c r="C126" s="395"/>
      <c r="D126" s="395"/>
      <c r="E126" s="395"/>
      <c r="F126" s="395"/>
      <c r="G126" s="395"/>
      <c r="H126" s="761" t="e">
        <f>'Tier 3 Intervention'!AA475+30</f>
        <v>#VALUE!</v>
      </c>
      <c r="I126" s="761"/>
      <c r="J126" s="762" t="e">
        <f t="shared" si="2"/>
        <v>#VALUE!</v>
      </c>
      <c r="K126" s="395"/>
      <c r="L126" s="47" t="s">
        <v>903</v>
      </c>
      <c r="M126" s="46"/>
      <c r="N126" s="46"/>
      <c r="O126" s="46"/>
      <c r="P126" s="49"/>
      <c r="Q126" s="19"/>
      <c r="R126" s="20"/>
      <c r="S126" s="20"/>
      <c r="T126" s="20"/>
      <c r="U126" s="20"/>
      <c r="V126" s="21"/>
      <c r="W126" s="22"/>
      <c r="X126" s="22"/>
      <c r="Y126" s="22"/>
      <c r="Z126" s="22"/>
      <c r="AA126" s="19"/>
      <c r="AB126" s="20"/>
      <c r="AC126" s="20"/>
      <c r="AD126" s="20"/>
      <c r="AE126" s="20"/>
      <c r="AF126" s="21"/>
      <c r="AG126" s="22"/>
      <c r="AH126" s="22"/>
      <c r="AI126" s="22"/>
      <c r="AJ126" s="22"/>
      <c r="AK126" s="19"/>
      <c r="AL126" s="20"/>
      <c r="AM126" s="20"/>
      <c r="AN126" s="20"/>
      <c r="AO126" s="20"/>
      <c r="AP126" s="21"/>
      <c r="AQ126" s="22"/>
      <c r="AR126" s="22"/>
      <c r="AS126" s="22"/>
      <c r="AT126" s="22"/>
      <c r="AU126" s="19"/>
      <c r="AV126" s="20"/>
      <c r="AW126" s="20"/>
      <c r="AX126" s="20"/>
      <c r="AY126" s="20"/>
      <c r="AZ126" s="21"/>
      <c r="BA126" s="22"/>
      <c r="BB126" s="22"/>
      <c r="BC126" s="22"/>
      <c r="BD126" s="22"/>
      <c r="BE126" s="19"/>
      <c r="BF126" s="20"/>
      <c r="BG126" s="20"/>
      <c r="BH126" s="20"/>
      <c r="BI126" s="20"/>
      <c r="BJ126" s="21"/>
      <c r="BK126" s="22"/>
      <c r="BL126" s="22"/>
      <c r="BM126" s="22"/>
      <c r="BN126" s="22"/>
      <c r="BO126" s="19"/>
      <c r="BP126" s="20"/>
      <c r="BQ126" s="20"/>
      <c r="BR126" s="20"/>
      <c r="BS126" s="20"/>
      <c r="BT126" s="21"/>
      <c r="BU126" s="22"/>
      <c r="BV126" s="22"/>
      <c r="BW126" s="22"/>
      <c r="BX126" s="22"/>
      <c r="BY126" s="23"/>
      <c r="BZ126" s="24"/>
      <c r="CA126" s="24"/>
      <c r="CB126" s="24"/>
      <c r="CC126" s="24"/>
      <c r="CD126" s="25"/>
      <c r="CE126" s="26"/>
      <c r="CF126" s="26"/>
      <c r="CG126" s="26"/>
      <c r="CH126" s="26"/>
      <c r="CI126" s="27"/>
      <c r="CJ126" s="28"/>
      <c r="CK126" s="28"/>
      <c r="CL126" s="28"/>
      <c r="CM126" s="28"/>
      <c r="CN126" s="25"/>
      <c r="CO126" s="26"/>
      <c r="CP126" s="26"/>
      <c r="CQ126" s="26"/>
      <c r="CR126" s="26"/>
      <c r="CS126" s="27"/>
      <c r="CT126" s="28"/>
      <c r="CU126" s="28"/>
      <c r="CV126" s="28"/>
      <c r="CW126" s="28"/>
      <c r="CX126" s="25"/>
      <c r="CY126" s="26"/>
      <c r="CZ126" s="26"/>
      <c r="DA126" s="26"/>
      <c r="DB126" s="26"/>
      <c r="DC126" s="27"/>
      <c r="DD126" s="28"/>
      <c r="DE126" s="28"/>
      <c r="DF126" s="28"/>
      <c r="DG126" s="28"/>
      <c r="DH126" s="25"/>
      <c r="DI126" s="26"/>
      <c r="DJ126" s="26"/>
      <c r="DK126" s="26"/>
      <c r="DL126" s="26"/>
      <c r="DM126" s="27"/>
      <c r="DN126" s="28"/>
      <c r="DO126" s="28"/>
      <c r="DP126" s="28"/>
      <c r="DQ126" s="28"/>
      <c r="DR126" s="25"/>
      <c r="DS126" s="26"/>
      <c r="DT126" s="26"/>
      <c r="DU126" s="26"/>
      <c r="DV126" s="26"/>
      <c r="DW126" s="27"/>
      <c r="DX126" s="28"/>
      <c r="DY126" s="28"/>
      <c r="DZ126" s="28"/>
      <c r="EA126" s="28"/>
      <c r="EB126" s="29"/>
      <c r="EC126" s="30"/>
      <c r="ED126" s="30"/>
      <c r="EE126" s="30"/>
      <c r="EF126" s="30"/>
      <c r="EG126" s="31"/>
      <c r="EH126" s="32"/>
      <c r="EI126" s="32"/>
      <c r="EJ126" s="32"/>
      <c r="EK126" s="32"/>
      <c r="EL126" s="29"/>
      <c r="EM126" s="30"/>
      <c r="EN126" s="30"/>
      <c r="EO126" s="30"/>
      <c r="EP126" s="30"/>
      <c r="EQ126" s="31"/>
      <c r="ER126" s="32"/>
      <c r="ES126" s="32"/>
      <c r="ET126" s="32"/>
      <c r="EU126" s="32"/>
      <c r="EV126" s="29"/>
      <c r="EW126" s="30"/>
      <c r="EX126" s="30"/>
      <c r="EY126" s="30"/>
      <c r="EZ126" s="30"/>
      <c r="FA126" s="31"/>
      <c r="FB126" s="32"/>
      <c r="FC126" s="32"/>
      <c r="FD126" s="32"/>
      <c r="FE126" s="32"/>
      <c r="FF126" s="29"/>
      <c r="FG126" s="30"/>
      <c r="FH126" s="30"/>
      <c r="FI126" s="30"/>
      <c r="FJ126" s="30"/>
      <c r="FK126" s="31"/>
      <c r="FL126" s="32"/>
      <c r="FM126" s="32"/>
      <c r="FN126" s="32"/>
      <c r="FO126" s="32"/>
      <c r="FP126" s="29"/>
      <c r="FQ126" s="30"/>
      <c r="FR126" s="30"/>
      <c r="FS126" s="30"/>
      <c r="FT126" s="30"/>
      <c r="FU126" s="31"/>
      <c r="FV126" s="32"/>
      <c r="FW126" s="32"/>
      <c r="FX126" s="32"/>
      <c r="FY126" s="32"/>
      <c r="FZ126" s="29"/>
      <c r="GA126" s="30"/>
      <c r="GB126" s="30"/>
      <c r="GC126" s="30"/>
      <c r="GD126" s="30"/>
    </row>
    <row r="127" spans="1:186" ht="48" x14ac:dyDescent="0.25">
      <c r="A127" s="156">
        <v>118</v>
      </c>
      <c r="B127" s="395">
        <f>'Tier 3 Intervention'!B479</f>
        <v>0</v>
      </c>
      <c r="C127" s="395"/>
      <c r="D127" s="395"/>
      <c r="E127" s="395"/>
      <c r="F127" s="395"/>
      <c r="G127" s="395"/>
      <c r="H127" s="761" t="e">
        <f>'Tier 3 Intervention'!AA479+30</f>
        <v>#VALUE!</v>
      </c>
      <c r="I127" s="761"/>
      <c r="J127" s="762" t="e">
        <f t="shared" si="2"/>
        <v>#VALUE!</v>
      </c>
      <c r="K127" s="395"/>
      <c r="L127" s="47" t="s">
        <v>904</v>
      </c>
      <c r="M127" s="46"/>
      <c r="N127" s="46"/>
      <c r="O127" s="46"/>
      <c r="P127" s="49"/>
      <c r="Q127" s="19"/>
      <c r="R127" s="20"/>
      <c r="S127" s="20"/>
      <c r="T127" s="20"/>
      <c r="U127" s="20"/>
      <c r="V127" s="21"/>
      <c r="W127" s="22"/>
      <c r="X127" s="22"/>
      <c r="Y127" s="22"/>
      <c r="Z127" s="22"/>
      <c r="AA127" s="19"/>
      <c r="AB127" s="20"/>
      <c r="AC127" s="20"/>
      <c r="AD127" s="20"/>
      <c r="AE127" s="20"/>
      <c r="AF127" s="21"/>
      <c r="AG127" s="22"/>
      <c r="AH127" s="22"/>
      <c r="AI127" s="22"/>
      <c r="AJ127" s="22"/>
      <c r="AK127" s="19"/>
      <c r="AL127" s="20"/>
      <c r="AM127" s="20"/>
      <c r="AN127" s="20"/>
      <c r="AO127" s="20"/>
      <c r="AP127" s="21"/>
      <c r="AQ127" s="22"/>
      <c r="AR127" s="22"/>
      <c r="AS127" s="22"/>
      <c r="AT127" s="22"/>
      <c r="AU127" s="19"/>
      <c r="AV127" s="20"/>
      <c r="AW127" s="20"/>
      <c r="AX127" s="20"/>
      <c r="AY127" s="20"/>
      <c r="AZ127" s="21"/>
      <c r="BA127" s="22"/>
      <c r="BB127" s="22"/>
      <c r="BC127" s="22"/>
      <c r="BD127" s="22"/>
      <c r="BE127" s="19"/>
      <c r="BF127" s="20"/>
      <c r="BG127" s="20"/>
      <c r="BH127" s="20"/>
      <c r="BI127" s="20"/>
      <c r="BJ127" s="21"/>
      <c r="BK127" s="22"/>
      <c r="BL127" s="22"/>
      <c r="BM127" s="22"/>
      <c r="BN127" s="22"/>
      <c r="BO127" s="19"/>
      <c r="BP127" s="20"/>
      <c r="BQ127" s="20"/>
      <c r="BR127" s="20"/>
      <c r="BS127" s="20"/>
      <c r="BT127" s="21"/>
      <c r="BU127" s="22"/>
      <c r="BV127" s="22"/>
      <c r="BW127" s="22"/>
      <c r="BX127" s="22"/>
      <c r="BY127" s="23"/>
      <c r="BZ127" s="24"/>
      <c r="CA127" s="24"/>
      <c r="CB127" s="24"/>
      <c r="CC127" s="24"/>
      <c r="CD127" s="25"/>
      <c r="CE127" s="26"/>
      <c r="CF127" s="26"/>
      <c r="CG127" s="26"/>
      <c r="CH127" s="26"/>
      <c r="CI127" s="27"/>
      <c r="CJ127" s="28"/>
      <c r="CK127" s="28"/>
      <c r="CL127" s="28"/>
      <c r="CM127" s="28"/>
      <c r="CN127" s="25"/>
      <c r="CO127" s="26"/>
      <c r="CP127" s="26"/>
      <c r="CQ127" s="26"/>
      <c r="CR127" s="26"/>
      <c r="CS127" s="27"/>
      <c r="CT127" s="28"/>
      <c r="CU127" s="28"/>
      <c r="CV127" s="28"/>
      <c r="CW127" s="28"/>
      <c r="CX127" s="25"/>
      <c r="CY127" s="26"/>
      <c r="CZ127" s="26"/>
      <c r="DA127" s="26"/>
      <c r="DB127" s="26"/>
      <c r="DC127" s="27"/>
      <c r="DD127" s="28"/>
      <c r="DE127" s="28"/>
      <c r="DF127" s="28"/>
      <c r="DG127" s="28"/>
      <c r="DH127" s="25"/>
      <c r="DI127" s="26"/>
      <c r="DJ127" s="26"/>
      <c r="DK127" s="26"/>
      <c r="DL127" s="26"/>
      <c r="DM127" s="27"/>
      <c r="DN127" s="28"/>
      <c r="DO127" s="28"/>
      <c r="DP127" s="28"/>
      <c r="DQ127" s="28"/>
      <c r="DR127" s="25"/>
      <c r="DS127" s="26"/>
      <c r="DT127" s="26"/>
      <c r="DU127" s="26"/>
      <c r="DV127" s="26"/>
      <c r="DW127" s="27"/>
      <c r="DX127" s="28"/>
      <c r="DY127" s="28"/>
      <c r="DZ127" s="28"/>
      <c r="EA127" s="28"/>
      <c r="EB127" s="29"/>
      <c r="EC127" s="30"/>
      <c r="ED127" s="30"/>
      <c r="EE127" s="30"/>
      <c r="EF127" s="30"/>
      <c r="EG127" s="31"/>
      <c r="EH127" s="32"/>
      <c r="EI127" s="32"/>
      <c r="EJ127" s="32"/>
      <c r="EK127" s="32"/>
      <c r="EL127" s="29"/>
      <c r="EM127" s="30"/>
      <c r="EN127" s="30"/>
      <c r="EO127" s="30"/>
      <c r="EP127" s="30"/>
      <c r="EQ127" s="31"/>
      <c r="ER127" s="32"/>
      <c r="ES127" s="32"/>
      <c r="ET127" s="32"/>
      <c r="EU127" s="32"/>
      <c r="EV127" s="29"/>
      <c r="EW127" s="30"/>
      <c r="EX127" s="30"/>
      <c r="EY127" s="30"/>
      <c r="EZ127" s="30"/>
      <c r="FA127" s="31"/>
      <c r="FB127" s="32"/>
      <c r="FC127" s="32"/>
      <c r="FD127" s="32"/>
      <c r="FE127" s="32"/>
      <c r="FF127" s="29"/>
      <c r="FG127" s="30"/>
      <c r="FH127" s="30"/>
      <c r="FI127" s="30"/>
      <c r="FJ127" s="30"/>
      <c r="FK127" s="31"/>
      <c r="FL127" s="32"/>
      <c r="FM127" s="32"/>
      <c r="FN127" s="32"/>
      <c r="FO127" s="32"/>
      <c r="FP127" s="29"/>
      <c r="FQ127" s="30"/>
      <c r="FR127" s="30"/>
      <c r="FS127" s="30"/>
      <c r="FT127" s="30"/>
      <c r="FU127" s="31"/>
      <c r="FV127" s="32"/>
      <c r="FW127" s="32"/>
      <c r="FX127" s="32"/>
      <c r="FY127" s="32"/>
      <c r="FZ127" s="29"/>
      <c r="GA127" s="30"/>
      <c r="GB127" s="30"/>
      <c r="GC127" s="30"/>
      <c r="GD127" s="30"/>
    </row>
    <row r="128" spans="1:186" ht="48" x14ac:dyDescent="0.25">
      <c r="A128" s="156">
        <v>119</v>
      </c>
      <c r="B128" s="395">
        <f>'Tier 3 Intervention'!B483</f>
        <v>0</v>
      </c>
      <c r="C128" s="395"/>
      <c r="D128" s="395"/>
      <c r="E128" s="395"/>
      <c r="F128" s="395"/>
      <c r="G128" s="395"/>
      <c r="H128" s="761" t="e">
        <f>'Tier 3 Intervention'!AA483+30</f>
        <v>#VALUE!</v>
      </c>
      <c r="I128" s="761"/>
      <c r="J128" s="762" t="e">
        <f t="shared" si="2"/>
        <v>#VALUE!</v>
      </c>
      <c r="K128" s="395"/>
      <c r="L128" s="47" t="s">
        <v>905</v>
      </c>
      <c r="M128" s="46"/>
      <c r="N128" s="46"/>
      <c r="O128" s="46"/>
      <c r="P128" s="49"/>
      <c r="Q128" s="19"/>
      <c r="R128" s="20"/>
      <c r="S128" s="20"/>
      <c r="T128" s="20"/>
      <c r="U128" s="20"/>
      <c r="V128" s="21"/>
      <c r="W128" s="22"/>
      <c r="X128" s="22"/>
      <c r="Y128" s="22"/>
      <c r="Z128" s="22"/>
      <c r="AA128" s="19"/>
      <c r="AB128" s="20"/>
      <c r="AC128" s="20"/>
      <c r="AD128" s="20"/>
      <c r="AE128" s="20"/>
      <c r="AF128" s="21"/>
      <c r="AG128" s="22"/>
      <c r="AH128" s="22"/>
      <c r="AI128" s="22"/>
      <c r="AJ128" s="22"/>
      <c r="AK128" s="19"/>
      <c r="AL128" s="20"/>
      <c r="AM128" s="20"/>
      <c r="AN128" s="20"/>
      <c r="AO128" s="20"/>
      <c r="AP128" s="21"/>
      <c r="AQ128" s="22"/>
      <c r="AR128" s="22"/>
      <c r="AS128" s="22"/>
      <c r="AT128" s="22"/>
      <c r="AU128" s="19"/>
      <c r="AV128" s="20"/>
      <c r="AW128" s="20"/>
      <c r="AX128" s="20"/>
      <c r="AY128" s="20"/>
      <c r="AZ128" s="21"/>
      <c r="BA128" s="22"/>
      <c r="BB128" s="22"/>
      <c r="BC128" s="22"/>
      <c r="BD128" s="22"/>
      <c r="BE128" s="19"/>
      <c r="BF128" s="20"/>
      <c r="BG128" s="20"/>
      <c r="BH128" s="20"/>
      <c r="BI128" s="20"/>
      <c r="BJ128" s="21"/>
      <c r="BK128" s="22"/>
      <c r="BL128" s="22"/>
      <c r="BM128" s="22"/>
      <c r="BN128" s="22"/>
      <c r="BO128" s="19"/>
      <c r="BP128" s="20"/>
      <c r="BQ128" s="20"/>
      <c r="BR128" s="20"/>
      <c r="BS128" s="20"/>
      <c r="BT128" s="21"/>
      <c r="BU128" s="22"/>
      <c r="BV128" s="22"/>
      <c r="BW128" s="22"/>
      <c r="BX128" s="22"/>
      <c r="BY128" s="23"/>
      <c r="BZ128" s="24"/>
      <c r="CA128" s="24"/>
      <c r="CB128" s="24"/>
      <c r="CC128" s="24"/>
      <c r="CD128" s="25"/>
      <c r="CE128" s="26"/>
      <c r="CF128" s="26"/>
      <c r="CG128" s="26"/>
      <c r="CH128" s="26"/>
      <c r="CI128" s="27"/>
      <c r="CJ128" s="28"/>
      <c r="CK128" s="28"/>
      <c r="CL128" s="28"/>
      <c r="CM128" s="28"/>
      <c r="CN128" s="25"/>
      <c r="CO128" s="26"/>
      <c r="CP128" s="26"/>
      <c r="CQ128" s="26"/>
      <c r="CR128" s="26"/>
      <c r="CS128" s="27"/>
      <c r="CT128" s="28"/>
      <c r="CU128" s="28"/>
      <c r="CV128" s="28"/>
      <c r="CW128" s="28"/>
      <c r="CX128" s="25"/>
      <c r="CY128" s="26"/>
      <c r="CZ128" s="26"/>
      <c r="DA128" s="26"/>
      <c r="DB128" s="26"/>
      <c r="DC128" s="27"/>
      <c r="DD128" s="28"/>
      <c r="DE128" s="28"/>
      <c r="DF128" s="28"/>
      <c r="DG128" s="28"/>
      <c r="DH128" s="25"/>
      <c r="DI128" s="26"/>
      <c r="DJ128" s="26"/>
      <c r="DK128" s="26"/>
      <c r="DL128" s="26"/>
      <c r="DM128" s="27"/>
      <c r="DN128" s="28"/>
      <c r="DO128" s="28"/>
      <c r="DP128" s="28"/>
      <c r="DQ128" s="28"/>
      <c r="DR128" s="25"/>
      <c r="DS128" s="26"/>
      <c r="DT128" s="26"/>
      <c r="DU128" s="26"/>
      <c r="DV128" s="26"/>
      <c r="DW128" s="27"/>
      <c r="DX128" s="28"/>
      <c r="DY128" s="28"/>
      <c r="DZ128" s="28"/>
      <c r="EA128" s="28"/>
      <c r="EB128" s="29"/>
      <c r="EC128" s="30"/>
      <c r="ED128" s="30"/>
      <c r="EE128" s="30"/>
      <c r="EF128" s="30"/>
      <c r="EG128" s="31"/>
      <c r="EH128" s="32"/>
      <c r="EI128" s="32"/>
      <c r="EJ128" s="32"/>
      <c r="EK128" s="32"/>
      <c r="EL128" s="29"/>
      <c r="EM128" s="30"/>
      <c r="EN128" s="30"/>
      <c r="EO128" s="30"/>
      <c r="EP128" s="30"/>
      <c r="EQ128" s="31"/>
      <c r="ER128" s="32"/>
      <c r="ES128" s="32"/>
      <c r="ET128" s="32"/>
      <c r="EU128" s="32"/>
      <c r="EV128" s="29"/>
      <c r="EW128" s="30"/>
      <c r="EX128" s="30"/>
      <c r="EY128" s="30"/>
      <c r="EZ128" s="30"/>
      <c r="FA128" s="31"/>
      <c r="FB128" s="32"/>
      <c r="FC128" s="32"/>
      <c r="FD128" s="32"/>
      <c r="FE128" s="32"/>
      <c r="FF128" s="29"/>
      <c r="FG128" s="30"/>
      <c r="FH128" s="30"/>
      <c r="FI128" s="30"/>
      <c r="FJ128" s="30"/>
      <c r="FK128" s="31"/>
      <c r="FL128" s="32"/>
      <c r="FM128" s="32"/>
      <c r="FN128" s="32"/>
      <c r="FO128" s="32"/>
      <c r="FP128" s="29"/>
      <c r="FQ128" s="30"/>
      <c r="FR128" s="30"/>
      <c r="FS128" s="30"/>
      <c r="FT128" s="30"/>
      <c r="FU128" s="31"/>
      <c r="FV128" s="32"/>
      <c r="FW128" s="32"/>
      <c r="FX128" s="32"/>
      <c r="FY128" s="32"/>
      <c r="FZ128" s="29"/>
      <c r="GA128" s="30"/>
      <c r="GB128" s="30"/>
      <c r="GC128" s="30"/>
      <c r="GD128" s="30"/>
    </row>
    <row r="129" spans="1:186" ht="48" x14ac:dyDescent="0.25">
      <c r="A129" s="156">
        <v>120</v>
      </c>
      <c r="B129" s="395">
        <f>'Tier 3 Intervention'!B487</f>
        <v>0</v>
      </c>
      <c r="C129" s="395"/>
      <c r="D129" s="395"/>
      <c r="E129" s="395"/>
      <c r="F129" s="395"/>
      <c r="G129" s="395"/>
      <c r="H129" s="761" t="e">
        <f>'Tier 3 Intervention'!AA487+30</f>
        <v>#VALUE!</v>
      </c>
      <c r="I129" s="761"/>
      <c r="J129" s="762" t="e">
        <f t="shared" si="2"/>
        <v>#VALUE!</v>
      </c>
      <c r="K129" s="395"/>
      <c r="L129" s="47" t="s">
        <v>906</v>
      </c>
      <c r="M129" s="46"/>
      <c r="N129" s="46"/>
      <c r="O129" s="46"/>
      <c r="P129" s="49"/>
      <c r="Q129" s="19"/>
      <c r="R129" s="20"/>
      <c r="S129" s="20"/>
      <c r="T129" s="20"/>
      <c r="U129" s="20"/>
      <c r="V129" s="21"/>
      <c r="W129" s="22"/>
      <c r="X129" s="22"/>
      <c r="Y129" s="22"/>
      <c r="Z129" s="22"/>
      <c r="AA129" s="19"/>
      <c r="AB129" s="20"/>
      <c r="AC129" s="20"/>
      <c r="AD129" s="20"/>
      <c r="AE129" s="20"/>
      <c r="AF129" s="21"/>
      <c r="AG129" s="22"/>
      <c r="AH129" s="22"/>
      <c r="AI129" s="22"/>
      <c r="AJ129" s="22"/>
      <c r="AK129" s="19"/>
      <c r="AL129" s="20"/>
      <c r="AM129" s="20"/>
      <c r="AN129" s="20"/>
      <c r="AO129" s="20"/>
      <c r="AP129" s="21"/>
      <c r="AQ129" s="22"/>
      <c r="AR129" s="22"/>
      <c r="AS129" s="22"/>
      <c r="AT129" s="22"/>
      <c r="AU129" s="19"/>
      <c r="AV129" s="20"/>
      <c r="AW129" s="20"/>
      <c r="AX129" s="20"/>
      <c r="AY129" s="20"/>
      <c r="AZ129" s="21"/>
      <c r="BA129" s="22"/>
      <c r="BB129" s="22"/>
      <c r="BC129" s="22"/>
      <c r="BD129" s="22"/>
      <c r="BE129" s="19"/>
      <c r="BF129" s="20"/>
      <c r="BG129" s="20"/>
      <c r="BH129" s="20"/>
      <c r="BI129" s="20"/>
      <c r="BJ129" s="21"/>
      <c r="BK129" s="22"/>
      <c r="BL129" s="22"/>
      <c r="BM129" s="22"/>
      <c r="BN129" s="22"/>
      <c r="BO129" s="19"/>
      <c r="BP129" s="20"/>
      <c r="BQ129" s="20"/>
      <c r="BR129" s="20"/>
      <c r="BS129" s="20"/>
      <c r="BT129" s="21"/>
      <c r="BU129" s="22"/>
      <c r="BV129" s="22"/>
      <c r="BW129" s="22"/>
      <c r="BX129" s="22"/>
      <c r="BY129" s="23"/>
      <c r="BZ129" s="24"/>
      <c r="CA129" s="24"/>
      <c r="CB129" s="24"/>
      <c r="CC129" s="24"/>
      <c r="CD129" s="25"/>
      <c r="CE129" s="26"/>
      <c r="CF129" s="26"/>
      <c r="CG129" s="26"/>
      <c r="CH129" s="26"/>
      <c r="CI129" s="27"/>
      <c r="CJ129" s="28"/>
      <c r="CK129" s="28"/>
      <c r="CL129" s="28"/>
      <c r="CM129" s="28"/>
      <c r="CN129" s="25"/>
      <c r="CO129" s="26"/>
      <c r="CP129" s="26"/>
      <c r="CQ129" s="26"/>
      <c r="CR129" s="26"/>
      <c r="CS129" s="27"/>
      <c r="CT129" s="28"/>
      <c r="CU129" s="28"/>
      <c r="CV129" s="28"/>
      <c r="CW129" s="28"/>
      <c r="CX129" s="25"/>
      <c r="CY129" s="26"/>
      <c r="CZ129" s="26"/>
      <c r="DA129" s="26"/>
      <c r="DB129" s="26"/>
      <c r="DC129" s="27"/>
      <c r="DD129" s="28"/>
      <c r="DE129" s="28"/>
      <c r="DF129" s="28"/>
      <c r="DG129" s="28"/>
      <c r="DH129" s="25"/>
      <c r="DI129" s="26"/>
      <c r="DJ129" s="26"/>
      <c r="DK129" s="26"/>
      <c r="DL129" s="26"/>
      <c r="DM129" s="27"/>
      <c r="DN129" s="28"/>
      <c r="DO129" s="28"/>
      <c r="DP129" s="28"/>
      <c r="DQ129" s="28"/>
      <c r="DR129" s="25"/>
      <c r="DS129" s="26"/>
      <c r="DT129" s="26"/>
      <c r="DU129" s="26"/>
      <c r="DV129" s="26"/>
      <c r="DW129" s="27"/>
      <c r="DX129" s="28"/>
      <c r="DY129" s="28"/>
      <c r="DZ129" s="28"/>
      <c r="EA129" s="28"/>
      <c r="EB129" s="29"/>
      <c r="EC129" s="30"/>
      <c r="ED129" s="30"/>
      <c r="EE129" s="30"/>
      <c r="EF129" s="30"/>
      <c r="EG129" s="31"/>
      <c r="EH129" s="32"/>
      <c r="EI129" s="32"/>
      <c r="EJ129" s="32"/>
      <c r="EK129" s="32"/>
      <c r="EL129" s="29"/>
      <c r="EM129" s="30"/>
      <c r="EN129" s="30"/>
      <c r="EO129" s="30"/>
      <c r="EP129" s="30"/>
      <c r="EQ129" s="31"/>
      <c r="ER129" s="32"/>
      <c r="ES129" s="32"/>
      <c r="ET129" s="32"/>
      <c r="EU129" s="32"/>
      <c r="EV129" s="29"/>
      <c r="EW129" s="30"/>
      <c r="EX129" s="30"/>
      <c r="EY129" s="30"/>
      <c r="EZ129" s="30"/>
      <c r="FA129" s="31"/>
      <c r="FB129" s="32"/>
      <c r="FC129" s="32"/>
      <c r="FD129" s="32"/>
      <c r="FE129" s="32"/>
      <c r="FF129" s="29"/>
      <c r="FG129" s="30"/>
      <c r="FH129" s="30"/>
      <c r="FI129" s="30"/>
      <c r="FJ129" s="30"/>
      <c r="FK129" s="31"/>
      <c r="FL129" s="32"/>
      <c r="FM129" s="32"/>
      <c r="FN129" s="32"/>
      <c r="FO129" s="32"/>
      <c r="FP129" s="29"/>
      <c r="FQ129" s="30"/>
      <c r="FR129" s="30"/>
      <c r="FS129" s="30"/>
      <c r="FT129" s="30"/>
      <c r="FU129" s="31"/>
      <c r="FV129" s="32"/>
      <c r="FW129" s="32"/>
      <c r="FX129" s="32"/>
      <c r="FY129" s="32"/>
      <c r="FZ129" s="29"/>
      <c r="GA129" s="30"/>
      <c r="GB129" s="30"/>
      <c r="GC129" s="30"/>
      <c r="GD129" s="30"/>
    </row>
    <row r="130" spans="1:186" ht="48" x14ac:dyDescent="0.25">
      <c r="A130" s="156">
        <v>121</v>
      </c>
      <c r="B130" s="395">
        <f>'Tier 3 Intervention'!B491</f>
        <v>0</v>
      </c>
      <c r="C130" s="395"/>
      <c r="D130" s="395"/>
      <c r="E130" s="395"/>
      <c r="F130" s="395"/>
      <c r="G130" s="395"/>
      <c r="H130" s="761" t="e">
        <f>'Tier 3 Intervention'!AA491+30</f>
        <v>#VALUE!</v>
      </c>
      <c r="I130" s="761"/>
      <c r="J130" s="762" t="e">
        <f t="shared" si="2"/>
        <v>#VALUE!</v>
      </c>
      <c r="K130" s="395"/>
      <c r="L130" s="47" t="s">
        <v>907</v>
      </c>
      <c r="M130" s="46"/>
      <c r="N130" s="46"/>
      <c r="O130" s="46"/>
      <c r="P130" s="49"/>
      <c r="Q130" s="19"/>
      <c r="R130" s="20"/>
      <c r="S130" s="20"/>
      <c r="T130" s="20"/>
      <c r="U130" s="20"/>
      <c r="V130" s="21"/>
      <c r="W130" s="22"/>
      <c r="X130" s="22"/>
      <c r="Y130" s="22"/>
      <c r="Z130" s="22"/>
      <c r="AA130" s="19"/>
      <c r="AB130" s="20"/>
      <c r="AC130" s="20"/>
      <c r="AD130" s="20"/>
      <c r="AE130" s="20"/>
      <c r="AF130" s="21"/>
      <c r="AG130" s="22"/>
      <c r="AH130" s="22"/>
      <c r="AI130" s="22"/>
      <c r="AJ130" s="22"/>
      <c r="AK130" s="19"/>
      <c r="AL130" s="20"/>
      <c r="AM130" s="20"/>
      <c r="AN130" s="20"/>
      <c r="AO130" s="20"/>
      <c r="AP130" s="21"/>
      <c r="AQ130" s="22"/>
      <c r="AR130" s="22"/>
      <c r="AS130" s="22"/>
      <c r="AT130" s="22"/>
      <c r="AU130" s="19"/>
      <c r="AV130" s="20"/>
      <c r="AW130" s="20"/>
      <c r="AX130" s="20"/>
      <c r="AY130" s="20"/>
      <c r="AZ130" s="21"/>
      <c r="BA130" s="22"/>
      <c r="BB130" s="22"/>
      <c r="BC130" s="22"/>
      <c r="BD130" s="22"/>
      <c r="BE130" s="19"/>
      <c r="BF130" s="20"/>
      <c r="BG130" s="20"/>
      <c r="BH130" s="20"/>
      <c r="BI130" s="20"/>
      <c r="BJ130" s="21"/>
      <c r="BK130" s="22"/>
      <c r="BL130" s="22"/>
      <c r="BM130" s="22"/>
      <c r="BN130" s="22"/>
      <c r="BO130" s="19"/>
      <c r="BP130" s="20"/>
      <c r="BQ130" s="20"/>
      <c r="BR130" s="20"/>
      <c r="BS130" s="20"/>
      <c r="BT130" s="21"/>
      <c r="BU130" s="22"/>
      <c r="BV130" s="22"/>
      <c r="BW130" s="22"/>
      <c r="BX130" s="22"/>
      <c r="BY130" s="23"/>
      <c r="BZ130" s="24"/>
      <c r="CA130" s="24"/>
      <c r="CB130" s="24"/>
      <c r="CC130" s="24"/>
      <c r="CD130" s="25"/>
      <c r="CE130" s="26"/>
      <c r="CF130" s="26"/>
      <c r="CG130" s="26"/>
      <c r="CH130" s="26"/>
      <c r="CI130" s="27"/>
      <c r="CJ130" s="28"/>
      <c r="CK130" s="28"/>
      <c r="CL130" s="28"/>
      <c r="CM130" s="28"/>
      <c r="CN130" s="25"/>
      <c r="CO130" s="26"/>
      <c r="CP130" s="26"/>
      <c r="CQ130" s="26"/>
      <c r="CR130" s="26"/>
      <c r="CS130" s="27"/>
      <c r="CT130" s="28"/>
      <c r="CU130" s="28"/>
      <c r="CV130" s="28"/>
      <c r="CW130" s="28"/>
      <c r="CX130" s="25"/>
      <c r="CY130" s="26"/>
      <c r="CZ130" s="26"/>
      <c r="DA130" s="26"/>
      <c r="DB130" s="26"/>
      <c r="DC130" s="27"/>
      <c r="DD130" s="28"/>
      <c r="DE130" s="28"/>
      <c r="DF130" s="28"/>
      <c r="DG130" s="28"/>
      <c r="DH130" s="25"/>
      <c r="DI130" s="26"/>
      <c r="DJ130" s="26"/>
      <c r="DK130" s="26"/>
      <c r="DL130" s="26"/>
      <c r="DM130" s="27"/>
      <c r="DN130" s="28"/>
      <c r="DO130" s="28"/>
      <c r="DP130" s="28"/>
      <c r="DQ130" s="28"/>
      <c r="DR130" s="25"/>
      <c r="DS130" s="26"/>
      <c r="DT130" s="26"/>
      <c r="DU130" s="26"/>
      <c r="DV130" s="26"/>
      <c r="DW130" s="27"/>
      <c r="DX130" s="28"/>
      <c r="DY130" s="28"/>
      <c r="DZ130" s="28"/>
      <c r="EA130" s="28"/>
      <c r="EB130" s="29"/>
      <c r="EC130" s="30"/>
      <c r="ED130" s="30"/>
      <c r="EE130" s="30"/>
      <c r="EF130" s="30"/>
      <c r="EG130" s="31"/>
      <c r="EH130" s="32"/>
      <c r="EI130" s="32"/>
      <c r="EJ130" s="32"/>
      <c r="EK130" s="32"/>
      <c r="EL130" s="29"/>
      <c r="EM130" s="30"/>
      <c r="EN130" s="30"/>
      <c r="EO130" s="30"/>
      <c r="EP130" s="30"/>
      <c r="EQ130" s="31"/>
      <c r="ER130" s="32"/>
      <c r="ES130" s="32"/>
      <c r="ET130" s="32"/>
      <c r="EU130" s="32"/>
      <c r="EV130" s="29"/>
      <c r="EW130" s="30"/>
      <c r="EX130" s="30"/>
      <c r="EY130" s="30"/>
      <c r="EZ130" s="30"/>
      <c r="FA130" s="31"/>
      <c r="FB130" s="32"/>
      <c r="FC130" s="32"/>
      <c r="FD130" s="32"/>
      <c r="FE130" s="32"/>
      <c r="FF130" s="29"/>
      <c r="FG130" s="30"/>
      <c r="FH130" s="30"/>
      <c r="FI130" s="30"/>
      <c r="FJ130" s="30"/>
      <c r="FK130" s="31"/>
      <c r="FL130" s="32"/>
      <c r="FM130" s="32"/>
      <c r="FN130" s="32"/>
      <c r="FO130" s="32"/>
      <c r="FP130" s="29"/>
      <c r="FQ130" s="30"/>
      <c r="FR130" s="30"/>
      <c r="FS130" s="30"/>
      <c r="FT130" s="30"/>
      <c r="FU130" s="31"/>
      <c r="FV130" s="32"/>
      <c r="FW130" s="32"/>
      <c r="FX130" s="32"/>
      <c r="FY130" s="32"/>
      <c r="FZ130" s="29"/>
      <c r="GA130" s="30"/>
      <c r="GB130" s="30"/>
      <c r="GC130" s="30"/>
      <c r="GD130" s="30"/>
    </row>
    <row r="131" spans="1:186" ht="48" x14ac:dyDescent="0.25">
      <c r="A131" s="156">
        <v>122</v>
      </c>
      <c r="B131" s="395">
        <f>'Tier 3 Intervention'!B495</f>
        <v>0</v>
      </c>
      <c r="C131" s="395"/>
      <c r="D131" s="395"/>
      <c r="E131" s="395"/>
      <c r="F131" s="395"/>
      <c r="G131" s="395"/>
      <c r="H131" s="761" t="e">
        <f>'Tier 3 Intervention'!AA495+30</f>
        <v>#VALUE!</v>
      </c>
      <c r="I131" s="761"/>
      <c r="J131" s="762" t="e">
        <f t="shared" si="2"/>
        <v>#VALUE!</v>
      </c>
      <c r="K131" s="395"/>
      <c r="L131" s="47" t="s">
        <v>908</v>
      </c>
      <c r="M131" s="46"/>
      <c r="N131" s="46"/>
      <c r="O131" s="46"/>
      <c r="P131" s="49"/>
      <c r="Q131" s="19"/>
      <c r="R131" s="20"/>
      <c r="S131" s="20"/>
      <c r="T131" s="20"/>
      <c r="U131" s="20"/>
      <c r="V131" s="21"/>
      <c r="W131" s="22"/>
      <c r="X131" s="22"/>
      <c r="Y131" s="22"/>
      <c r="Z131" s="22"/>
      <c r="AA131" s="19"/>
      <c r="AB131" s="20"/>
      <c r="AC131" s="20"/>
      <c r="AD131" s="20"/>
      <c r="AE131" s="20"/>
      <c r="AF131" s="21"/>
      <c r="AG131" s="22"/>
      <c r="AH131" s="22"/>
      <c r="AI131" s="22"/>
      <c r="AJ131" s="22"/>
      <c r="AK131" s="19"/>
      <c r="AL131" s="20"/>
      <c r="AM131" s="20"/>
      <c r="AN131" s="20"/>
      <c r="AO131" s="20"/>
      <c r="AP131" s="21"/>
      <c r="AQ131" s="22"/>
      <c r="AR131" s="22"/>
      <c r="AS131" s="22"/>
      <c r="AT131" s="22"/>
      <c r="AU131" s="19"/>
      <c r="AV131" s="20"/>
      <c r="AW131" s="20"/>
      <c r="AX131" s="20"/>
      <c r="AY131" s="20"/>
      <c r="AZ131" s="21"/>
      <c r="BA131" s="22"/>
      <c r="BB131" s="22"/>
      <c r="BC131" s="22"/>
      <c r="BD131" s="22"/>
      <c r="BE131" s="19"/>
      <c r="BF131" s="20"/>
      <c r="BG131" s="20"/>
      <c r="BH131" s="20"/>
      <c r="BI131" s="20"/>
      <c r="BJ131" s="21"/>
      <c r="BK131" s="22"/>
      <c r="BL131" s="22"/>
      <c r="BM131" s="22"/>
      <c r="BN131" s="22"/>
      <c r="BO131" s="19"/>
      <c r="BP131" s="20"/>
      <c r="BQ131" s="20"/>
      <c r="BR131" s="20"/>
      <c r="BS131" s="20"/>
      <c r="BT131" s="21"/>
      <c r="BU131" s="22"/>
      <c r="BV131" s="22"/>
      <c r="BW131" s="22"/>
      <c r="BX131" s="22"/>
      <c r="BY131" s="23"/>
      <c r="BZ131" s="24"/>
      <c r="CA131" s="24"/>
      <c r="CB131" s="24"/>
      <c r="CC131" s="24"/>
      <c r="CD131" s="25"/>
      <c r="CE131" s="26"/>
      <c r="CF131" s="26"/>
      <c r="CG131" s="26"/>
      <c r="CH131" s="26"/>
      <c r="CI131" s="27"/>
      <c r="CJ131" s="28"/>
      <c r="CK131" s="28"/>
      <c r="CL131" s="28"/>
      <c r="CM131" s="28"/>
      <c r="CN131" s="25"/>
      <c r="CO131" s="26"/>
      <c r="CP131" s="26"/>
      <c r="CQ131" s="26"/>
      <c r="CR131" s="26"/>
      <c r="CS131" s="27"/>
      <c r="CT131" s="28"/>
      <c r="CU131" s="28"/>
      <c r="CV131" s="28"/>
      <c r="CW131" s="28"/>
      <c r="CX131" s="25"/>
      <c r="CY131" s="26"/>
      <c r="CZ131" s="26"/>
      <c r="DA131" s="26"/>
      <c r="DB131" s="26"/>
      <c r="DC131" s="27"/>
      <c r="DD131" s="28"/>
      <c r="DE131" s="28"/>
      <c r="DF131" s="28"/>
      <c r="DG131" s="28"/>
      <c r="DH131" s="25"/>
      <c r="DI131" s="26"/>
      <c r="DJ131" s="26"/>
      <c r="DK131" s="26"/>
      <c r="DL131" s="26"/>
      <c r="DM131" s="27"/>
      <c r="DN131" s="28"/>
      <c r="DO131" s="28"/>
      <c r="DP131" s="28"/>
      <c r="DQ131" s="28"/>
      <c r="DR131" s="25"/>
      <c r="DS131" s="26"/>
      <c r="DT131" s="26"/>
      <c r="DU131" s="26"/>
      <c r="DV131" s="26"/>
      <c r="DW131" s="27"/>
      <c r="DX131" s="28"/>
      <c r="DY131" s="28"/>
      <c r="DZ131" s="28"/>
      <c r="EA131" s="28"/>
      <c r="EB131" s="29"/>
      <c r="EC131" s="30"/>
      <c r="ED131" s="30"/>
      <c r="EE131" s="30"/>
      <c r="EF131" s="30"/>
      <c r="EG131" s="31"/>
      <c r="EH131" s="32"/>
      <c r="EI131" s="32"/>
      <c r="EJ131" s="32"/>
      <c r="EK131" s="32"/>
      <c r="EL131" s="29"/>
      <c r="EM131" s="30"/>
      <c r="EN131" s="30"/>
      <c r="EO131" s="30"/>
      <c r="EP131" s="30"/>
      <c r="EQ131" s="31"/>
      <c r="ER131" s="32"/>
      <c r="ES131" s="32"/>
      <c r="ET131" s="32"/>
      <c r="EU131" s="32"/>
      <c r="EV131" s="29"/>
      <c r="EW131" s="30"/>
      <c r="EX131" s="30"/>
      <c r="EY131" s="30"/>
      <c r="EZ131" s="30"/>
      <c r="FA131" s="31"/>
      <c r="FB131" s="32"/>
      <c r="FC131" s="32"/>
      <c r="FD131" s="32"/>
      <c r="FE131" s="32"/>
      <c r="FF131" s="29"/>
      <c r="FG131" s="30"/>
      <c r="FH131" s="30"/>
      <c r="FI131" s="30"/>
      <c r="FJ131" s="30"/>
      <c r="FK131" s="31"/>
      <c r="FL131" s="32"/>
      <c r="FM131" s="32"/>
      <c r="FN131" s="32"/>
      <c r="FO131" s="32"/>
      <c r="FP131" s="29"/>
      <c r="FQ131" s="30"/>
      <c r="FR131" s="30"/>
      <c r="FS131" s="30"/>
      <c r="FT131" s="30"/>
      <c r="FU131" s="31"/>
      <c r="FV131" s="32"/>
      <c r="FW131" s="32"/>
      <c r="FX131" s="32"/>
      <c r="FY131" s="32"/>
      <c r="FZ131" s="29"/>
      <c r="GA131" s="30"/>
      <c r="GB131" s="30"/>
      <c r="GC131" s="30"/>
      <c r="GD131" s="30"/>
    </row>
    <row r="132" spans="1:186" ht="48" x14ac:dyDescent="0.25">
      <c r="A132" s="156">
        <v>123</v>
      </c>
      <c r="B132" s="395">
        <f>'Tier 3 Intervention'!B499</f>
        <v>0</v>
      </c>
      <c r="C132" s="395"/>
      <c r="D132" s="395"/>
      <c r="E132" s="395"/>
      <c r="F132" s="395"/>
      <c r="G132" s="395"/>
      <c r="H132" s="761" t="e">
        <f>'Tier 3 Intervention'!AA499+30</f>
        <v>#VALUE!</v>
      </c>
      <c r="I132" s="761"/>
      <c r="J132" s="762" t="e">
        <f t="shared" si="2"/>
        <v>#VALUE!</v>
      </c>
      <c r="K132" s="395"/>
      <c r="L132" s="47" t="s">
        <v>909</v>
      </c>
      <c r="M132" s="46"/>
      <c r="N132" s="46"/>
      <c r="O132" s="46"/>
      <c r="P132" s="49"/>
      <c r="Q132" s="19"/>
      <c r="R132" s="20"/>
      <c r="S132" s="20"/>
      <c r="T132" s="20"/>
      <c r="U132" s="20"/>
      <c r="V132" s="21"/>
      <c r="W132" s="22"/>
      <c r="X132" s="22"/>
      <c r="Y132" s="22"/>
      <c r="Z132" s="22"/>
      <c r="AA132" s="19"/>
      <c r="AB132" s="20"/>
      <c r="AC132" s="20"/>
      <c r="AD132" s="20"/>
      <c r="AE132" s="20"/>
      <c r="AF132" s="21"/>
      <c r="AG132" s="22"/>
      <c r="AH132" s="22"/>
      <c r="AI132" s="22"/>
      <c r="AJ132" s="22"/>
      <c r="AK132" s="19"/>
      <c r="AL132" s="20"/>
      <c r="AM132" s="20"/>
      <c r="AN132" s="20"/>
      <c r="AO132" s="20"/>
      <c r="AP132" s="21"/>
      <c r="AQ132" s="22"/>
      <c r="AR132" s="22"/>
      <c r="AS132" s="22"/>
      <c r="AT132" s="22"/>
      <c r="AU132" s="19"/>
      <c r="AV132" s="20"/>
      <c r="AW132" s="20"/>
      <c r="AX132" s="20"/>
      <c r="AY132" s="20"/>
      <c r="AZ132" s="21"/>
      <c r="BA132" s="22"/>
      <c r="BB132" s="22"/>
      <c r="BC132" s="22"/>
      <c r="BD132" s="22"/>
      <c r="BE132" s="19"/>
      <c r="BF132" s="20"/>
      <c r="BG132" s="20"/>
      <c r="BH132" s="20"/>
      <c r="BI132" s="20"/>
      <c r="BJ132" s="21"/>
      <c r="BK132" s="22"/>
      <c r="BL132" s="22"/>
      <c r="BM132" s="22"/>
      <c r="BN132" s="22"/>
      <c r="BO132" s="19"/>
      <c r="BP132" s="20"/>
      <c r="BQ132" s="20"/>
      <c r="BR132" s="20"/>
      <c r="BS132" s="20"/>
      <c r="BT132" s="21"/>
      <c r="BU132" s="22"/>
      <c r="BV132" s="22"/>
      <c r="BW132" s="22"/>
      <c r="BX132" s="22"/>
      <c r="BY132" s="23"/>
      <c r="BZ132" s="24"/>
      <c r="CA132" s="24"/>
      <c r="CB132" s="24"/>
      <c r="CC132" s="24"/>
      <c r="CD132" s="25"/>
      <c r="CE132" s="26"/>
      <c r="CF132" s="26"/>
      <c r="CG132" s="26"/>
      <c r="CH132" s="26"/>
      <c r="CI132" s="27"/>
      <c r="CJ132" s="28"/>
      <c r="CK132" s="28"/>
      <c r="CL132" s="28"/>
      <c r="CM132" s="28"/>
      <c r="CN132" s="25"/>
      <c r="CO132" s="26"/>
      <c r="CP132" s="26"/>
      <c r="CQ132" s="26"/>
      <c r="CR132" s="26"/>
      <c r="CS132" s="27"/>
      <c r="CT132" s="28"/>
      <c r="CU132" s="28"/>
      <c r="CV132" s="28"/>
      <c r="CW132" s="28"/>
      <c r="CX132" s="25"/>
      <c r="CY132" s="26"/>
      <c r="CZ132" s="26"/>
      <c r="DA132" s="26"/>
      <c r="DB132" s="26"/>
      <c r="DC132" s="27"/>
      <c r="DD132" s="28"/>
      <c r="DE132" s="28"/>
      <c r="DF132" s="28"/>
      <c r="DG132" s="28"/>
      <c r="DH132" s="25"/>
      <c r="DI132" s="26"/>
      <c r="DJ132" s="26"/>
      <c r="DK132" s="26"/>
      <c r="DL132" s="26"/>
      <c r="DM132" s="27"/>
      <c r="DN132" s="28"/>
      <c r="DO132" s="28"/>
      <c r="DP132" s="28"/>
      <c r="DQ132" s="28"/>
      <c r="DR132" s="25"/>
      <c r="DS132" s="26"/>
      <c r="DT132" s="26"/>
      <c r="DU132" s="26"/>
      <c r="DV132" s="26"/>
      <c r="DW132" s="27"/>
      <c r="DX132" s="28"/>
      <c r="DY132" s="28"/>
      <c r="DZ132" s="28"/>
      <c r="EA132" s="28"/>
      <c r="EB132" s="29"/>
      <c r="EC132" s="30"/>
      <c r="ED132" s="30"/>
      <c r="EE132" s="30"/>
      <c r="EF132" s="30"/>
      <c r="EG132" s="31"/>
      <c r="EH132" s="32"/>
      <c r="EI132" s="32"/>
      <c r="EJ132" s="32"/>
      <c r="EK132" s="32"/>
      <c r="EL132" s="29"/>
      <c r="EM132" s="30"/>
      <c r="EN132" s="30"/>
      <c r="EO132" s="30"/>
      <c r="EP132" s="30"/>
      <c r="EQ132" s="31"/>
      <c r="ER132" s="32"/>
      <c r="ES132" s="32"/>
      <c r="ET132" s="32"/>
      <c r="EU132" s="32"/>
      <c r="EV132" s="29"/>
      <c r="EW132" s="30"/>
      <c r="EX132" s="30"/>
      <c r="EY132" s="30"/>
      <c r="EZ132" s="30"/>
      <c r="FA132" s="31"/>
      <c r="FB132" s="32"/>
      <c r="FC132" s="32"/>
      <c r="FD132" s="32"/>
      <c r="FE132" s="32"/>
      <c r="FF132" s="29"/>
      <c r="FG132" s="30"/>
      <c r="FH132" s="30"/>
      <c r="FI132" s="30"/>
      <c r="FJ132" s="30"/>
      <c r="FK132" s="31"/>
      <c r="FL132" s="32"/>
      <c r="FM132" s="32"/>
      <c r="FN132" s="32"/>
      <c r="FO132" s="32"/>
      <c r="FP132" s="29"/>
      <c r="FQ132" s="30"/>
      <c r="FR132" s="30"/>
      <c r="FS132" s="30"/>
      <c r="FT132" s="30"/>
      <c r="FU132" s="31"/>
      <c r="FV132" s="32"/>
      <c r="FW132" s="32"/>
      <c r="FX132" s="32"/>
      <c r="FY132" s="32"/>
      <c r="FZ132" s="29"/>
      <c r="GA132" s="30"/>
      <c r="GB132" s="30"/>
      <c r="GC132" s="30"/>
      <c r="GD132" s="30"/>
    </row>
    <row r="133" spans="1:186" ht="48" x14ac:dyDescent="0.25">
      <c r="A133" s="156">
        <v>124</v>
      </c>
      <c r="B133" s="395">
        <f>'Tier 3 Intervention'!B503</f>
        <v>0</v>
      </c>
      <c r="C133" s="395"/>
      <c r="D133" s="395"/>
      <c r="E133" s="395"/>
      <c r="F133" s="395"/>
      <c r="G133" s="395"/>
      <c r="H133" s="761" t="e">
        <f>'Tier 3 Intervention'!AA503+30</f>
        <v>#VALUE!</v>
      </c>
      <c r="I133" s="761"/>
      <c r="J133" s="762" t="e">
        <f t="shared" si="2"/>
        <v>#VALUE!</v>
      </c>
      <c r="K133" s="395"/>
      <c r="L133" s="47" t="s">
        <v>910</v>
      </c>
      <c r="M133" s="46"/>
      <c r="N133" s="46"/>
      <c r="O133" s="46"/>
      <c r="P133" s="49"/>
      <c r="Q133" s="19"/>
      <c r="R133" s="20"/>
      <c r="S133" s="20"/>
      <c r="T133" s="20"/>
      <c r="U133" s="20"/>
      <c r="V133" s="21"/>
      <c r="W133" s="22"/>
      <c r="X133" s="22"/>
      <c r="Y133" s="22"/>
      <c r="Z133" s="22"/>
      <c r="AA133" s="19"/>
      <c r="AB133" s="20"/>
      <c r="AC133" s="20"/>
      <c r="AD133" s="20"/>
      <c r="AE133" s="20"/>
      <c r="AF133" s="21"/>
      <c r="AG133" s="22"/>
      <c r="AH133" s="22"/>
      <c r="AI133" s="22"/>
      <c r="AJ133" s="22"/>
      <c r="AK133" s="19"/>
      <c r="AL133" s="20"/>
      <c r="AM133" s="20"/>
      <c r="AN133" s="20"/>
      <c r="AO133" s="20"/>
      <c r="AP133" s="21"/>
      <c r="AQ133" s="22"/>
      <c r="AR133" s="22"/>
      <c r="AS133" s="22"/>
      <c r="AT133" s="22"/>
      <c r="AU133" s="19"/>
      <c r="AV133" s="20"/>
      <c r="AW133" s="20"/>
      <c r="AX133" s="20"/>
      <c r="AY133" s="20"/>
      <c r="AZ133" s="21"/>
      <c r="BA133" s="22"/>
      <c r="BB133" s="22"/>
      <c r="BC133" s="22"/>
      <c r="BD133" s="22"/>
      <c r="BE133" s="19"/>
      <c r="BF133" s="20"/>
      <c r="BG133" s="20"/>
      <c r="BH133" s="20"/>
      <c r="BI133" s="20"/>
      <c r="BJ133" s="21"/>
      <c r="BK133" s="22"/>
      <c r="BL133" s="22"/>
      <c r="BM133" s="22"/>
      <c r="BN133" s="22"/>
      <c r="BO133" s="19"/>
      <c r="BP133" s="20"/>
      <c r="BQ133" s="20"/>
      <c r="BR133" s="20"/>
      <c r="BS133" s="20"/>
      <c r="BT133" s="21"/>
      <c r="BU133" s="22"/>
      <c r="BV133" s="22"/>
      <c r="BW133" s="22"/>
      <c r="BX133" s="22"/>
      <c r="BY133" s="23"/>
      <c r="BZ133" s="24"/>
      <c r="CA133" s="24"/>
      <c r="CB133" s="24"/>
      <c r="CC133" s="24"/>
      <c r="CD133" s="25"/>
      <c r="CE133" s="26"/>
      <c r="CF133" s="26"/>
      <c r="CG133" s="26"/>
      <c r="CH133" s="26"/>
      <c r="CI133" s="27"/>
      <c r="CJ133" s="28"/>
      <c r="CK133" s="28"/>
      <c r="CL133" s="28"/>
      <c r="CM133" s="28"/>
      <c r="CN133" s="25"/>
      <c r="CO133" s="26"/>
      <c r="CP133" s="26"/>
      <c r="CQ133" s="26"/>
      <c r="CR133" s="26"/>
      <c r="CS133" s="27"/>
      <c r="CT133" s="28"/>
      <c r="CU133" s="28"/>
      <c r="CV133" s="28"/>
      <c r="CW133" s="28"/>
      <c r="CX133" s="25"/>
      <c r="CY133" s="26"/>
      <c r="CZ133" s="26"/>
      <c r="DA133" s="26"/>
      <c r="DB133" s="26"/>
      <c r="DC133" s="27"/>
      <c r="DD133" s="28"/>
      <c r="DE133" s="28"/>
      <c r="DF133" s="28"/>
      <c r="DG133" s="28"/>
      <c r="DH133" s="25"/>
      <c r="DI133" s="26"/>
      <c r="DJ133" s="26"/>
      <c r="DK133" s="26"/>
      <c r="DL133" s="26"/>
      <c r="DM133" s="27"/>
      <c r="DN133" s="28"/>
      <c r="DO133" s="28"/>
      <c r="DP133" s="28"/>
      <c r="DQ133" s="28"/>
      <c r="DR133" s="25"/>
      <c r="DS133" s="26"/>
      <c r="DT133" s="26"/>
      <c r="DU133" s="26"/>
      <c r="DV133" s="26"/>
      <c r="DW133" s="27"/>
      <c r="DX133" s="28"/>
      <c r="DY133" s="28"/>
      <c r="DZ133" s="28"/>
      <c r="EA133" s="28"/>
      <c r="EB133" s="29"/>
      <c r="EC133" s="30"/>
      <c r="ED133" s="30"/>
      <c r="EE133" s="30"/>
      <c r="EF133" s="30"/>
      <c r="EG133" s="31"/>
      <c r="EH133" s="32"/>
      <c r="EI133" s="32"/>
      <c r="EJ133" s="32"/>
      <c r="EK133" s="32"/>
      <c r="EL133" s="29"/>
      <c r="EM133" s="30"/>
      <c r="EN133" s="30"/>
      <c r="EO133" s="30"/>
      <c r="EP133" s="30"/>
      <c r="EQ133" s="31"/>
      <c r="ER133" s="32"/>
      <c r="ES133" s="32"/>
      <c r="ET133" s="32"/>
      <c r="EU133" s="32"/>
      <c r="EV133" s="29"/>
      <c r="EW133" s="30"/>
      <c r="EX133" s="30"/>
      <c r="EY133" s="30"/>
      <c r="EZ133" s="30"/>
      <c r="FA133" s="31"/>
      <c r="FB133" s="32"/>
      <c r="FC133" s="32"/>
      <c r="FD133" s="32"/>
      <c r="FE133" s="32"/>
      <c r="FF133" s="29"/>
      <c r="FG133" s="30"/>
      <c r="FH133" s="30"/>
      <c r="FI133" s="30"/>
      <c r="FJ133" s="30"/>
      <c r="FK133" s="31"/>
      <c r="FL133" s="32"/>
      <c r="FM133" s="32"/>
      <c r="FN133" s="32"/>
      <c r="FO133" s="32"/>
      <c r="FP133" s="29"/>
      <c r="FQ133" s="30"/>
      <c r="FR133" s="30"/>
      <c r="FS133" s="30"/>
      <c r="FT133" s="30"/>
      <c r="FU133" s="31"/>
      <c r="FV133" s="32"/>
      <c r="FW133" s="32"/>
      <c r="FX133" s="32"/>
      <c r="FY133" s="32"/>
      <c r="FZ133" s="29"/>
      <c r="GA133" s="30"/>
      <c r="GB133" s="30"/>
      <c r="GC133" s="30"/>
      <c r="GD133" s="30"/>
    </row>
    <row r="134" spans="1:186" ht="48" x14ac:dyDescent="0.25">
      <c r="A134" s="156">
        <v>125</v>
      </c>
      <c r="B134" s="395">
        <f>'Tier 3 Intervention'!B507</f>
        <v>0</v>
      </c>
      <c r="C134" s="395"/>
      <c r="D134" s="395"/>
      <c r="E134" s="395"/>
      <c r="F134" s="395"/>
      <c r="G134" s="395"/>
      <c r="H134" s="761" t="e">
        <f>'Tier 3 Intervention'!AA507+30</f>
        <v>#VALUE!</v>
      </c>
      <c r="I134" s="761"/>
      <c r="J134" s="762" t="e">
        <f t="shared" si="2"/>
        <v>#VALUE!</v>
      </c>
      <c r="K134" s="395"/>
      <c r="L134" s="47" t="s">
        <v>911</v>
      </c>
      <c r="M134" s="46"/>
      <c r="N134" s="46"/>
      <c r="O134" s="46"/>
      <c r="P134" s="49"/>
      <c r="Q134" s="19"/>
      <c r="R134" s="20"/>
      <c r="S134" s="20"/>
      <c r="T134" s="20"/>
      <c r="U134" s="20"/>
      <c r="V134" s="21"/>
      <c r="W134" s="22"/>
      <c r="X134" s="22"/>
      <c r="Y134" s="22"/>
      <c r="Z134" s="22"/>
      <c r="AA134" s="19"/>
      <c r="AB134" s="20"/>
      <c r="AC134" s="20"/>
      <c r="AD134" s="20"/>
      <c r="AE134" s="20"/>
      <c r="AF134" s="21"/>
      <c r="AG134" s="22"/>
      <c r="AH134" s="22"/>
      <c r="AI134" s="22"/>
      <c r="AJ134" s="22"/>
      <c r="AK134" s="19"/>
      <c r="AL134" s="20"/>
      <c r="AM134" s="20"/>
      <c r="AN134" s="20"/>
      <c r="AO134" s="20"/>
      <c r="AP134" s="21"/>
      <c r="AQ134" s="22"/>
      <c r="AR134" s="22"/>
      <c r="AS134" s="22"/>
      <c r="AT134" s="22"/>
      <c r="AU134" s="19"/>
      <c r="AV134" s="20"/>
      <c r="AW134" s="20"/>
      <c r="AX134" s="20"/>
      <c r="AY134" s="20"/>
      <c r="AZ134" s="21"/>
      <c r="BA134" s="22"/>
      <c r="BB134" s="22"/>
      <c r="BC134" s="22"/>
      <c r="BD134" s="22"/>
      <c r="BE134" s="19"/>
      <c r="BF134" s="20"/>
      <c r="BG134" s="20"/>
      <c r="BH134" s="20"/>
      <c r="BI134" s="20"/>
      <c r="BJ134" s="21"/>
      <c r="BK134" s="22"/>
      <c r="BL134" s="22"/>
      <c r="BM134" s="22"/>
      <c r="BN134" s="22"/>
      <c r="BO134" s="19"/>
      <c r="BP134" s="20"/>
      <c r="BQ134" s="20"/>
      <c r="BR134" s="20"/>
      <c r="BS134" s="20"/>
      <c r="BT134" s="21"/>
      <c r="BU134" s="22"/>
      <c r="BV134" s="22"/>
      <c r="BW134" s="22"/>
      <c r="BX134" s="22"/>
      <c r="BY134" s="23"/>
      <c r="BZ134" s="24"/>
      <c r="CA134" s="24"/>
      <c r="CB134" s="24"/>
      <c r="CC134" s="24"/>
      <c r="CD134" s="25"/>
      <c r="CE134" s="26"/>
      <c r="CF134" s="26"/>
      <c r="CG134" s="26"/>
      <c r="CH134" s="26"/>
      <c r="CI134" s="27"/>
      <c r="CJ134" s="28"/>
      <c r="CK134" s="28"/>
      <c r="CL134" s="28"/>
      <c r="CM134" s="28"/>
      <c r="CN134" s="25"/>
      <c r="CO134" s="26"/>
      <c r="CP134" s="26"/>
      <c r="CQ134" s="26"/>
      <c r="CR134" s="26"/>
      <c r="CS134" s="27"/>
      <c r="CT134" s="28"/>
      <c r="CU134" s="28"/>
      <c r="CV134" s="28"/>
      <c r="CW134" s="28"/>
      <c r="CX134" s="25"/>
      <c r="CY134" s="26"/>
      <c r="CZ134" s="26"/>
      <c r="DA134" s="26"/>
      <c r="DB134" s="26"/>
      <c r="DC134" s="27"/>
      <c r="DD134" s="28"/>
      <c r="DE134" s="28"/>
      <c r="DF134" s="28"/>
      <c r="DG134" s="28"/>
      <c r="DH134" s="25"/>
      <c r="DI134" s="26"/>
      <c r="DJ134" s="26"/>
      <c r="DK134" s="26"/>
      <c r="DL134" s="26"/>
      <c r="DM134" s="27"/>
      <c r="DN134" s="28"/>
      <c r="DO134" s="28"/>
      <c r="DP134" s="28"/>
      <c r="DQ134" s="28"/>
      <c r="DR134" s="25"/>
      <c r="DS134" s="26"/>
      <c r="DT134" s="26"/>
      <c r="DU134" s="26"/>
      <c r="DV134" s="26"/>
      <c r="DW134" s="27"/>
      <c r="DX134" s="28"/>
      <c r="DY134" s="28"/>
      <c r="DZ134" s="28"/>
      <c r="EA134" s="28"/>
      <c r="EB134" s="29"/>
      <c r="EC134" s="30"/>
      <c r="ED134" s="30"/>
      <c r="EE134" s="30"/>
      <c r="EF134" s="30"/>
      <c r="EG134" s="31"/>
      <c r="EH134" s="32"/>
      <c r="EI134" s="32"/>
      <c r="EJ134" s="32"/>
      <c r="EK134" s="32"/>
      <c r="EL134" s="29"/>
      <c r="EM134" s="30"/>
      <c r="EN134" s="30"/>
      <c r="EO134" s="30"/>
      <c r="EP134" s="30"/>
      <c r="EQ134" s="31"/>
      <c r="ER134" s="32"/>
      <c r="ES134" s="32"/>
      <c r="ET134" s="32"/>
      <c r="EU134" s="32"/>
      <c r="EV134" s="29"/>
      <c r="EW134" s="30"/>
      <c r="EX134" s="30"/>
      <c r="EY134" s="30"/>
      <c r="EZ134" s="30"/>
      <c r="FA134" s="31"/>
      <c r="FB134" s="32"/>
      <c r="FC134" s="32"/>
      <c r="FD134" s="32"/>
      <c r="FE134" s="32"/>
      <c r="FF134" s="29"/>
      <c r="FG134" s="30"/>
      <c r="FH134" s="30"/>
      <c r="FI134" s="30"/>
      <c r="FJ134" s="30"/>
      <c r="FK134" s="31"/>
      <c r="FL134" s="32"/>
      <c r="FM134" s="32"/>
      <c r="FN134" s="32"/>
      <c r="FO134" s="32"/>
      <c r="FP134" s="29"/>
      <c r="FQ134" s="30"/>
      <c r="FR134" s="30"/>
      <c r="FS134" s="30"/>
      <c r="FT134" s="30"/>
      <c r="FU134" s="31"/>
      <c r="FV134" s="32"/>
      <c r="FW134" s="32"/>
      <c r="FX134" s="32"/>
      <c r="FY134" s="32"/>
      <c r="FZ134" s="29"/>
      <c r="GA134" s="30"/>
      <c r="GB134" s="30"/>
      <c r="GC134" s="30"/>
      <c r="GD134" s="30"/>
    </row>
    <row r="135" spans="1:186" ht="48" x14ac:dyDescent="0.25">
      <c r="A135" s="156">
        <v>126</v>
      </c>
      <c r="B135" s="395">
        <f>'Tier 3 Intervention'!B511</f>
        <v>0</v>
      </c>
      <c r="C135" s="395"/>
      <c r="D135" s="395"/>
      <c r="E135" s="395"/>
      <c r="F135" s="395"/>
      <c r="G135" s="395"/>
      <c r="H135" s="761" t="e">
        <f>'Tier 3 Intervention'!AA511+30</f>
        <v>#VALUE!</v>
      </c>
      <c r="I135" s="761"/>
      <c r="J135" s="762" t="e">
        <f t="shared" si="2"/>
        <v>#VALUE!</v>
      </c>
      <c r="K135" s="395"/>
      <c r="L135" s="47" t="s">
        <v>912</v>
      </c>
      <c r="M135" s="46"/>
      <c r="N135" s="46"/>
      <c r="O135" s="46"/>
      <c r="P135" s="49"/>
      <c r="Q135" s="19"/>
      <c r="R135" s="20"/>
      <c r="S135" s="20"/>
      <c r="T135" s="20"/>
      <c r="U135" s="20"/>
      <c r="V135" s="21"/>
      <c r="W135" s="22"/>
      <c r="X135" s="22"/>
      <c r="Y135" s="22"/>
      <c r="Z135" s="22"/>
      <c r="AA135" s="19"/>
      <c r="AB135" s="20"/>
      <c r="AC135" s="20"/>
      <c r="AD135" s="20"/>
      <c r="AE135" s="20"/>
      <c r="AF135" s="21"/>
      <c r="AG135" s="22"/>
      <c r="AH135" s="22"/>
      <c r="AI135" s="22"/>
      <c r="AJ135" s="22"/>
      <c r="AK135" s="19"/>
      <c r="AL135" s="20"/>
      <c r="AM135" s="20"/>
      <c r="AN135" s="20"/>
      <c r="AO135" s="20"/>
      <c r="AP135" s="21"/>
      <c r="AQ135" s="22"/>
      <c r="AR135" s="22"/>
      <c r="AS135" s="22"/>
      <c r="AT135" s="22"/>
      <c r="AU135" s="19"/>
      <c r="AV135" s="20"/>
      <c r="AW135" s="20"/>
      <c r="AX135" s="20"/>
      <c r="AY135" s="20"/>
      <c r="AZ135" s="21"/>
      <c r="BA135" s="22"/>
      <c r="BB135" s="22"/>
      <c r="BC135" s="22"/>
      <c r="BD135" s="22"/>
      <c r="BE135" s="19"/>
      <c r="BF135" s="20"/>
      <c r="BG135" s="20"/>
      <c r="BH135" s="20"/>
      <c r="BI135" s="20"/>
      <c r="BJ135" s="21"/>
      <c r="BK135" s="22"/>
      <c r="BL135" s="22"/>
      <c r="BM135" s="22"/>
      <c r="BN135" s="22"/>
      <c r="BO135" s="19"/>
      <c r="BP135" s="20"/>
      <c r="BQ135" s="20"/>
      <c r="BR135" s="20"/>
      <c r="BS135" s="20"/>
      <c r="BT135" s="21"/>
      <c r="BU135" s="22"/>
      <c r="BV135" s="22"/>
      <c r="BW135" s="22"/>
      <c r="BX135" s="22"/>
      <c r="BY135" s="23"/>
      <c r="BZ135" s="24"/>
      <c r="CA135" s="24"/>
      <c r="CB135" s="24"/>
      <c r="CC135" s="24"/>
      <c r="CD135" s="25"/>
      <c r="CE135" s="26"/>
      <c r="CF135" s="26"/>
      <c r="CG135" s="26"/>
      <c r="CH135" s="26"/>
      <c r="CI135" s="27"/>
      <c r="CJ135" s="28"/>
      <c r="CK135" s="28"/>
      <c r="CL135" s="28"/>
      <c r="CM135" s="28"/>
      <c r="CN135" s="25"/>
      <c r="CO135" s="26"/>
      <c r="CP135" s="26"/>
      <c r="CQ135" s="26"/>
      <c r="CR135" s="26"/>
      <c r="CS135" s="27"/>
      <c r="CT135" s="28"/>
      <c r="CU135" s="28"/>
      <c r="CV135" s="28"/>
      <c r="CW135" s="28"/>
      <c r="CX135" s="25"/>
      <c r="CY135" s="26"/>
      <c r="CZ135" s="26"/>
      <c r="DA135" s="26"/>
      <c r="DB135" s="26"/>
      <c r="DC135" s="27"/>
      <c r="DD135" s="28"/>
      <c r="DE135" s="28"/>
      <c r="DF135" s="28"/>
      <c r="DG135" s="28"/>
      <c r="DH135" s="25"/>
      <c r="DI135" s="26"/>
      <c r="DJ135" s="26"/>
      <c r="DK135" s="26"/>
      <c r="DL135" s="26"/>
      <c r="DM135" s="27"/>
      <c r="DN135" s="28"/>
      <c r="DO135" s="28"/>
      <c r="DP135" s="28"/>
      <c r="DQ135" s="28"/>
      <c r="DR135" s="25"/>
      <c r="DS135" s="26"/>
      <c r="DT135" s="26"/>
      <c r="DU135" s="26"/>
      <c r="DV135" s="26"/>
      <c r="DW135" s="27"/>
      <c r="DX135" s="28"/>
      <c r="DY135" s="28"/>
      <c r="DZ135" s="28"/>
      <c r="EA135" s="28"/>
      <c r="EB135" s="29"/>
      <c r="EC135" s="30"/>
      <c r="ED135" s="30"/>
      <c r="EE135" s="30"/>
      <c r="EF135" s="30"/>
      <c r="EG135" s="31"/>
      <c r="EH135" s="32"/>
      <c r="EI135" s="32"/>
      <c r="EJ135" s="32"/>
      <c r="EK135" s="32"/>
      <c r="EL135" s="29"/>
      <c r="EM135" s="30"/>
      <c r="EN135" s="30"/>
      <c r="EO135" s="30"/>
      <c r="EP135" s="30"/>
      <c r="EQ135" s="31"/>
      <c r="ER135" s="32"/>
      <c r="ES135" s="32"/>
      <c r="ET135" s="32"/>
      <c r="EU135" s="32"/>
      <c r="EV135" s="29"/>
      <c r="EW135" s="30"/>
      <c r="EX135" s="30"/>
      <c r="EY135" s="30"/>
      <c r="EZ135" s="30"/>
      <c r="FA135" s="31"/>
      <c r="FB135" s="32"/>
      <c r="FC135" s="32"/>
      <c r="FD135" s="32"/>
      <c r="FE135" s="32"/>
      <c r="FF135" s="29"/>
      <c r="FG135" s="30"/>
      <c r="FH135" s="30"/>
      <c r="FI135" s="30"/>
      <c r="FJ135" s="30"/>
      <c r="FK135" s="31"/>
      <c r="FL135" s="32"/>
      <c r="FM135" s="32"/>
      <c r="FN135" s="32"/>
      <c r="FO135" s="32"/>
      <c r="FP135" s="29"/>
      <c r="FQ135" s="30"/>
      <c r="FR135" s="30"/>
      <c r="FS135" s="30"/>
      <c r="FT135" s="30"/>
      <c r="FU135" s="31"/>
      <c r="FV135" s="32"/>
      <c r="FW135" s="32"/>
      <c r="FX135" s="32"/>
      <c r="FY135" s="32"/>
      <c r="FZ135" s="29"/>
      <c r="GA135" s="30"/>
      <c r="GB135" s="30"/>
      <c r="GC135" s="30"/>
      <c r="GD135" s="30"/>
    </row>
    <row r="136" spans="1:186" ht="48" x14ac:dyDescent="0.25">
      <c r="A136" s="156">
        <v>127</v>
      </c>
      <c r="B136" s="395">
        <f>'Tier 3 Intervention'!B515</f>
        <v>0</v>
      </c>
      <c r="C136" s="395"/>
      <c r="D136" s="395"/>
      <c r="E136" s="395"/>
      <c r="F136" s="395"/>
      <c r="G136" s="395"/>
      <c r="H136" s="761" t="e">
        <f>'Tier 3 Intervention'!AA515+30</f>
        <v>#VALUE!</v>
      </c>
      <c r="I136" s="761"/>
      <c r="J136" s="762" t="e">
        <f t="shared" si="2"/>
        <v>#VALUE!</v>
      </c>
      <c r="K136" s="395"/>
      <c r="L136" s="47" t="s">
        <v>913</v>
      </c>
      <c r="M136" s="46"/>
      <c r="N136" s="46"/>
      <c r="O136" s="46"/>
      <c r="P136" s="49"/>
      <c r="Q136" s="19"/>
      <c r="R136" s="20"/>
      <c r="S136" s="20"/>
      <c r="T136" s="20"/>
      <c r="U136" s="20"/>
      <c r="V136" s="21"/>
      <c r="W136" s="22"/>
      <c r="X136" s="22"/>
      <c r="Y136" s="22"/>
      <c r="Z136" s="22"/>
      <c r="AA136" s="19"/>
      <c r="AB136" s="20"/>
      <c r="AC136" s="20"/>
      <c r="AD136" s="20"/>
      <c r="AE136" s="20"/>
      <c r="AF136" s="21"/>
      <c r="AG136" s="22"/>
      <c r="AH136" s="22"/>
      <c r="AI136" s="22"/>
      <c r="AJ136" s="22"/>
      <c r="AK136" s="19"/>
      <c r="AL136" s="20"/>
      <c r="AM136" s="20"/>
      <c r="AN136" s="20"/>
      <c r="AO136" s="20"/>
      <c r="AP136" s="21"/>
      <c r="AQ136" s="22"/>
      <c r="AR136" s="22"/>
      <c r="AS136" s="22"/>
      <c r="AT136" s="22"/>
      <c r="AU136" s="19"/>
      <c r="AV136" s="20"/>
      <c r="AW136" s="20"/>
      <c r="AX136" s="20"/>
      <c r="AY136" s="20"/>
      <c r="AZ136" s="21"/>
      <c r="BA136" s="22"/>
      <c r="BB136" s="22"/>
      <c r="BC136" s="22"/>
      <c r="BD136" s="22"/>
      <c r="BE136" s="19"/>
      <c r="BF136" s="20"/>
      <c r="BG136" s="20"/>
      <c r="BH136" s="20"/>
      <c r="BI136" s="20"/>
      <c r="BJ136" s="21"/>
      <c r="BK136" s="22"/>
      <c r="BL136" s="22"/>
      <c r="BM136" s="22"/>
      <c r="BN136" s="22"/>
      <c r="BO136" s="19"/>
      <c r="BP136" s="20"/>
      <c r="BQ136" s="20"/>
      <c r="BR136" s="20"/>
      <c r="BS136" s="20"/>
      <c r="BT136" s="21"/>
      <c r="BU136" s="22"/>
      <c r="BV136" s="22"/>
      <c r="BW136" s="22"/>
      <c r="BX136" s="22"/>
      <c r="BY136" s="23"/>
      <c r="BZ136" s="24"/>
      <c r="CA136" s="24"/>
      <c r="CB136" s="24"/>
      <c r="CC136" s="24"/>
      <c r="CD136" s="25"/>
      <c r="CE136" s="26"/>
      <c r="CF136" s="26"/>
      <c r="CG136" s="26"/>
      <c r="CH136" s="26"/>
      <c r="CI136" s="27"/>
      <c r="CJ136" s="28"/>
      <c r="CK136" s="28"/>
      <c r="CL136" s="28"/>
      <c r="CM136" s="28"/>
      <c r="CN136" s="25"/>
      <c r="CO136" s="26"/>
      <c r="CP136" s="26"/>
      <c r="CQ136" s="26"/>
      <c r="CR136" s="26"/>
      <c r="CS136" s="27"/>
      <c r="CT136" s="28"/>
      <c r="CU136" s="28"/>
      <c r="CV136" s="28"/>
      <c r="CW136" s="28"/>
      <c r="CX136" s="25"/>
      <c r="CY136" s="26"/>
      <c r="CZ136" s="26"/>
      <c r="DA136" s="26"/>
      <c r="DB136" s="26"/>
      <c r="DC136" s="27"/>
      <c r="DD136" s="28"/>
      <c r="DE136" s="28"/>
      <c r="DF136" s="28"/>
      <c r="DG136" s="28"/>
      <c r="DH136" s="25"/>
      <c r="DI136" s="26"/>
      <c r="DJ136" s="26"/>
      <c r="DK136" s="26"/>
      <c r="DL136" s="26"/>
      <c r="DM136" s="27"/>
      <c r="DN136" s="28"/>
      <c r="DO136" s="28"/>
      <c r="DP136" s="28"/>
      <c r="DQ136" s="28"/>
      <c r="DR136" s="25"/>
      <c r="DS136" s="26"/>
      <c r="DT136" s="26"/>
      <c r="DU136" s="26"/>
      <c r="DV136" s="26"/>
      <c r="DW136" s="27"/>
      <c r="DX136" s="28"/>
      <c r="DY136" s="28"/>
      <c r="DZ136" s="28"/>
      <c r="EA136" s="28"/>
      <c r="EB136" s="29"/>
      <c r="EC136" s="30"/>
      <c r="ED136" s="30"/>
      <c r="EE136" s="30"/>
      <c r="EF136" s="30"/>
      <c r="EG136" s="31"/>
      <c r="EH136" s="32"/>
      <c r="EI136" s="32"/>
      <c r="EJ136" s="32"/>
      <c r="EK136" s="32"/>
      <c r="EL136" s="29"/>
      <c r="EM136" s="30"/>
      <c r="EN136" s="30"/>
      <c r="EO136" s="30"/>
      <c r="EP136" s="30"/>
      <c r="EQ136" s="31"/>
      <c r="ER136" s="32"/>
      <c r="ES136" s="32"/>
      <c r="ET136" s="32"/>
      <c r="EU136" s="32"/>
      <c r="EV136" s="29"/>
      <c r="EW136" s="30"/>
      <c r="EX136" s="30"/>
      <c r="EY136" s="30"/>
      <c r="EZ136" s="30"/>
      <c r="FA136" s="31"/>
      <c r="FB136" s="32"/>
      <c r="FC136" s="32"/>
      <c r="FD136" s="32"/>
      <c r="FE136" s="32"/>
      <c r="FF136" s="29"/>
      <c r="FG136" s="30"/>
      <c r="FH136" s="30"/>
      <c r="FI136" s="30"/>
      <c r="FJ136" s="30"/>
      <c r="FK136" s="31"/>
      <c r="FL136" s="32"/>
      <c r="FM136" s="32"/>
      <c r="FN136" s="32"/>
      <c r="FO136" s="32"/>
      <c r="FP136" s="29"/>
      <c r="FQ136" s="30"/>
      <c r="FR136" s="30"/>
      <c r="FS136" s="30"/>
      <c r="FT136" s="30"/>
      <c r="FU136" s="31"/>
      <c r="FV136" s="32"/>
      <c r="FW136" s="32"/>
      <c r="FX136" s="32"/>
      <c r="FY136" s="32"/>
      <c r="FZ136" s="29"/>
      <c r="GA136" s="30"/>
      <c r="GB136" s="30"/>
      <c r="GC136" s="30"/>
      <c r="GD136" s="30"/>
    </row>
    <row r="137" spans="1:186" ht="48" x14ac:dyDescent="0.25">
      <c r="A137" s="156">
        <v>128</v>
      </c>
      <c r="B137" s="395">
        <f>'Tier 3 Intervention'!B519</f>
        <v>0</v>
      </c>
      <c r="C137" s="395"/>
      <c r="D137" s="395"/>
      <c r="E137" s="395"/>
      <c r="F137" s="395"/>
      <c r="G137" s="395"/>
      <c r="H137" s="761" t="e">
        <f>'Tier 3 Intervention'!AA519+30</f>
        <v>#VALUE!</v>
      </c>
      <c r="I137" s="761"/>
      <c r="J137" s="762" t="e">
        <f t="shared" si="2"/>
        <v>#VALUE!</v>
      </c>
      <c r="K137" s="395"/>
      <c r="L137" s="47" t="s">
        <v>914</v>
      </c>
      <c r="M137" s="46"/>
      <c r="N137" s="46"/>
      <c r="O137" s="46"/>
      <c r="P137" s="49"/>
      <c r="Q137" s="19"/>
      <c r="R137" s="20"/>
      <c r="S137" s="20"/>
      <c r="T137" s="20"/>
      <c r="U137" s="20"/>
      <c r="V137" s="21"/>
      <c r="W137" s="22"/>
      <c r="X137" s="22"/>
      <c r="Y137" s="22"/>
      <c r="Z137" s="22"/>
      <c r="AA137" s="19"/>
      <c r="AB137" s="20"/>
      <c r="AC137" s="20"/>
      <c r="AD137" s="20"/>
      <c r="AE137" s="20"/>
      <c r="AF137" s="21"/>
      <c r="AG137" s="22"/>
      <c r="AH137" s="22"/>
      <c r="AI137" s="22"/>
      <c r="AJ137" s="22"/>
      <c r="AK137" s="19"/>
      <c r="AL137" s="20"/>
      <c r="AM137" s="20"/>
      <c r="AN137" s="20"/>
      <c r="AO137" s="20"/>
      <c r="AP137" s="21"/>
      <c r="AQ137" s="22"/>
      <c r="AR137" s="22"/>
      <c r="AS137" s="22"/>
      <c r="AT137" s="22"/>
      <c r="AU137" s="19"/>
      <c r="AV137" s="20"/>
      <c r="AW137" s="20"/>
      <c r="AX137" s="20"/>
      <c r="AY137" s="20"/>
      <c r="AZ137" s="21"/>
      <c r="BA137" s="22"/>
      <c r="BB137" s="22"/>
      <c r="BC137" s="22"/>
      <c r="BD137" s="22"/>
      <c r="BE137" s="19"/>
      <c r="BF137" s="20"/>
      <c r="BG137" s="20"/>
      <c r="BH137" s="20"/>
      <c r="BI137" s="20"/>
      <c r="BJ137" s="21"/>
      <c r="BK137" s="22"/>
      <c r="BL137" s="22"/>
      <c r="BM137" s="22"/>
      <c r="BN137" s="22"/>
      <c r="BO137" s="19"/>
      <c r="BP137" s="20"/>
      <c r="BQ137" s="20"/>
      <c r="BR137" s="20"/>
      <c r="BS137" s="20"/>
      <c r="BT137" s="21"/>
      <c r="BU137" s="22"/>
      <c r="BV137" s="22"/>
      <c r="BW137" s="22"/>
      <c r="BX137" s="22"/>
      <c r="BY137" s="23"/>
      <c r="BZ137" s="24"/>
      <c r="CA137" s="24"/>
      <c r="CB137" s="24"/>
      <c r="CC137" s="24"/>
      <c r="CD137" s="25"/>
      <c r="CE137" s="26"/>
      <c r="CF137" s="26"/>
      <c r="CG137" s="26"/>
      <c r="CH137" s="26"/>
      <c r="CI137" s="27"/>
      <c r="CJ137" s="28"/>
      <c r="CK137" s="28"/>
      <c r="CL137" s="28"/>
      <c r="CM137" s="28"/>
      <c r="CN137" s="25"/>
      <c r="CO137" s="26"/>
      <c r="CP137" s="26"/>
      <c r="CQ137" s="26"/>
      <c r="CR137" s="26"/>
      <c r="CS137" s="27"/>
      <c r="CT137" s="28"/>
      <c r="CU137" s="28"/>
      <c r="CV137" s="28"/>
      <c r="CW137" s="28"/>
      <c r="CX137" s="25"/>
      <c r="CY137" s="26"/>
      <c r="CZ137" s="26"/>
      <c r="DA137" s="26"/>
      <c r="DB137" s="26"/>
      <c r="DC137" s="27"/>
      <c r="DD137" s="28"/>
      <c r="DE137" s="28"/>
      <c r="DF137" s="28"/>
      <c r="DG137" s="28"/>
      <c r="DH137" s="25"/>
      <c r="DI137" s="26"/>
      <c r="DJ137" s="26"/>
      <c r="DK137" s="26"/>
      <c r="DL137" s="26"/>
      <c r="DM137" s="27"/>
      <c r="DN137" s="28"/>
      <c r="DO137" s="28"/>
      <c r="DP137" s="28"/>
      <c r="DQ137" s="28"/>
      <c r="DR137" s="25"/>
      <c r="DS137" s="26"/>
      <c r="DT137" s="26"/>
      <c r="DU137" s="26"/>
      <c r="DV137" s="26"/>
      <c r="DW137" s="27"/>
      <c r="DX137" s="28"/>
      <c r="DY137" s="28"/>
      <c r="DZ137" s="28"/>
      <c r="EA137" s="28"/>
      <c r="EB137" s="29"/>
      <c r="EC137" s="30"/>
      <c r="ED137" s="30"/>
      <c r="EE137" s="30"/>
      <c r="EF137" s="30"/>
      <c r="EG137" s="31"/>
      <c r="EH137" s="32"/>
      <c r="EI137" s="32"/>
      <c r="EJ137" s="32"/>
      <c r="EK137" s="32"/>
      <c r="EL137" s="29"/>
      <c r="EM137" s="30"/>
      <c r="EN137" s="30"/>
      <c r="EO137" s="30"/>
      <c r="EP137" s="30"/>
      <c r="EQ137" s="31"/>
      <c r="ER137" s="32"/>
      <c r="ES137" s="32"/>
      <c r="ET137" s="32"/>
      <c r="EU137" s="32"/>
      <c r="EV137" s="29"/>
      <c r="EW137" s="30"/>
      <c r="EX137" s="30"/>
      <c r="EY137" s="30"/>
      <c r="EZ137" s="30"/>
      <c r="FA137" s="31"/>
      <c r="FB137" s="32"/>
      <c r="FC137" s="32"/>
      <c r="FD137" s="32"/>
      <c r="FE137" s="32"/>
      <c r="FF137" s="29"/>
      <c r="FG137" s="30"/>
      <c r="FH137" s="30"/>
      <c r="FI137" s="30"/>
      <c r="FJ137" s="30"/>
      <c r="FK137" s="31"/>
      <c r="FL137" s="32"/>
      <c r="FM137" s="32"/>
      <c r="FN137" s="32"/>
      <c r="FO137" s="32"/>
      <c r="FP137" s="29"/>
      <c r="FQ137" s="30"/>
      <c r="FR137" s="30"/>
      <c r="FS137" s="30"/>
      <c r="FT137" s="30"/>
      <c r="FU137" s="31"/>
      <c r="FV137" s="32"/>
      <c r="FW137" s="32"/>
      <c r="FX137" s="32"/>
      <c r="FY137" s="32"/>
      <c r="FZ137" s="29"/>
      <c r="GA137" s="30"/>
      <c r="GB137" s="30"/>
      <c r="GC137" s="30"/>
      <c r="GD137" s="30"/>
    </row>
    <row r="138" spans="1:186" ht="48" x14ac:dyDescent="0.25">
      <c r="A138" s="156">
        <v>129</v>
      </c>
      <c r="B138" s="395">
        <f>'Tier 3 Intervention'!B523</f>
        <v>0</v>
      </c>
      <c r="C138" s="395"/>
      <c r="D138" s="395"/>
      <c r="E138" s="395"/>
      <c r="F138" s="395"/>
      <c r="G138" s="395"/>
      <c r="H138" s="761" t="e">
        <f>'Tier 3 Intervention'!AA523+30</f>
        <v>#VALUE!</v>
      </c>
      <c r="I138" s="761"/>
      <c r="J138" s="762" t="e">
        <f t="shared" si="2"/>
        <v>#VALUE!</v>
      </c>
      <c r="K138" s="395"/>
      <c r="L138" s="47" t="s">
        <v>915</v>
      </c>
      <c r="M138" s="46"/>
      <c r="N138" s="46"/>
      <c r="O138" s="46"/>
      <c r="P138" s="49"/>
      <c r="Q138" s="19"/>
      <c r="R138" s="20"/>
      <c r="S138" s="20"/>
      <c r="T138" s="20"/>
      <c r="U138" s="20"/>
      <c r="V138" s="21"/>
      <c r="W138" s="22"/>
      <c r="X138" s="22"/>
      <c r="Y138" s="22"/>
      <c r="Z138" s="22"/>
      <c r="AA138" s="19"/>
      <c r="AB138" s="20"/>
      <c r="AC138" s="20"/>
      <c r="AD138" s="20"/>
      <c r="AE138" s="20"/>
      <c r="AF138" s="21"/>
      <c r="AG138" s="22"/>
      <c r="AH138" s="22"/>
      <c r="AI138" s="22"/>
      <c r="AJ138" s="22"/>
      <c r="AK138" s="19"/>
      <c r="AL138" s="20"/>
      <c r="AM138" s="20"/>
      <c r="AN138" s="20"/>
      <c r="AO138" s="20"/>
      <c r="AP138" s="21"/>
      <c r="AQ138" s="22"/>
      <c r="AR138" s="22"/>
      <c r="AS138" s="22"/>
      <c r="AT138" s="22"/>
      <c r="AU138" s="19"/>
      <c r="AV138" s="20"/>
      <c r="AW138" s="20"/>
      <c r="AX138" s="20"/>
      <c r="AY138" s="20"/>
      <c r="AZ138" s="21"/>
      <c r="BA138" s="22"/>
      <c r="BB138" s="22"/>
      <c r="BC138" s="22"/>
      <c r="BD138" s="22"/>
      <c r="BE138" s="19"/>
      <c r="BF138" s="20"/>
      <c r="BG138" s="20"/>
      <c r="BH138" s="20"/>
      <c r="BI138" s="20"/>
      <c r="BJ138" s="21"/>
      <c r="BK138" s="22"/>
      <c r="BL138" s="22"/>
      <c r="BM138" s="22"/>
      <c r="BN138" s="22"/>
      <c r="BO138" s="19"/>
      <c r="BP138" s="20"/>
      <c r="BQ138" s="20"/>
      <c r="BR138" s="20"/>
      <c r="BS138" s="20"/>
      <c r="BT138" s="21"/>
      <c r="BU138" s="22"/>
      <c r="BV138" s="22"/>
      <c r="BW138" s="22"/>
      <c r="BX138" s="22"/>
      <c r="BY138" s="23"/>
      <c r="BZ138" s="24"/>
      <c r="CA138" s="24"/>
      <c r="CB138" s="24"/>
      <c r="CC138" s="24"/>
      <c r="CD138" s="25"/>
      <c r="CE138" s="26"/>
      <c r="CF138" s="26"/>
      <c r="CG138" s="26"/>
      <c r="CH138" s="26"/>
      <c r="CI138" s="27"/>
      <c r="CJ138" s="28"/>
      <c r="CK138" s="28"/>
      <c r="CL138" s="28"/>
      <c r="CM138" s="28"/>
      <c r="CN138" s="25"/>
      <c r="CO138" s="26"/>
      <c r="CP138" s="26"/>
      <c r="CQ138" s="26"/>
      <c r="CR138" s="26"/>
      <c r="CS138" s="27"/>
      <c r="CT138" s="28"/>
      <c r="CU138" s="28"/>
      <c r="CV138" s="28"/>
      <c r="CW138" s="28"/>
      <c r="CX138" s="25"/>
      <c r="CY138" s="26"/>
      <c r="CZ138" s="26"/>
      <c r="DA138" s="26"/>
      <c r="DB138" s="26"/>
      <c r="DC138" s="27"/>
      <c r="DD138" s="28"/>
      <c r="DE138" s="28"/>
      <c r="DF138" s="28"/>
      <c r="DG138" s="28"/>
      <c r="DH138" s="25"/>
      <c r="DI138" s="26"/>
      <c r="DJ138" s="26"/>
      <c r="DK138" s="26"/>
      <c r="DL138" s="26"/>
      <c r="DM138" s="27"/>
      <c r="DN138" s="28"/>
      <c r="DO138" s="28"/>
      <c r="DP138" s="28"/>
      <c r="DQ138" s="28"/>
      <c r="DR138" s="25"/>
      <c r="DS138" s="26"/>
      <c r="DT138" s="26"/>
      <c r="DU138" s="26"/>
      <c r="DV138" s="26"/>
      <c r="DW138" s="27"/>
      <c r="DX138" s="28"/>
      <c r="DY138" s="28"/>
      <c r="DZ138" s="28"/>
      <c r="EA138" s="28"/>
      <c r="EB138" s="29"/>
      <c r="EC138" s="30"/>
      <c r="ED138" s="30"/>
      <c r="EE138" s="30"/>
      <c r="EF138" s="30"/>
      <c r="EG138" s="31"/>
      <c r="EH138" s="32"/>
      <c r="EI138" s="32"/>
      <c r="EJ138" s="32"/>
      <c r="EK138" s="32"/>
      <c r="EL138" s="29"/>
      <c r="EM138" s="30"/>
      <c r="EN138" s="30"/>
      <c r="EO138" s="30"/>
      <c r="EP138" s="30"/>
      <c r="EQ138" s="31"/>
      <c r="ER138" s="32"/>
      <c r="ES138" s="32"/>
      <c r="ET138" s="32"/>
      <c r="EU138" s="32"/>
      <c r="EV138" s="29"/>
      <c r="EW138" s="30"/>
      <c r="EX138" s="30"/>
      <c r="EY138" s="30"/>
      <c r="EZ138" s="30"/>
      <c r="FA138" s="31"/>
      <c r="FB138" s="32"/>
      <c r="FC138" s="32"/>
      <c r="FD138" s="32"/>
      <c r="FE138" s="32"/>
      <c r="FF138" s="29"/>
      <c r="FG138" s="30"/>
      <c r="FH138" s="30"/>
      <c r="FI138" s="30"/>
      <c r="FJ138" s="30"/>
      <c r="FK138" s="31"/>
      <c r="FL138" s="32"/>
      <c r="FM138" s="32"/>
      <c r="FN138" s="32"/>
      <c r="FO138" s="32"/>
      <c r="FP138" s="29"/>
      <c r="FQ138" s="30"/>
      <c r="FR138" s="30"/>
      <c r="FS138" s="30"/>
      <c r="FT138" s="30"/>
      <c r="FU138" s="31"/>
      <c r="FV138" s="32"/>
      <c r="FW138" s="32"/>
      <c r="FX138" s="32"/>
      <c r="FY138" s="32"/>
      <c r="FZ138" s="29"/>
      <c r="GA138" s="30"/>
      <c r="GB138" s="30"/>
      <c r="GC138" s="30"/>
      <c r="GD138" s="30"/>
    </row>
    <row r="139" spans="1:186" ht="48" x14ac:dyDescent="0.25">
      <c r="A139" s="156">
        <v>130</v>
      </c>
      <c r="B139" s="395">
        <f>'Tier 3 Intervention'!B527</f>
        <v>0</v>
      </c>
      <c r="C139" s="395"/>
      <c r="D139" s="395"/>
      <c r="E139" s="395"/>
      <c r="F139" s="395"/>
      <c r="G139" s="395"/>
      <c r="H139" s="761" t="e">
        <f>'Tier 3 Intervention'!AA527+30</f>
        <v>#VALUE!</v>
      </c>
      <c r="I139" s="761"/>
      <c r="J139" s="762" t="e">
        <f t="shared" si="2"/>
        <v>#VALUE!</v>
      </c>
      <c r="K139" s="395"/>
      <c r="L139" s="47" t="s">
        <v>916</v>
      </c>
      <c r="M139" s="46"/>
      <c r="N139" s="46"/>
      <c r="O139" s="46"/>
      <c r="P139" s="49"/>
      <c r="Q139" s="19"/>
      <c r="R139" s="20"/>
      <c r="S139" s="20"/>
      <c r="T139" s="20"/>
      <c r="U139" s="20"/>
      <c r="V139" s="21"/>
      <c r="W139" s="22"/>
      <c r="X139" s="22"/>
      <c r="Y139" s="22"/>
      <c r="Z139" s="22"/>
      <c r="AA139" s="19"/>
      <c r="AB139" s="20"/>
      <c r="AC139" s="20"/>
      <c r="AD139" s="20"/>
      <c r="AE139" s="20"/>
      <c r="AF139" s="21"/>
      <c r="AG139" s="22"/>
      <c r="AH139" s="22"/>
      <c r="AI139" s="22"/>
      <c r="AJ139" s="22"/>
      <c r="AK139" s="19"/>
      <c r="AL139" s="20"/>
      <c r="AM139" s="20"/>
      <c r="AN139" s="20"/>
      <c r="AO139" s="20"/>
      <c r="AP139" s="21"/>
      <c r="AQ139" s="22"/>
      <c r="AR139" s="22"/>
      <c r="AS139" s="22"/>
      <c r="AT139" s="22"/>
      <c r="AU139" s="19"/>
      <c r="AV139" s="20"/>
      <c r="AW139" s="20"/>
      <c r="AX139" s="20"/>
      <c r="AY139" s="20"/>
      <c r="AZ139" s="21"/>
      <c r="BA139" s="22"/>
      <c r="BB139" s="22"/>
      <c r="BC139" s="22"/>
      <c r="BD139" s="22"/>
      <c r="BE139" s="19"/>
      <c r="BF139" s="20"/>
      <c r="BG139" s="20"/>
      <c r="BH139" s="20"/>
      <c r="BI139" s="20"/>
      <c r="BJ139" s="21"/>
      <c r="BK139" s="22"/>
      <c r="BL139" s="22"/>
      <c r="BM139" s="22"/>
      <c r="BN139" s="22"/>
      <c r="BO139" s="19"/>
      <c r="BP139" s="20"/>
      <c r="BQ139" s="20"/>
      <c r="BR139" s="20"/>
      <c r="BS139" s="20"/>
      <c r="BT139" s="21"/>
      <c r="BU139" s="22"/>
      <c r="BV139" s="22"/>
      <c r="BW139" s="22"/>
      <c r="BX139" s="22"/>
      <c r="BY139" s="23"/>
      <c r="BZ139" s="24"/>
      <c r="CA139" s="24"/>
      <c r="CB139" s="24"/>
      <c r="CC139" s="24"/>
      <c r="CD139" s="25"/>
      <c r="CE139" s="26"/>
      <c r="CF139" s="26"/>
      <c r="CG139" s="26"/>
      <c r="CH139" s="26"/>
      <c r="CI139" s="27"/>
      <c r="CJ139" s="28"/>
      <c r="CK139" s="28"/>
      <c r="CL139" s="28"/>
      <c r="CM139" s="28"/>
      <c r="CN139" s="25"/>
      <c r="CO139" s="26"/>
      <c r="CP139" s="26"/>
      <c r="CQ139" s="26"/>
      <c r="CR139" s="26"/>
      <c r="CS139" s="27"/>
      <c r="CT139" s="28"/>
      <c r="CU139" s="28"/>
      <c r="CV139" s="28"/>
      <c r="CW139" s="28"/>
      <c r="CX139" s="25"/>
      <c r="CY139" s="26"/>
      <c r="CZ139" s="26"/>
      <c r="DA139" s="26"/>
      <c r="DB139" s="26"/>
      <c r="DC139" s="27"/>
      <c r="DD139" s="28"/>
      <c r="DE139" s="28"/>
      <c r="DF139" s="28"/>
      <c r="DG139" s="28"/>
      <c r="DH139" s="25"/>
      <c r="DI139" s="26"/>
      <c r="DJ139" s="26"/>
      <c r="DK139" s="26"/>
      <c r="DL139" s="26"/>
      <c r="DM139" s="27"/>
      <c r="DN139" s="28"/>
      <c r="DO139" s="28"/>
      <c r="DP139" s="28"/>
      <c r="DQ139" s="28"/>
      <c r="DR139" s="25"/>
      <c r="DS139" s="26"/>
      <c r="DT139" s="26"/>
      <c r="DU139" s="26"/>
      <c r="DV139" s="26"/>
      <c r="DW139" s="27"/>
      <c r="DX139" s="28"/>
      <c r="DY139" s="28"/>
      <c r="DZ139" s="28"/>
      <c r="EA139" s="28"/>
      <c r="EB139" s="29"/>
      <c r="EC139" s="30"/>
      <c r="ED139" s="30"/>
      <c r="EE139" s="30"/>
      <c r="EF139" s="30"/>
      <c r="EG139" s="31"/>
      <c r="EH139" s="32"/>
      <c r="EI139" s="32"/>
      <c r="EJ139" s="32"/>
      <c r="EK139" s="32"/>
      <c r="EL139" s="29"/>
      <c r="EM139" s="30"/>
      <c r="EN139" s="30"/>
      <c r="EO139" s="30"/>
      <c r="EP139" s="30"/>
      <c r="EQ139" s="31"/>
      <c r="ER139" s="32"/>
      <c r="ES139" s="32"/>
      <c r="ET139" s="32"/>
      <c r="EU139" s="32"/>
      <c r="EV139" s="29"/>
      <c r="EW139" s="30"/>
      <c r="EX139" s="30"/>
      <c r="EY139" s="30"/>
      <c r="EZ139" s="30"/>
      <c r="FA139" s="31"/>
      <c r="FB139" s="32"/>
      <c r="FC139" s="32"/>
      <c r="FD139" s="32"/>
      <c r="FE139" s="32"/>
      <c r="FF139" s="29"/>
      <c r="FG139" s="30"/>
      <c r="FH139" s="30"/>
      <c r="FI139" s="30"/>
      <c r="FJ139" s="30"/>
      <c r="FK139" s="31"/>
      <c r="FL139" s="32"/>
      <c r="FM139" s="32"/>
      <c r="FN139" s="32"/>
      <c r="FO139" s="32"/>
      <c r="FP139" s="29"/>
      <c r="FQ139" s="30"/>
      <c r="FR139" s="30"/>
      <c r="FS139" s="30"/>
      <c r="FT139" s="30"/>
      <c r="FU139" s="31"/>
      <c r="FV139" s="32"/>
      <c r="FW139" s="32"/>
      <c r="FX139" s="32"/>
      <c r="FY139" s="32"/>
      <c r="FZ139" s="29"/>
      <c r="GA139" s="30"/>
      <c r="GB139" s="30"/>
      <c r="GC139" s="30"/>
      <c r="GD139" s="30"/>
    </row>
    <row r="140" spans="1:186" ht="48" x14ac:dyDescent="0.25">
      <c r="A140" s="156">
        <v>131</v>
      </c>
      <c r="B140" s="395">
        <f>'Tier 3 Intervention'!B531</f>
        <v>0</v>
      </c>
      <c r="C140" s="395"/>
      <c r="D140" s="395"/>
      <c r="E140" s="395"/>
      <c r="F140" s="395"/>
      <c r="G140" s="395"/>
      <c r="H140" s="761" t="e">
        <f>'Tier 3 Intervention'!AA531+30</f>
        <v>#VALUE!</v>
      </c>
      <c r="I140" s="761"/>
      <c r="J140" s="762" t="e">
        <f t="shared" si="2"/>
        <v>#VALUE!</v>
      </c>
      <c r="K140" s="395"/>
      <c r="L140" s="47" t="s">
        <v>917</v>
      </c>
      <c r="M140" s="46"/>
      <c r="N140" s="46"/>
      <c r="O140" s="46"/>
      <c r="P140" s="49"/>
      <c r="Q140" s="19"/>
      <c r="R140" s="20"/>
      <c r="S140" s="20"/>
      <c r="T140" s="20"/>
      <c r="U140" s="20"/>
      <c r="V140" s="21"/>
      <c r="W140" s="22"/>
      <c r="X140" s="22"/>
      <c r="Y140" s="22"/>
      <c r="Z140" s="22"/>
      <c r="AA140" s="19"/>
      <c r="AB140" s="20"/>
      <c r="AC140" s="20"/>
      <c r="AD140" s="20"/>
      <c r="AE140" s="20"/>
      <c r="AF140" s="21"/>
      <c r="AG140" s="22"/>
      <c r="AH140" s="22"/>
      <c r="AI140" s="22"/>
      <c r="AJ140" s="22"/>
      <c r="AK140" s="19"/>
      <c r="AL140" s="20"/>
      <c r="AM140" s="20"/>
      <c r="AN140" s="20"/>
      <c r="AO140" s="20"/>
      <c r="AP140" s="21"/>
      <c r="AQ140" s="22"/>
      <c r="AR140" s="22"/>
      <c r="AS140" s="22"/>
      <c r="AT140" s="22"/>
      <c r="AU140" s="19"/>
      <c r="AV140" s="20"/>
      <c r="AW140" s="20"/>
      <c r="AX140" s="20"/>
      <c r="AY140" s="20"/>
      <c r="AZ140" s="21"/>
      <c r="BA140" s="22"/>
      <c r="BB140" s="22"/>
      <c r="BC140" s="22"/>
      <c r="BD140" s="22"/>
      <c r="BE140" s="19"/>
      <c r="BF140" s="20"/>
      <c r="BG140" s="20"/>
      <c r="BH140" s="20"/>
      <c r="BI140" s="20"/>
      <c r="BJ140" s="21"/>
      <c r="BK140" s="22"/>
      <c r="BL140" s="22"/>
      <c r="BM140" s="22"/>
      <c r="BN140" s="22"/>
      <c r="BO140" s="19"/>
      <c r="BP140" s="20"/>
      <c r="BQ140" s="20"/>
      <c r="BR140" s="20"/>
      <c r="BS140" s="20"/>
      <c r="BT140" s="21"/>
      <c r="BU140" s="22"/>
      <c r="BV140" s="22"/>
      <c r="BW140" s="22"/>
      <c r="BX140" s="22"/>
      <c r="BY140" s="23"/>
      <c r="BZ140" s="24"/>
      <c r="CA140" s="24"/>
      <c r="CB140" s="24"/>
      <c r="CC140" s="24"/>
      <c r="CD140" s="25"/>
      <c r="CE140" s="26"/>
      <c r="CF140" s="26"/>
      <c r="CG140" s="26"/>
      <c r="CH140" s="26"/>
      <c r="CI140" s="27"/>
      <c r="CJ140" s="28"/>
      <c r="CK140" s="28"/>
      <c r="CL140" s="28"/>
      <c r="CM140" s="28"/>
      <c r="CN140" s="25"/>
      <c r="CO140" s="26"/>
      <c r="CP140" s="26"/>
      <c r="CQ140" s="26"/>
      <c r="CR140" s="26"/>
      <c r="CS140" s="27"/>
      <c r="CT140" s="28"/>
      <c r="CU140" s="28"/>
      <c r="CV140" s="28"/>
      <c r="CW140" s="28"/>
      <c r="CX140" s="25"/>
      <c r="CY140" s="26"/>
      <c r="CZ140" s="26"/>
      <c r="DA140" s="26"/>
      <c r="DB140" s="26"/>
      <c r="DC140" s="27"/>
      <c r="DD140" s="28"/>
      <c r="DE140" s="28"/>
      <c r="DF140" s="28"/>
      <c r="DG140" s="28"/>
      <c r="DH140" s="25"/>
      <c r="DI140" s="26"/>
      <c r="DJ140" s="26"/>
      <c r="DK140" s="26"/>
      <c r="DL140" s="26"/>
      <c r="DM140" s="27"/>
      <c r="DN140" s="28"/>
      <c r="DO140" s="28"/>
      <c r="DP140" s="28"/>
      <c r="DQ140" s="28"/>
      <c r="DR140" s="25"/>
      <c r="DS140" s="26"/>
      <c r="DT140" s="26"/>
      <c r="DU140" s="26"/>
      <c r="DV140" s="26"/>
      <c r="DW140" s="27"/>
      <c r="DX140" s="28"/>
      <c r="DY140" s="28"/>
      <c r="DZ140" s="28"/>
      <c r="EA140" s="28"/>
      <c r="EB140" s="29"/>
      <c r="EC140" s="30"/>
      <c r="ED140" s="30"/>
      <c r="EE140" s="30"/>
      <c r="EF140" s="30"/>
      <c r="EG140" s="31"/>
      <c r="EH140" s="32"/>
      <c r="EI140" s="32"/>
      <c r="EJ140" s="32"/>
      <c r="EK140" s="32"/>
      <c r="EL140" s="29"/>
      <c r="EM140" s="30"/>
      <c r="EN140" s="30"/>
      <c r="EO140" s="30"/>
      <c r="EP140" s="30"/>
      <c r="EQ140" s="31"/>
      <c r="ER140" s="32"/>
      <c r="ES140" s="32"/>
      <c r="ET140" s="32"/>
      <c r="EU140" s="32"/>
      <c r="EV140" s="29"/>
      <c r="EW140" s="30"/>
      <c r="EX140" s="30"/>
      <c r="EY140" s="30"/>
      <c r="EZ140" s="30"/>
      <c r="FA140" s="31"/>
      <c r="FB140" s="32"/>
      <c r="FC140" s="32"/>
      <c r="FD140" s="32"/>
      <c r="FE140" s="32"/>
      <c r="FF140" s="29"/>
      <c r="FG140" s="30"/>
      <c r="FH140" s="30"/>
      <c r="FI140" s="30"/>
      <c r="FJ140" s="30"/>
      <c r="FK140" s="31"/>
      <c r="FL140" s="32"/>
      <c r="FM140" s="32"/>
      <c r="FN140" s="32"/>
      <c r="FO140" s="32"/>
      <c r="FP140" s="29"/>
      <c r="FQ140" s="30"/>
      <c r="FR140" s="30"/>
      <c r="FS140" s="30"/>
      <c r="FT140" s="30"/>
      <c r="FU140" s="31"/>
      <c r="FV140" s="32"/>
      <c r="FW140" s="32"/>
      <c r="FX140" s="32"/>
      <c r="FY140" s="32"/>
      <c r="FZ140" s="29"/>
      <c r="GA140" s="30"/>
      <c r="GB140" s="30"/>
      <c r="GC140" s="30"/>
      <c r="GD140" s="30"/>
    </row>
    <row r="141" spans="1:186" ht="48" x14ac:dyDescent="0.25">
      <c r="A141" s="156">
        <v>132</v>
      </c>
      <c r="B141" s="395">
        <f>'Tier 3 Intervention'!B535</f>
        <v>0</v>
      </c>
      <c r="C141" s="395"/>
      <c r="D141" s="395"/>
      <c r="E141" s="395"/>
      <c r="F141" s="395"/>
      <c r="G141" s="395"/>
      <c r="H141" s="761" t="e">
        <f>'Tier 3 Intervention'!AA535+30</f>
        <v>#VALUE!</v>
      </c>
      <c r="I141" s="761"/>
      <c r="J141" s="762" t="e">
        <f t="shared" si="2"/>
        <v>#VALUE!</v>
      </c>
      <c r="K141" s="395"/>
      <c r="L141" s="47" t="s">
        <v>918</v>
      </c>
      <c r="M141" s="46"/>
      <c r="N141" s="46"/>
      <c r="O141" s="46"/>
      <c r="P141" s="49"/>
      <c r="Q141" s="19"/>
      <c r="R141" s="20"/>
      <c r="S141" s="20"/>
      <c r="T141" s="20"/>
      <c r="U141" s="20"/>
      <c r="V141" s="21"/>
      <c r="W141" s="22"/>
      <c r="X141" s="22"/>
      <c r="Y141" s="22"/>
      <c r="Z141" s="22"/>
      <c r="AA141" s="19"/>
      <c r="AB141" s="20"/>
      <c r="AC141" s="20"/>
      <c r="AD141" s="20"/>
      <c r="AE141" s="20"/>
      <c r="AF141" s="21"/>
      <c r="AG141" s="22"/>
      <c r="AH141" s="22"/>
      <c r="AI141" s="22"/>
      <c r="AJ141" s="22"/>
      <c r="AK141" s="19"/>
      <c r="AL141" s="20"/>
      <c r="AM141" s="20"/>
      <c r="AN141" s="20"/>
      <c r="AO141" s="20"/>
      <c r="AP141" s="21"/>
      <c r="AQ141" s="22"/>
      <c r="AR141" s="22"/>
      <c r="AS141" s="22"/>
      <c r="AT141" s="22"/>
      <c r="AU141" s="19"/>
      <c r="AV141" s="20"/>
      <c r="AW141" s="20"/>
      <c r="AX141" s="20"/>
      <c r="AY141" s="20"/>
      <c r="AZ141" s="21"/>
      <c r="BA141" s="22"/>
      <c r="BB141" s="22"/>
      <c r="BC141" s="22"/>
      <c r="BD141" s="22"/>
      <c r="BE141" s="19"/>
      <c r="BF141" s="20"/>
      <c r="BG141" s="20"/>
      <c r="BH141" s="20"/>
      <c r="BI141" s="20"/>
      <c r="BJ141" s="21"/>
      <c r="BK141" s="22"/>
      <c r="BL141" s="22"/>
      <c r="BM141" s="22"/>
      <c r="BN141" s="22"/>
      <c r="BO141" s="19"/>
      <c r="BP141" s="20"/>
      <c r="BQ141" s="20"/>
      <c r="BR141" s="20"/>
      <c r="BS141" s="20"/>
      <c r="BT141" s="21"/>
      <c r="BU141" s="22"/>
      <c r="BV141" s="22"/>
      <c r="BW141" s="22"/>
      <c r="BX141" s="22"/>
      <c r="BY141" s="23"/>
      <c r="BZ141" s="24"/>
      <c r="CA141" s="24"/>
      <c r="CB141" s="24"/>
      <c r="CC141" s="24"/>
      <c r="CD141" s="25"/>
      <c r="CE141" s="26"/>
      <c r="CF141" s="26"/>
      <c r="CG141" s="26"/>
      <c r="CH141" s="26"/>
      <c r="CI141" s="27"/>
      <c r="CJ141" s="28"/>
      <c r="CK141" s="28"/>
      <c r="CL141" s="28"/>
      <c r="CM141" s="28"/>
      <c r="CN141" s="25"/>
      <c r="CO141" s="26"/>
      <c r="CP141" s="26"/>
      <c r="CQ141" s="26"/>
      <c r="CR141" s="26"/>
      <c r="CS141" s="27"/>
      <c r="CT141" s="28"/>
      <c r="CU141" s="28"/>
      <c r="CV141" s="28"/>
      <c r="CW141" s="28"/>
      <c r="CX141" s="25"/>
      <c r="CY141" s="26"/>
      <c r="CZ141" s="26"/>
      <c r="DA141" s="26"/>
      <c r="DB141" s="26"/>
      <c r="DC141" s="27"/>
      <c r="DD141" s="28"/>
      <c r="DE141" s="28"/>
      <c r="DF141" s="28"/>
      <c r="DG141" s="28"/>
      <c r="DH141" s="25"/>
      <c r="DI141" s="26"/>
      <c r="DJ141" s="26"/>
      <c r="DK141" s="26"/>
      <c r="DL141" s="26"/>
      <c r="DM141" s="27"/>
      <c r="DN141" s="28"/>
      <c r="DO141" s="28"/>
      <c r="DP141" s="28"/>
      <c r="DQ141" s="28"/>
      <c r="DR141" s="25"/>
      <c r="DS141" s="26"/>
      <c r="DT141" s="26"/>
      <c r="DU141" s="26"/>
      <c r="DV141" s="26"/>
      <c r="DW141" s="27"/>
      <c r="DX141" s="28"/>
      <c r="DY141" s="28"/>
      <c r="DZ141" s="28"/>
      <c r="EA141" s="28"/>
      <c r="EB141" s="29"/>
      <c r="EC141" s="30"/>
      <c r="ED141" s="30"/>
      <c r="EE141" s="30"/>
      <c r="EF141" s="30"/>
      <c r="EG141" s="31"/>
      <c r="EH141" s="32"/>
      <c r="EI141" s="32"/>
      <c r="EJ141" s="32"/>
      <c r="EK141" s="32"/>
      <c r="EL141" s="29"/>
      <c r="EM141" s="30"/>
      <c r="EN141" s="30"/>
      <c r="EO141" s="30"/>
      <c r="EP141" s="30"/>
      <c r="EQ141" s="31"/>
      <c r="ER141" s="32"/>
      <c r="ES141" s="32"/>
      <c r="ET141" s="32"/>
      <c r="EU141" s="32"/>
      <c r="EV141" s="29"/>
      <c r="EW141" s="30"/>
      <c r="EX141" s="30"/>
      <c r="EY141" s="30"/>
      <c r="EZ141" s="30"/>
      <c r="FA141" s="31"/>
      <c r="FB141" s="32"/>
      <c r="FC141" s="32"/>
      <c r="FD141" s="32"/>
      <c r="FE141" s="32"/>
      <c r="FF141" s="29"/>
      <c r="FG141" s="30"/>
      <c r="FH141" s="30"/>
      <c r="FI141" s="30"/>
      <c r="FJ141" s="30"/>
      <c r="FK141" s="31"/>
      <c r="FL141" s="32"/>
      <c r="FM141" s="32"/>
      <c r="FN141" s="32"/>
      <c r="FO141" s="32"/>
      <c r="FP141" s="29"/>
      <c r="FQ141" s="30"/>
      <c r="FR141" s="30"/>
      <c r="FS141" s="30"/>
      <c r="FT141" s="30"/>
      <c r="FU141" s="31"/>
      <c r="FV141" s="32"/>
      <c r="FW141" s="32"/>
      <c r="FX141" s="32"/>
      <c r="FY141" s="32"/>
      <c r="FZ141" s="29"/>
      <c r="GA141" s="30"/>
      <c r="GB141" s="30"/>
      <c r="GC141" s="30"/>
      <c r="GD141" s="30"/>
    </row>
    <row r="142" spans="1:186" ht="48" x14ac:dyDescent="0.25">
      <c r="A142" s="156">
        <v>133</v>
      </c>
      <c r="B142" s="395">
        <f>'Tier 3 Intervention'!B539</f>
        <v>0</v>
      </c>
      <c r="C142" s="395"/>
      <c r="D142" s="395"/>
      <c r="E142" s="395"/>
      <c r="F142" s="395"/>
      <c r="G142" s="395"/>
      <c r="H142" s="761" t="e">
        <f>'Tier 3 Intervention'!AA539+30</f>
        <v>#VALUE!</v>
      </c>
      <c r="I142" s="761"/>
      <c r="J142" s="762" t="e">
        <f t="shared" ref="J142:J205" si="3">H142+90</f>
        <v>#VALUE!</v>
      </c>
      <c r="K142" s="395"/>
      <c r="L142" s="47" t="s">
        <v>919</v>
      </c>
      <c r="M142" s="46"/>
      <c r="N142" s="46"/>
      <c r="O142" s="46"/>
      <c r="P142" s="49"/>
      <c r="Q142" s="19"/>
      <c r="R142" s="20"/>
      <c r="S142" s="20"/>
      <c r="T142" s="20"/>
      <c r="U142" s="20"/>
      <c r="V142" s="21"/>
      <c r="W142" s="22"/>
      <c r="X142" s="22"/>
      <c r="Y142" s="22"/>
      <c r="Z142" s="22"/>
      <c r="AA142" s="19"/>
      <c r="AB142" s="20"/>
      <c r="AC142" s="20"/>
      <c r="AD142" s="20"/>
      <c r="AE142" s="20"/>
      <c r="AF142" s="21"/>
      <c r="AG142" s="22"/>
      <c r="AH142" s="22"/>
      <c r="AI142" s="22"/>
      <c r="AJ142" s="22"/>
      <c r="AK142" s="19"/>
      <c r="AL142" s="20"/>
      <c r="AM142" s="20"/>
      <c r="AN142" s="20"/>
      <c r="AO142" s="20"/>
      <c r="AP142" s="21"/>
      <c r="AQ142" s="22"/>
      <c r="AR142" s="22"/>
      <c r="AS142" s="22"/>
      <c r="AT142" s="22"/>
      <c r="AU142" s="19"/>
      <c r="AV142" s="20"/>
      <c r="AW142" s="20"/>
      <c r="AX142" s="20"/>
      <c r="AY142" s="20"/>
      <c r="AZ142" s="21"/>
      <c r="BA142" s="22"/>
      <c r="BB142" s="22"/>
      <c r="BC142" s="22"/>
      <c r="BD142" s="22"/>
      <c r="BE142" s="19"/>
      <c r="BF142" s="20"/>
      <c r="BG142" s="20"/>
      <c r="BH142" s="20"/>
      <c r="BI142" s="20"/>
      <c r="BJ142" s="21"/>
      <c r="BK142" s="22"/>
      <c r="BL142" s="22"/>
      <c r="BM142" s="22"/>
      <c r="BN142" s="22"/>
      <c r="BO142" s="19"/>
      <c r="BP142" s="20"/>
      <c r="BQ142" s="20"/>
      <c r="BR142" s="20"/>
      <c r="BS142" s="20"/>
      <c r="BT142" s="21"/>
      <c r="BU142" s="22"/>
      <c r="BV142" s="22"/>
      <c r="BW142" s="22"/>
      <c r="BX142" s="22"/>
      <c r="BY142" s="23"/>
      <c r="BZ142" s="24"/>
      <c r="CA142" s="24"/>
      <c r="CB142" s="24"/>
      <c r="CC142" s="24"/>
      <c r="CD142" s="25"/>
      <c r="CE142" s="26"/>
      <c r="CF142" s="26"/>
      <c r="CG142" s="26"/>
      <c r="CH142" s="26"/>
      <c r="CI142" s="27"/>
      <c r="CJ142" s="28"/>
      <c r="CK142" s="28"/>
      <c r="CL142" s="28"/>
      <c r="CM142" s="28"/>
      <c r="CN142" s="25"/>
      <c r="CO142" s="26"/>
      <c r="CP142" s="26"/>
      <c r="CQ142" s="26"/>
      <c r="CR142" s="26"/>
      <c r="CS142" s="27"/>
      <c r="CT142" s="28"/>
      <c r="CU142" s="28"/>
      <c r="CV142" s="28"/>
      <c r="CW142" s="28"/>
      <c r="CX142" s="25"/>
      <c r="CY142" s="26"/>
      <c r="CZ142" s="26"/>
      <c r="DA142" s="26"/>
      <c r="DB142" s="26"/>
      <c r="DC142" s="27"/>
      <c r="DD142" s="28"/>
      <c r="DE142" s="28"/>
      <c r="DF142" s="28"/>
      <c r="DG142" s="28"/>
      <c r="DH142" s="25"/>
      <c r="DI142" s="26"/>
      <c r="DJ142" s="26"/>
      <c r="DK142" s="26"/>
      <c r="DL142" s="26"/>
      <c r="DM142" s="27"/>
      <c r="DN142" s="28"/>
      <c r="DO142" s="28"/>
      <c r="DP142" s="28"/>
      <c r="DQ142" s="28"/>
      <c r="DR142" s="25"/>
      <c r="DS142" s="26"/>
      <c r="DT142" s="26"/>
      <c r="DU142" s="26"/>
      <c r="DV142" s="26"/>
      <c r="DW142" s="27"/>
      <c r="DX142" s="28"/>
      <c r="DY142" s="28"/>
      <c r="DZ142" s="28"/>
      <c r="EA142" s="28"/>
      <c r="EB142" s="29"/>
      <c r="EC142" s="30"/>
      <c r="ED142" s="30"/>
      <c r="EE142" s="30"/>
      <c r="EF142" s="30"/>
      <c r="EG142" s="31"/>
      <c r="EH142" s="32"/>
      <c r="EI142" s="32"/>
      <c r="EJ142" s="32"/>
      <c r="EK142" s="32"/>
      <c r="EL142" s="29"/>
      <c r="EM142" s="30"/>
      <c r="EN142" s="30"/>
      <c r="EO142" s="30"/>
      <c r="EP142" s="30"/>
      <c r="EQ142" s="31"/>
      <c r="ER142" s="32"/>
      <c r="ES142" s="32"/>
      <c r="ET142" s="32"/>
      <c r="EU142" s="32"/>
      <c r="EV142" s="29"/>
      <c r="EW142" s="30"/>
      <c r="EX142" s="30"/>
      <c r="EY142" s="30"/>
      <c r="EZ142" s="30"/>
      <c r="FA142" s="31"/>
      <c r="FB142" s="32"/>
      <c r="FC142" s="32"/>
      <c r="FD142" s="32"/>
      <c r="FE142" s="32"/>
      <c r="FF142" s="29"/>
      <c r="FG142" s="30"/>
      <c r="FH142" s="30"/>
      <c r="FI142" s="30"/>
      <c r="FJ142" s="30"/>
      <c r="FK142" s="31"/>
      <c r="FL142" s="32"/>
      <c r="FM142" s="32"/>
      <c r="FN142" s="32"/>
      <c r="FO142" s="32"/>
      <c r="FP142" s="29"/>
      <c r="FQ142" s="30"/>
      <c r="FR142" s="30"/>
      <c r="FS142" s="30"/>
      <c r="FT142" s="30"/>
      <c r="FU142" s="31"/>
      <c r="FV142" s="32"/>
      <c r="FW142" s="32"/>
      <c r="FX142" s="32"/>
      <c r="FY142" s="32"/>
      <c r="FZ142" s="29"/>
      <c r="GA142" s="30"/>
      <c r="GB142" s="30"/>
      <c r="GC142" s="30"/>
      <c r="GD142" s="30"/>
    </row>
    <row r="143" spans="1:186" ht="48" x14ac:dyDescent="0.25">
      <c r="A143" s="156">
        <v>134</v>
      </c>
      <c r="B143" s="395">
        <f>'Tier 3 Intervention'!B543</f>
        <v>0</v>
      </c>
      <c r="C143" s="395"/>
      <c r="D143" s="395"/>
      <c r="E143" s="395"/>
      <c r="F143" s="395"/>
      <c r="G143" s="395"/>
      <c r="H143" s="761" t="e">
        <f>'Tier 3 Intervention'!AA543+30</f>
        <v>#VALUE!</v>
      </c>
      <c r="I143" s="761"/>
      <c r="J143" s="762" t="e">
        <f t="shared" si="3"/>
        <v>#VALUE!</v>
      </c>
      <c r="K143" s="395"/>
      <c r="L143" s="47" t="s">
        <v>920</v>
      </c>
      <c r="M143" s="46"/>
      <c r="N143" s="46"/>
      <c r="O143" s="46"/>
      <c r="P143" s="49"/>
      <c r="Q143" s="19"/>
      <c r="R143" s="20"/>
      <c r="S143" s="20"/>
      <c r="T143" s="20"/>
      <c r="U143" s="20"/>
      <c r="V143" s="21"/>
      <c r="W143" s="22"/>
      <c r="X143" s="22"/>
      <c r="Y143" s="22"/>
      <c r="Z143" s="22"/>
      <c r="AA143" s="19"/>
      <c r="AB143" s="20"/>
      <c r="AC143" s="20"/>
      <c r="AD143" s="20"/>
      <c r="AE143" s="20"/>
      <c r="AF143" s="21"/>
      <c r="AG143" s="22"/>
      <c r="AH143" s="22"/>
      <c r="AI143" s="22"/>
      <c r="AJ143" s="22"/>
      <c r="AK143" s="19"/>
      <c r="AL143" s="20"/>
      <c r="AM143" s="20"/>
      <c r="AN143" s="20"/>
      <c r="AO143" s="20"/>
      <c r="AP143" s="21"/>
      <c r="AQ143" s="22"/>
      <c r="AR143" s="22"/>
      <c r="AS143" s="22"/>
      <c r="AT143" s="22"/>
      <c r="AU143" s="19"/>
      <c r="AV143" s="20"/>
      <c r="AW143" s="20"/>
      <c r="AX143" s="20"/>
      <c r="AY143" s="20"/>
      <c r="AZ143" s="21"/>
      <c r="BA143" s="22"/>
      <c r="BB143" s="22"/>
      <c r="BC143" s="22"/>
      <c r="BD143" s="22"/>
      <c r="BE143" s="19"/>
      <c r="BF143" s="20"/>
      <c r="BG143" s="20"/>
      <c r="BH143" s="20"/>
      <c r="BI143" s="20"/>
      <c r="BJ143" s="21"/>
      <c r="BK143" s="22"/>
      <c r="BL143" s="22"/>
      <c r="BM143" s="22"/>
      <c r="BN143" s="22"/>
      <c r="BO143" s="19"/>
      <c r="BP143" s="20"/>
      <c r="BQ143" s="20"/>
      <c r="BR143" s="20"/>
      <c r="BS143" s="20"/>
      <c r="BT143" s="21"/>
      <c r="BU143" s="22"/>
      <c r="BV143" s="22"/>
      <c r="BW143" s="22"/>
      <c r="BX143" s="22"/>
      <c r="BY143" s="23"/>
      <c r="BZ143" s="24"/>
      <c r="CA143" s="24"/>
      <c r="CB143" s="24"/>
      <c r="CC143" s="24"/>
      <c r="CD143" s="25"/>
      <c r="CE143" s="26"/>
      <c r="CF143" s="26"/>
      <c r="CG143" s="26"/>
      <c r="CH143" s="26"/>
      <c r="CI143" s="27"/>
      <c r="CJ143" s="28"/>
      <c r="CK143" s="28"/>
      <c r="CL143" s="28"/>
      <c r="CM143" s="28"/>
      <c r="CN143" s="25"/>
      <c r="CO143" s="26"/>
      <c r="CP143" s="26"/>
      <c r="CQ143" s="26"/>
      <c r="CR143" s="26"/>
      <c r="CS143" s="27"/>
      <c r="CT143" s="28"/>
      <c r="CU143" s="28"/>
      <c r="CV143" s="28"/>
      <c r="CW143" s="28"/>
      <c r="CX143" s="25"/>
      <c r="CY143" s="26"/>
      <c r="CZ143" s="26"/>
      <c r="DA143" s="26"/>
      <c r="DB143" s="26"/>
      <c r="DC143" s="27"/>
      <c r="DD143" s="28"/>
      <c r="DE143" s="28"/>
      <c r="DF143" s="28"/>
      <c r="DG143" s="28"/>
      <c r="DH143" s="25"/>
      <c r="DI143" s="26"/>
      <c r="DJ143" s="26"/>
      <c r="DK143" s="26"/>
      <c r="DL143" s="26"/>
      <c r="DM143" s="27"/>
      <c r="DN143" s="28"/>
      <c r="DO143" s="28"/>
      <c r="DP143" s="28"/>
      <c r="DQ143" s="28"/>
      <c r="DR143" s="25"/>
      <c r="DS143" s="26"/>
      <c r="DT143" s="26"/>
      <c r="DU143" s="26"/>
      <c r="DV143" s="26"/>
      <c r="DW143" s="27"/>
      <c r="DX143" s="28"/>
      <c r="DY143" s="28"/>
      <c r="DZ143" s="28"/>
      <c r="EA143" s="28"/>
      <c r="EB143" s="29"/>
      <c r="EC143" s="30"/>
      <c r="ED143" s="30"/>
      <c r="EE143" s="30"/>
      <c r="EF143" s="30"/>
      <c r="EG143" s="31"/>
      <c r="EH143" s="32"/>
      <c r="EI143" s="32"/>
      <c r="EJ143" s="32"/>
      <c r="EK143" s="32"/>
      <c r="EL143" s="29"/>
      <c r="EM143" s="30"/>
      <c r="EN143" s="30"/>
      <c r="EO143" s="30"/>
      <c r="EP143" s="30"/>
      <c r="EQ143" s="31"/>
      <c r="ER143" s="32"/>
      <c r="ES143" s="32"/>
      <c r="ET143" s="32"/>
      <c r="EU143" s="32"/>
      <c r="EV143" s="29"/>
      <c r="EW143" s="30"/>
      <c r="EX143" s="30"/>
      <c r="EY143" s="30"/>
      <c r="EZ143" s="30"/>
      <c r="FA143" s="31"/>
      <c r="FB143" s="32"/>
      <c r="FC143" s="32"/>
      <c r="FD143" s="32"/>
      <c r="FE143" s="32"/>
      <c r="FF143" s="29"/>
      <c r="FG143" s="30"/>
      <c r="FH143" s="30"/>
      <c r="FI143" s="30"/>
      <c r="FJ143" s="30"/>
      <c r="FK143" s="31"/>
      <c r="FL143" s="32"/>
      <c r="FM143" s="32"/>
      <c r="FN143" s="32"/>
      <c r="FO143" s="32"/>
      <c r="FP143" s="29"/>
      <c r="FQ143" s="30"/>
      <c r="FR143" s="30"/>
      <c r="FS143" s="30"/>
      <c r="FT143" s="30"/>
      <c r="FU143" s="31"/>
      <c r="FV143" s="32"/>
      <c r="FW143" s="32"/>
      <c r="FX143" s="32"/>
      <c r="FY143" s="32"/>
      <c r="FZ143" s="29"/>
      <c r="GA143" s="30"/>
      <c r="GB143" s="30"/>
      <c r="GC143" s="30"/>
      <c r="GD143" s="30"/>
    </row>
    <row r="144" spans="1:186" ht="48" x14ac:dyDescent="0.25">
      <c r="A144" s="156">
        <v>135</v>
      </c>
      <c r="B144" s="395">
        <f>'Tier 3 Intervention'!B547</f>
        <v>0</v>
      </c>
      <c r="C144" s="395"/>
      <c r="D144" s="395"/>
      <c r="E144" s="395"/>
      <c r="F144" s="395"/>
      <c r="G144" s="395"/>
      <c r="H144" s="761" t="e">
        <f>'Tier 3 Intervention'!AA547+30</f>
        <v>#VALUE!</v>
      </c>
      <c r="I144" s="761"/>
      <c r="J144" s="762" t="e">
        <f t="shared" si="3"/>
        <v>#VALUE!</v>
      </c>
      <c r="K144" s="395"/>
      <c r="L144" s="47" t="s">
        <v>921</v>
      </c>
      <c r="M144" s="46"/>
      <c r="N144" s="46"/>
      <c r="O144" s="46"/>
      <c r="P144" s="49"/>
      <c r="Q144" s="19"/>
      <c r="R144" s="20"/>
      <c r="S144" s="20"/>
      <c r="T144" s="20"/>
      <c r="U144" s="20"/>
      <c r="V144" s="21"/>
      <c r="W144" s="22"/>
      <c r="X144" s="22"/>
      <c r="Y144" s="22"/>
      <c r="Z144" s="22"/>
      <c r="AA144" s="19"/>
      <c r="AB144" s="20"/>
      <c r="AC144" s="20"/>
      <c r="AD144" s="20"/>
      <c r="AE144" s="20"/>
      <c r="AF144" s="21"/>
      <c r="AG144" s="22"/>
      <c r="AH144" s="22"/>
      <c r="AI144" s="22"/>
      <c r="AJ144" s="22"/>
      <c r="AK144" s="19"/>
      <c r="AL144" s="20"/>
      <c r="AM144" s="20"/>
      <c r="AN144" s="20"/>
      <c r="AO144" s="20"/>
      <c r="AP144" s="21"/>
      <c r="AQ144" s="22"/>
      <c r="AR144" s="22"/>
      <c r="AS144" s="22"/>
      <c r="AT144" s="22"/>
      <c r="AU144" s="19"/>
      <c r="AV144" s="20"/>
      <c r="AW144" s="20"/>
      <c r="AX144" s="20"/>
      <c r="AY144" s="20"/>
      <c r="AZ144" s="21"/>
      <c r="BA144" s="22"/>
      <c r="BB144" s="22"/>
      <c r="BC144" s="22"/>
      <c r="BD144" s="22"/>
      <c r="BE144" s="19"/>
      <c r="BF144" s="20"/>
      <c r="BG144" s="20"/>
      <c r="BH144" s="20"/>
      <c r="BI144" s="20"/>
      <c r="BJ144" s="21"/>
      <c r="BK144" s="22"/>
      <c r="BL144" s="22"/>
      <c r="BM144" s="22"/>
      <c r="BN144" s="22"/>
      <c r="BO144" s="19"/>
      <c r="BP144" s="20"/>
      <c r="BQ144" s="20"/>
      <c r="BR144" s="20"/>
      <c r="BS144" s="20"/>
      <c r="BT144" s="21"/>
      <c r="BU144" s="22"/>
      <c r="BV144" s="22"/>
      <c r="BW144" s="22"/>
      <c r="BX144" s="22"/>
      <c r="BY144" s="23"/>
      <c r="BZ144" s="24"/>
      <c r="CA144" s="24"/>
      <c r="CB144" s="24"/>
      <c r="CC144" s="24"/>
      <c r="CD144" s="25"/>
      <c r="CE144" s="26"/>
      <c r="CF144" s="26"/>
      <c r="CG144" s="26"/>
      <c r="CH144" s="26"/>
      <c r="CI144" s="27"/>
      <c r="CJ144" s="28"/>
      <c r="CK144" s="28"/>
      <c r="CL144" s="28"/>
      <c r="CM144" s="28"/>
      <c r="CN144" s="25"/>
      <c r="CO144" s="26"/>
      <c r="CP144" s="26"/>
      <c r="CQ144" s="26"/>
      <c r="CR144" s="26"/>
      <c r="CS144" s="27"/>
      <c r="CT144" s="28"/>
      <c r="CU144" s="28"/>
      <c r="CV144" s="28"/>
      <c r="CW144" s="28"/>
      <c r="CX144" s="25"/>
      <c r="CY144" s="26"/>
      <c r="CZ144" s="26"/>
      <c r="DA144" s="26"/>
      <c r="DB144" s="26"/>
      <c r="DC144" s="27"/>
      <c r="DD144" s="28"/>
      <c r="DE144" s="28"/>
      <c r="DF144" s="28"/>
      <c r="DG144" s="28"/>
      <c r="DH144" s="25"/>
      <c r="DI144" s="26"/>
      <c r="DJ144" s="26"/>
      <c r="DK144" s="26"/>
      <c r="DL144" s="26"/>
      <c r="DM144" s="27"/>
      <c r="DN144" s="28"/>
      <c r="DO144" s="28"/>
      <c r="DP144" s="28"/>
      <c r="DQ144" s="28"/>
      <c r="DR144" s="25"/>
      <c r="DS144" s="26"/>
      <c r="DT144" s="26"/>
      <c r="DU144" s="26"/>
      <c r="DV144" s="26"/>
      <c r="DW144" s="27"/>
      <c r="DX144" s="28"/>
      <c r="DY144" s="28"/>
      <c r="DZ144" s="28"/>
      <c r="EA144" s="28"/>
      <c r="EB144" s="29"/>
      <c r="EC144" s="30"/>
      <c r="ED144" s="30"/>
      <c r="EE144" s="30"/>
      <c r="EF144" s="30"/>
      <c r="EG144" s="31"/>
      <c r="EH144" s="32"/>
      <c r="EI144" s="32"/>
      <c r="EJ144" s="32"/>
      <c r="EK144" s="32"/>
      <c r="EL144" s="29"/>
      <c r="EM144" s="30"/>
      <c r="EN144" s="30"/>
      <c r="EO144" s="30"/>
      <c r="EP144" s="30"/>
      <c r="EQ144" s="31"/>
      <c r="ER144" s="32"/>
      <c r="ES144" s="32"/>
      <c r="ET144" s="32"/>
      <c r="EU144" s="32"/>
      <c r="EV144" s="29"/>
      <c r="EW144" s="30"/>
      <c r="EX144" s="30"/>
      <c r="EY144" s="30"/>
      <c r="EZ144" s="30"/>
      <c r="FA144" s="31"/>
      <c r="FB144" s="32"/>
      <c r="FC144" s="32"/>
      <c r="FD144" s="32"/>
      <c r="FE144" s="32"/>
      <c r="FF144" s="29"/>
      <c r="FG144" s="30"/>
      <c r="FH144" s="30"/>
      <c r="FI144" s="30"/>
      <c r="FJ144" s="30"/>
      <c r="FK144" s="31"/>
      <c r="FL144" s="32"/>
      <c r="FM144" s="32"/>
      <c r="FN144" s="32"/>
      <c r="FO144" s="32"/>
      <c r="FP144" s="29"/>
      <c r="FQ144" s="30"/>
      <c r="FR144" s="30"/>
      <c r="FS144" s="30"/>
      <c r="FT144" s="30"/>
      <c r="FU144" s="31"/>
      <c r="FV144" s="32"/>
      <c r="FW144" s="32"/>
      <c r="FX144" s="32"/>
      <c r="FY144" s="32"/>
      <c r="FZ144" s="29"/>
      <c r="GA144" s="30"/>
      <c r="GB144" s="30"/>
      <c r="GC144" s="30"/>
      <c r="GD144" s="30"/>
    </row>
    <row r="145" spans="1:186" ht="48" x14ac:dyDescent="0.25">
      <c r="A145" s="156">
        <v>136</v>
      </c>
      <c r="B145" s="395">
        <f>'Tier 3 Intervention'!B551</f>
        <v>0</v>
      </c>
      <c r="C145" s="395"/>
      <c r="D145" s="395"/>
      <c r="E145" s="395"/>
      <c r="F145" s="395"/>
      <c r="G145" s="395"/>
      <c r="H145" s="761" t="e">
        <f>'Tier 3 Intervention'!AA551+30</f>
        <v>#VALUE!</v>
      </c>
      <c r="I145" s="761"/>
      <c r="J145" s="762" t="e">
        <f t="shared" si="3"/>
        <v>#VALUE!</v>
      </c>
      <c r="K145" s="395"/>
      <c r="L145" s="47" t="s">
        <v>922</v>
      </c>
      <c r="M145" s="46"/>
      <c r="N145" s="46"/>
      <c r="O145" s="46"/>
      <c r="P145" s="49"/>
      <c r="Q145" s="19"/>
      <c r="R145" s="20"/>
      <c r="S145" s="20"/>
      <c r="T145" s="20"/>
      <c r="U145" s="20"/>
      <c r="V145" s="21"/>
      <c r="W145" s="22"/>
      <c r="X145" s="22"/>
      <c r="Y145" s="22"/>
      <c r="Z145" s="22"/>
      <c r="AA145" s="19"/>
      <c r="AB145" s="20"/>
      <c r="AC145" s="20"/>
      <c r="AD145" s="20"/>
      <c r="AE145" s="20"/>
      <c r="AF145" s="21"/>
      <c r="AG145" s="22"/>
      <c r="AH145" s="22"/>
      <c r="AI145" s="22"/>
      <c r="AJ145" s="22"/>
      <c r="AK145" s="19"/>
      <c r="AL145" s="20"/>
      <c r="AM145" s="20"/>
      <c r="AN145" s="20"/>
      <c r="AO145" s="20"/>
      <c r="AP145" s="21"/>
      <c r="AQ145" s="22"/>
      <c r="AR145" s="22"/>
      <c r="AS145" s="22"/>
      <c r="AT145" s="22"/>
      <c r="AU145" s="19"/>
      <c r="AV145" s="20"/>
      <c r="AW145" s="20"/>
      <c r="AX145" s="20"/>
      <c r="AY145" s="20"/>
      <c r="AZ145" s="21"/>
      <c r="BA145" s="22"/>
      <c r="BB145" s="22"/>
      <c r="BC145" s="22"/>
      <c r="BD145" s="22"/>
      <c r="BE145" s="19"/>
      <c r="BF145" s="20"/>
      <c r="BG145" s="20"/>
      <c r="BH145" s="20"/>
      <c r="BI145" s="20"/>
      <c r="BJ145" s="21"/>
      <c r="BK145" s="22"/>
      <c r="BL145" s="22"/>
      <c r="BM145" s="22"/>
      <c r="BN145" s="22"/>
      <c r="BO145" s="19"/>
      <c r="BP145" s="20"/>
      <c r="BQ145" s="20"/>
      <c r="BR145" s="20"/>
      <c r="BS145" s="20"/>
      <c r="BT145" s="21"/>
      <c r="BU145" s="22"/>
      <c r="BV145" s="22"/>
      <c r="BW145" s="22"/>
      <c r="BX145" s="22"/>
      <c r="BY145" s="23"/>
      <c r="BZ145" s="24"/>
      <c r="CA145" s="24"/>
      <c r="CB145" s="24"/>
      <c r="CC145" s="24"/>
      <c r="CD145" s="25"/>
      <c r="CE145" s="26"/>
      <c r="CF145" s="26"/>
      <c r="CG145" s="26"/>
      <c r="CH145" s="26"/>
      <c r="CI145" s="27"/>
      <c r="CJ145" s="28"/>
      <c r="CK145" s="28"/>
      <c r="CL145" s="28"/>
      <c r="CM145" s="28"/>
      <c r="CN145" s="25"/>
      <c r="CO145" s="26"/>
      <c r="CP145" s="26"/>
      <c r="CQ145" s="26"/>
      <c r="CR145" s="26"/>
      <c r="CS145" s="27"/>
      <c r="CT145" s="28"/>
      <c r="CU145" s="28"/>
      <c r="CV145" s="28"/>
      <c r="CW145" s="28"/>
      <c r="CX145" s="25"/>
      <c r="CY145" s="26"/>
      <c r="CZ145" s="26"/>
      <c r="DA145" s="26"/>
      <c r="DB145" s="26"/>
      <c r="DC145" s="27"/>
      <c r="DD145" s="28"/>
      <c r="DE145" s="28"/>
      <c r="DF145" s="28"/>
      <c r="DG145" s="28"/>
      <c r="DH145" s="25"/>
      <c r="DI145" s="26"/>
      <c r="DJ145" s="26"/>
      <c r="DK145" s="26"/>
      <c r="DL145" s="26"/>
      <c r="DM145" s="27"/>
      <c r="DN145" s="28"/>
      <c r="DO145" s="28"/>
      <c r="DP145" s="28"/>
      <c r="DQ145" s="28"/>
      <c r="DR145" s="25"/>
      <c r="DS145" s="26"/>
      <c r="DT145" s="26"/>
      <c r="DU145" s="26"/>
      <c r="DV145" s="26"/>
      <c r="DW145" s="27"/>
      <c r="DX145" s="28"/>
      <c r="DY145" s="28"/>
      <c r="DZ145" s="28"/>
      <c r="EA145" s="28"/>
      <c r="EB145" s="29"/>
      <c r="EC145" s="30"/>
      <c r="ED145" s="30"/>
      <c r="EE145" s="30"/>
      <c r="EF145" s="30"/>
      <c r="EG145" s="31"/>
      <c r="EH145" s="32"/>
      <c r="EI145" s="32"/>
      <c r="EJ145" s="32"/>
      <c r="EK145" s="32"/>
      <c r="EL145" s="29"/>
      <c r="EM145" s="30"/>
      <c r="EN145" s="30"/>
      <c r="EO145" s="30"/>
      <c r="EP145" s="30"/>
      <c r="EQ145" s="31"/>
      <c r="ER145" s="32"/>
      <c r="ES145" s="32"/>
      <c r="ET145" s="32"/>
      <c r="EU145" s="32"/>
      <c r="EV145" s="29"/>
      <c r="EW145" s="30"/>
      <c r="EX145" s="30"/>
      <c r="EY145" s="30"/>
      <c r="EZ145" s="30"/>
      <c r="FA145" s="31"/>
      <c r="FB145" s="32"/>
      <c r="FC145" s="32"/>
      <c r="FD145" s="32"/>
      <c r="FE145" s="32"/>
      <c r="FF145" s="29"/>
      <c r="FG145" s="30"/>
      <c r="FH145" s="30"/>
      <c r="FI145" s="30"/>
      <c r="FJ145" s="30"/>
      <c r="FK145" s="31"/>
      <c r="FL145" s="32"/>
      <c r="FM145" s="32"/>
      <c r="FN145" s="32"/>
      <c r="FO145" s="32"/>
      <c r="FP145" s="29"/>
      <c r="FQ145" s="30"/>
      <c r="FR145" s="30"/>
      <c r="FS145" s="30"/>
      <c r="FT145" s="30"/>
      <c r="FU145" s="31"/>
      <c r="FV145" s="32"/>
      <c r="FW145" s="32"/>
      <c r="FX145" s="32"/>
      <c r="FY145" s="32"/>
      <c r="FZ145" s="29"/>
      <c r="GA145" s="30"/>
      <c r="GB145" s="30"/>
      <c r="GC145" s="30"/>
      <c r="GD145" s="30"/>
    </row>
    <row r="146" spans="1:186" ht="48" x14ac:dyDescent="0.25">
      <c r="A146" s="156">
        <v>137</v>
      </c>
      <c r="B146" s="395">
        <f>'Tier 3 Intervention'!B555</f>
        <v>0</v>
      </c>
      <c r="C146" s="395"/>
      <c r="D146" s="395"/>
      <c r="E146" s="395"/>
      <c r="F146" s="395"/>
      <c r="G146" s="395"/>
      <c r="H146" s="761" t="e">
        <f>'Tier 3 Intervention'!AA555+30</f>
        <v>#VALUE!</v>
      </c>
      <c r="I146" s="761"/>
      <c r="J146" s="762" t="e">
        <f t="shared" si="3"/>
        <v>#VALUE!</v>
      </c>
      <c r="K146" s="395"/>
      <c r="L146" s="47" t="s">
        <v>923</v>
      </c>
      <c r="M146" s="46"/>
      <c r="N146" s="46"/>
      <c r="O146" s="46"/>
      <c r="P146" s="49"/>
      <c r="Q146" s="19"/>
      <c r="R146" s="20"/>
      <c r="S146" s="20"/>
      <c r="T146" s="20"/>
      <c r="U146" s="20"/>
      <c r="V146" s="21"/>
      <c r="W146" s="22"/>
      <c r="X146" s="22"/>
      <c r="Y146" s="22"/>
      <c r="Z146" s="22"/>
      <c r="AA146" s="19"/>
      <c r="AB146" s="20"/>
      <c r="AC146" s="20"/>
      <c r="AD146" s="20"/>
      <c r="AE146" s="20"/>
      <c r="AF146" s="21"/>
      <c r="AG146" s="22"/>
      <c r="AH146" s="22"/>
      <c r="AI146" s="22"/>
      <c r="AJ146" s="22"/>
      <c r="AK146" s="19"/>
      <c r="AL146" s="20"/>
      <c r="AM146" s="20"/>
      <c r="AN146" s="20"/>
      <c r="AO146" s="20"/>
      <c r="AP146" s="21"/>
      <c r="AQ146" s="22"/>
      <c r="AR146" s="22"/>
      <c r="AS146" s="22"/>
      <c r="AT146" s="22"/>
      <c r="AU146" s="19"/>
      <c r="AV146" s="20"/>
      <c r="AW146" s="20"/>
      <c r="AX146" s="20"/>
      <c r="AY146" s="20"/>
      <c r="AZ146" s="21"/>
      <c r="BA146" s="22"/>
      <c r="BB146" s="22"/>
      <c r="BC146" s="22"/>
      <c r="BD146" s="22"/>
      <c r="BE146" s="19"/>
      <c r="BF146" s="20"/>
      <c r="BG146" s="20"/>
      <c r="BH146" s="20"/>
      <c r="BI146" s="20"/>
      <c r="BJ146" s="21"/>
      <c r="BK146" s="22"/>
      <c r="BL146" s="22"/>
      <c r="BM146" s="22"/>
      <c r="BN146" s="22"/>
      <c r="BO146" s="19"/>
      <c r="BP146" s="20"/>
      <c r="BQ146" s="20"/>
      <c r="BR146" s="20"/>
      <c r="BS146" s="20"/>
      <c r="BT146" s="21"/>
      <c r="BU146" s="22"/>
      <c r="BV146" s="22"/>
      <c r="BW146" s="22"/>
      <c r="BX146" s="22"/>
      <c r="BY146" s="23"/>
      <c r="BZ146" s="24"/>
      <c r="CA146" s="24"/>
      <c r="CB146" s="24"/>
      <c r="CC146" s="24"/>
      <c r="CD146" s="25"/>
      <c r="CE146" s="26"/>
      <c r="CF146" s="26"/>
      <c r="CG146" s="26"/>
      <c r="CH146" s="26"/>
      <c r="CI146" s="27"/>
      <c r="CJ146" s="28"/>
      <c r="CK146" s="28"/>
      <c r="CL146" s="28"/>
      <c r="CM146" s="28"/>
      <c r="CN146" s="25"/>
      <c r="CO146" s="26"/>
      <c r="CP146" s="26"/>
      <c r="CQ146" s="26"/>
      <c r="CR146" s="26"/>
      <c r="CS146" s="27"/>
      <c r="CT146" s="28"/>
      <c r="CU146" s="28"/>
      <c r="CV146" s="28"/>
      <c r="CW146" s="28"/>
      <c r="CX146" s="25"/>
      <c r="CY146" s="26"/>
      <c r="CZ146" s="26"/>
      <c r="DA146" s="26"/>
      <c r="DB146" s="26"/>
      <c r="DC146" s="27"/>
      <c r="DD146" s="28"/>
      <c r="DE146" s="28"/>
      <c r="DF146" s="28"/>
      <c r="DG146" s="28"/>
      <c r="DH146" s="25"/>
      <c r="DI146" s="26"/>
      <c r="DJ146" s="26"/>
      <c r="DK146" s="26"/>
      <c r="DL146" s="26"/>
      <c r="DM146" s="27"/>
      <c r="DN146" s="28"/>
      <c r="DO146" s="28"/>
      <c r="DP146" s="28"/>
      <c r="DQ146" s="28"/>
      <c r="DR146" s="25"/>
      <c r="DS146" s="26"/>
      <c r="DT146" s="26"/>
      <c r="DU146" s="26"/>
      <c r="DV146" s="26"/>
      <c r="DW146" s="27"/>
      <c r="DX146" s="28"/>
      <c r="DY146" s="28"/>
      <c r="DZ146" s="28"/>
      <c r="EA146" s="28"/>
      <c r="EB146" s="29"/>
      <c r="EC146" s="30"/>
      <c r="ED146" s="30"/>
      <c r="EE146" s="30"/>
      <c r="EF146" s="30"/>
      <c r="EG146" s="31"/>
      <c r="EH146" s="32"/>
      <c r="EI146" s="32"/>
      <c r="EJ146" s="32"/>
      <c r="EK146" s="32"/>
      <c r="EL146" s="29"/>
      <c r="EM146" s="30"/>
      <c r="EN146" s="30"/>
      <c r="EO146" s="30"/>
      <c r="EP146" s="30"/>
      <c r="EQ146" s="31"/>
      <c r="ER146" s="32"/>
      <c r="ES146" s="32"/>
      <c r="ET146" s="32"/>
      <c r="EU146" s="32"/>
      <c r="EV146" s="29"/>
      <c r="EW146" s="30"/>
      <c r="EX146" s="30"/>
      <c r="EY146" s="30"/>
      <c r="EZ146" s="30"/>
      <c r="FA146" s="31"/>
      <c r="FB146" s="32"/>
      <c r="FC146" s="32"/>
      <c r="FD146" s="32"/>
      <c r="FE146" s="32"/>
      <c r="FF146" s="29"/>
      <c r="FG146" s="30"/>
      <c r="FH146" s="30"/>
      <c r="FI146" s="30"/>
      <c r="FJ146" s="30"/>
      <c r="FK146" s="31"/>
      <c r="FL146" s="32"/>
      <c r="FM146" s="32"/>
      <c r="FN146" s="32"/>
      <c r="FO146" s="32"/>
      <c r="FP146" s="29"/>
      <c r="FQ146" s="30"/>
      <c r="FR146" s="30"/>
      <c r="FS146" s="30"/>
      <c r="FT146" s="30"/>
      <c r="FU146" s="31"/>
      <c r="FV146" s="32"/>
      <c r="FW146" s="32"/>
      <c r="FX146" s="32"/>
      <c r="FY146" s="32"/>
      <c r="FZ146" s="29"/>
      <c r="GA146" s="30"/>
      <c r="GB146" s="30"/>
      <c r="GC146" s="30"/>
      <c r="GD146" s="30"/>
    </row>
    <row r="147" spans="1:186" ht="48" x14ac:dyDescent="0.25">
      <c r="A147" s="156">
        <v>138</v>
      </c>
      <c r="B147" s="395">
        <f>'Tier 3 Intervention'!B559</f>
        <v>0</v>
      </c>
      <c r="C147" s="395"/>
      <c r="D147" s="395"/>
      <c r="E147" s="395"/>
      <c r="F147" s="395"/>
      <c r="G147" s="395"/>
      <c r="H147" s="761" t="e">
        <f>'Tier 3 Intervention'!AA559+30</f>
        <v>#VALUE!</v>
      </c>
      <c r="I147" s="761"/>
      <c r="J147" s="762" t="e">
        <f t="shared" si="3"/>
        <v>#VALUE!</v>
      </c>
      <c r="K147" s="395"/>
      <c r="L147" s="47" t="s">
        <v>924</v>
      </c>
      <c r="M147" s="46"/>
      <c r="N147" s="46"/>
      <c r="O147" s="46"/>
      <c r="P147" s="49"/>
      <c r="Q147" s="19"/>
      <c r="R147" s="20"/>
      <c r="S147" s="20"/>
      <c r="T147" s="20"/>
      <c r="U147" s="20"/>
      <c r="V147" s="21"/>
      <c r="W147" s="22"/>
      <c r="X147" s="22"/>
      <c r="Y147" s="22"/>
      <c r="Z147" s="22"/>
      <c r="AA147" s="19"/>
      <c r="AB147" s="20"/>
      <c r="AC147" s="20"/>
      <c r="AD147" s="20"/>
      <c r="AE147" s="20"/>
      <c r="AF147" s="21"/>
      <c r="AG147" s="22"/>
      <c r="AH147" s="22"/>
      <c r="AI147" s="22"/>
      <c r="AJ147" s="22"/>
      <c r="AK147" s="19"/>
      <c r="AL147" s="20"/>
      <c r="AM147" s="20"/>
      <c r="AN147" s="20"/>
      <c r="AO147" s="20"/>
      <c r="AP147" s="21"/>
      <c r="AQ147" s="22"/>
      <c r="AR147" s="22"/>
      <c r="AS147" s="22"/>
      <c r="AT147" s="22"/>
      <c r="AU147" s="19"/>
      <c r="AV147" s="20"/>
      <c r="AW147" s="20"/>
      <c r="AX147" s="20"/>
      <c r="AY147" s="20"/>
      <c r="AZ147" s="21"/>
      <c r="BA147" s="22"/>
      <c r="BB147" s="22"/>
      <c r="BC147" s="22"/>
      <c r="BD147" s="22"/>
      <c r="BE147" s="19"/>
      <c r="BF147" s="20"/>
      <c r="BG147" s="20"/>
      <c r="BH147" s="20"/>
      <c r="BI147" s="20"/>
      <c r="BJ147" s="21"/>
      <c r="BK147" s="22"/>
      <c r="BL147" s="22"/>
      <c r="BM147" s="22"/>
      <c r="BN147" s="22"/>
      <c r="BO147" s="19"/>
      <c r="BP147" s="20"/>
      <c r="BQ147" s="20"/>
      <c r="BR147" s="20"/>
      <c r="BS147" s="20"/>
      <c r="BT147" s="21"/>
      <c r="BU147" s="22"/>
      <c r="BV147" s="22"/>
      <c r="BW147" s="22"/>
      <c r="BX147" s="22"/>
      <c r="BY147" s="23"/>
      <c r="BZ147" s="24"/>
      <c r="CA147" s="24"/>
      <c r="CB147" s="24"/>
      <c r="CC147" s="24"/>
      <c r="CD147" s="25"/>
      <c r="CE147" s="26"/>
      <c r="CF147" s="26"/>
      <c r="CG147" s="26"/>
      <c r="CH147" s="26"/>
      <c r="CI147" s="27"/>
      <c r="CJ147" s="28"/>
      <c r="CK147" s="28"/>
      <c r="CL147" s="28"/>
      <c r="CM147" s="28"/>
      <c r="CN147" s="25"/>
      <c r="CO147" s="26"/>
      <c r="CP147" s="26"/>
      <c r="CQ147" s="26"/>
      <c r="CR147" s="26"/>
      <c r="CS147" s="27"/>
      <c r="CT147" s="28"/>
      <c r="CU147" s="28"/>
      <c r="CV147" s="28"/>
      <c r="CW147" s="28"/>
      <c r="CX147" s="25"/>
      <c r="CY147" s="26"/>
      <c r="CZ147" s="26"/>
      <c r="DA147" s="26"/>
      <c r="DB147" s="26"/>
      <c r="DC147" s="27"/>
      <c r="DD147" s="28"/>
      <c r="DE147" s="28"/>
      <c r="DF147" s="28"/>
      <c r="DG147" s="28"/>
      <c r="DH147" s="25"/>
      <c r="DI147" s="26"/>
      <c r="DJ147" s="26"/>
      <c r="DK147" s="26"/>
      <c r="DL147" s="26"/>
      <c r="DM147" s="27"/>
      <c r="DN147" s="28"/>
      <c r="DO147" s="28"/>
      <c r="DP147" s="28"/>
      <c r="DQ147" s="28"/>
      <c r="DR147" s="25"/>
      <c r="DS147" s="26"/>
      <c r="DT147" s="26"/>
      <c r="DU147" s="26"/>
      <c r="DV147" s="26"/>
      <c r="DW147" s="27"/>
      <c r="DX147" s="28"/>
      <c r="DY147" s="28"/>
      <c r="DZ147" s="28"/>
      <c r="EA147" s="28"/>
      <c r="EB147" s="29"/>
      <c r="EC147" s="30"/>
      <c r="ED147" s="30"/>
      <c r="EE147" s="30"/>
      <c r="EF147" s="30"/>
      <c r="EG147" s="31"/>
      <c r="EH147" s="32"/>
      <c r="EI147" s="32"/>
      <c r="EJ147" s="32"/>
      <c r="EK147" s="32"/>
      <c r="EL147" s="29"/>
      <c r="EM147" s="30"/>
      <c r="EN147" s="30"/>
      <c r="EO147" s="30"/>
      <c r="EP147" s="30"/>
      <c r="EQ147" s="31"/>
      <c r="ER147" s="32"/>
      <c r="ES147" s="32"/>
      <c r="ET147" s="32"/>
      <c r="EU147" s="32"/>
      <c r="EV147" s="29"/>
      <c r="EW147" s="30"/>
      <c r="EX147" s="30"/>
      <c r="EY147" s="30"/>
      <c r="EZ147" s="30"/>
      <c r="FA147" s="31"/>
      <c r="FB147" s="32"/>
      <c r="FC147" s="32"/>
      <c r="FD147" s="32"/>
      <c r="FE147" s="32"/>
      <c r="FF147" s="29"/>
      <c r="FG147" s="30"/>
      <c r="FH147" s="30"/>
      <c r="FI147" s="30"/>
      <c r="FJ147" s="30"/>
      <c r="FK147" s="31"/>
      <c r="FL147" s="32"/>
      <c r="FM147" s="32"/>
      <c r="FN147" s="32"/>
      <c r="FO147" s="32"/>
      <c r="FP147" s="29"/>
      <c r="FQ147" s="30"/>
      <c r="FR147" s="30"/>
      <c r="FS147" s="30"/>
      <c r="FT147" s="30"/>
      <c r="FU147" s="31"/>
      <c r="FV147" s="32"/>
      <c r="FW147" s="32"/>
      <c r="FX147" s="32"/>
      <c r="FY147" s="32"/>
      <c r="FZ147" s="29"/>
      <c r="GA147" s="30"/>
      <c r="GB147" s="30"/>
      <c r="GC147" s="30"/>
      <c r="GD147" s="30"/>
    </row>
    <row r="148" spans="1:186" ht="48" x14ac:dyDescent="0.25">
      <c r="A148" s="156">
        <v>139</v>
      </c>
      <c r="B148" s="395">
        <f>'Tier 3 Intervention'!B563</f>
        <v>0</v>
      </c>
      <c r="C148" s="395"/>
      <c r="D148" s="395"/>
      <c r="E148" s="395"/>
      <c r="F148" s="395"/>
      <c r="G148" s="395"/>
      <c r="H148" s="761" t="e">
        <f>'Tier 3 Intervention'!AA563+30</f>
        <v>#VALUE!</v>
      </c>
      <c r="I148" s="761"/>
      <c r="J148" s="762" t="e">
        <f t="shared" si="3"/>
        <v>#VALUE!</v>
      </c>
      <c r="K148" s="395"/>
      <c r="L148" s="47" t="s">
        <v>925</v>
      </c>
      <c r="M148" s="46"/>
      <c r="N148" s="46"/>
      <c r="O148" s="46"/>
      <c r="P148" s="49"/>
      <c r="Q148" s="19"/>
      <c r="R148" s="20"/>
      <c r="S148" s="20"/>
      <c r="T148" s="20"/>
      <c r="U148" s="20"/>
      <c r="V148" s="21"/>
      <c r="W148" s="22"/>
      <c r="X148" s="22"/>
      <c r="Y148" s="22"/>
      <c r="Z148" s="22"/>
      <c r="AA148" s="19"/>
      <c r="AB148" s="20"/>
      <c r="AC148" s="20"/>
      <c r="AD148" s="20"/>
      <c r="AE148" s="20"/>
      <c r="AF148" s="21"/>
      <c r="AG148" s="22"/>
      <c r="AH148" s="22"/>
      <c r="AI148" s="22"/>
      <c r="AJ148" s="22"/>
      <c r="AK148" s="19"/>
      <c r="AL148" s="20"/>
      <c r="AM148" s="20"/>
      <c r="AN148" s="20"/>
      <c r="AO148" s="20"/>
      <c r="AP148" s="21"/>
      <c r="AQ148" s="22"/>
      <c r="AR148" s="22"/>
      <c r="AS148" s="22"/>
      <c r="AT148" s="22"/>
      <c r="AU148" s="19"/>
      <c r="AV148" s="20"/>
      <c r="AW148" s="20"/>
      <c r="AX148" s="20"/>
      <c r="AY148" s="20"/>
      <c r="AZ148" s="21"/>
      <c r="BA148" s="22"/>
      <c r="BB148" s="22"/>
      <c r="BC148" s="22"/>
      <c r="BD148" s="22"/>
      <c r="BE148" s="19"/>
      <c r="BF148" s="20"/>
      <c r="BG148" s="20"/>
      <c r="BH148" s="20"/>
      <c r="BI148" s="20"/>
      <c r="BJ148" s="21"/>
      <c r="BK148" s="22"/>
      <c r="BL148" s="22"/>
      <c r="BM148" s="22"/>
      <c r="BN148" s="22"/>
      <c r="BO148" s="19"/>
      <c r="BP148" s="20"/>
      <c r="BQ148" s="20"/>
      <c r="BR148" s="20"/>
      <c r="BS148" s="20"/>
      <c r="BT148" s="21"/>
      <c r="BU148" s="22"/>
      <c r="BV148" s="22"/>
      <c r="BW148" s="22"/>
      <c r="BX148" s="22"/>
      <c r="BY148" s="23"/>
      <c r="BZ148" s="24"/>
      <c r="CA148" s="24"/>
      <c r="CB148" s="24"/>
      <c r="CC148" s="24"/>
      <c r="CD148" s="25"/>
      <c r="CE148" s="26"/>
      <c r="CF148" s="26"/>
      <c r="CG148" s="26"/>
      <c r="CH148" s="26"/>
      <c r="CI148" s="27"/>
      <c r="CJ148" s="28"/>
      <c r="CK148" s="28"/>
      <c r="CL148" s="28"/>
      <c r="CM148" s="28"/>
      <c r="CN148" s="25"/>
      <c r="CO148" s="26"/>
      <c r="CP148" s="26"/>
      <c r="CQ148" s="26"/>
      <c r="CR148" s="26"/>
      <c r="CS148" s="27"/>
      <c r="CT148" s="28"/>
      <c r="CU148" s="28"/>
      <c r="CV148" s="28"/>
      <c r="CW148" s="28"/>
      <c r="CX148" s="25"/>
      <c r="CY148" s="26"/>
      <c r="CZ148" s="26"/>
      <c r="DA148" s="26"/>
      <c r="DB148" s="26"/>
      <c r="DC148" s="27"/>
      <c r="DD148" s="28"/>
      <c r="DE148" s="28"/>
      <c r="DF148" s="28"/>
      <c r="DG148" s="28"/>
      <c r="DH148" s="25"/>
      <c r="DI148" s="26"/>
      <c r="DJ148" s="26"/>
      <c r="DK148" s="26"/>
      <c r="DL148" s="26"/>
      <c r="DM148" s="27"/>
      <c r="DN148" s="28"/>
      <c r="DO148" s="28"/>
      <c r="DP148" s="28"/>
      <c r="DQ148" s="28"/>
      <c r="DR148" s="25"/>
      <c r="DS148" s="26"/>
      <c r="DT148" s="26"/>
      <c r="DU148" s="26"/>
      <c r="DV148" s="26"/>
      <c r="DW148" s="27"/>
      <c r="DX148" s="28"/>
      <c r="DY148" s="28"/>
      <c r="DZ148" s="28"/>
      <c r="EA148" s="28"/>
      <c r="EB148" s="29"/>
      <c r="EC148" s="30"/>
      <c r="ED148" s="30"/>
      <c r="EE148" s="30"/>
      <c r="EF148" s="30"/>
      <c r="EG148" s="31"/>
      <c r="EH148" s="32"/>
      <c r="EI148" s="32"/>
      <c r="EJ148" s="32"/>
      <c r="EK148" s="32"/>
      <c r="EL148" s="29"/>
      <c r="EM148" s="30"/>
      <c r="EN148" s="30"/>
      <c r="EO148" s="30"/>
      <c r="EP148" s="30"/>
      <c r="EQ148" s="31"/>
      <c r="ER148" s="32"/>
      <c r="ES148" s="32"/>
      <c r="ET148" s="32"/>
      <c r="EU148" s="32"/>
      <c r="EV148" s="29"/>
      <c r="EW148" s="30"/>
      <c r="EX148" s="30"/>
      <c r="EY148" s="30"/>
      <c r="EZ148" s="30"/>
      <c r="FA148" s="31"/>
      <c r="FB148" s="32"/>
      <c r="FC148" s="32"/>
      <c r="FD148" s="32"/>
      <c r="FE148" s="32"/>
      <c r="FF148" s="29"/>
      <c r="FG148" s="30"/>
      <c r="FH148" s="30"/>
      <c r="FI148" s="30"/>
      <c r="FJ148" s="30"/>
      <c r="FK148" s="31"/>
      <c r="FL148" s="32"/>
      <c r="FM148" s="32"/>
      <c r="FN148" s="32"/>
      <c r="FO148" s="32"/>
      <c r="FP148" s="29"/>
      <c r="FQ148" s="30"/>
      <c r="FR148" s="30"/>
      <c r="FS148" s="30"/>
      <c r="FT148" s="30"/>
      <c r="FU148" s="31"/>
      <c r="FV148" s="32"/>
      <c r="FW148" s="32"/>
      <c r="FX148" s="32"/>
      <c r="FY148" s="32"/>
      <c r="FZ148" s="29"/>
      <c r="GA148" s="30"/>
      <c r="GB148" s="30"/>
      <c r="GC148" s="30"/>
      <c r="GD148" s="30"/>
    </row>
    <row r="149" spans="1:186" ht="48" x14ac:dyDescent="0.25">
      <c r="A149" s="156">
        <v>140</v>
      </c>
      <c r="B149" s="395">
        <f>'Tier 3 Intervention'!B567</f>
        <v>0</v>
      </c>
      <c r="C149" s="395"/>
      <c r="D149" s="395"/>
      <c r="E149" s="395"/>
      <c r="F149" s="395"/>
      <c r="G149" s="395"/>
      <c r="H149" s="761" t="e">
        <f>'Tier 3 Intervention'!AA567+30</f>
        <v>#VALUE!</v>
      </c>
      <c r="I149" s="761"/>
      <c r="J149" s="762" t="e">
        <f t="shared" si="3"/>
        <v>#VALUE!</v>
      </c>
      <c r="K149" s="395"/>
      <c r="L149" s="47" t="s">
        <v>926</v>
      </c>
      <c r="M149" s="46"/>
      <c r="N149" s="46"/>
      <c r="O149" s="46"/>
      <c r="P149" s="49"/>
      <c r="Q149" s="19"/>
      <c r="R149" s="20"/>
      <c r="S149" s="20"/>
      <c r="T149" s="20"/>
      <c r="U149" s="20"/>
      <c r="V149" s="21"/>
      <c r="W149" s="22"/>
      <c r="X149" s="22"/>
      <c r="Y149" s="22"/>
      <c r="Z149" s="22"/>
      <c r="AA149" s="19"/>
      <c r="AB149" s="20"/>
      <c r="AC149" s="20"/>
      <c r="AD149" s="20"/>
      <c r="AE149" s="20"/>
      <c r="AF149" s="21"/>
      <c r="AG149" s="22"/>
      <c r="AH149" s="22"/>
      <c r="AI149" s="22"/>
      <c r="AJ149" s="22"/>
      <c r="AK149" s="19"/>
      <c r="AL149" s="20"/>
      <c r="AM149" s="20"/>
      <c r="AN149" s="20"/>
      <c r="AO149" s="20"/>
      <c r="AP149" s="21"/>
      <c r="AQ149" s="22"/>
      <c r="AR149" s="22"/>
      <c r="AS149" s="22"/>
      <c r="AT149" s="22"/>
      <c r="AU149" s="19"/>
      <c r="AV149" s="20"/>
      <c r="AW149" s="20"/>
      <c r="AX149" s="20"/>
      <c r="AY149" s="20"/>
      <c r="AZ149" s="21"/>
      <c r="BA149" s="22"/>
      <c r="BB149" s="22"/>
      <c r="BC149" s="22"/>
      <c r="BD149" s="22"/>
      <c r="BE149" s="19"/>
      <c r="BF149" s="20"/>
      <c r="BG149" s="20"/>
      <c r="BH149" s="20"/>
      <c r="BI149" s="20"/>
      <c r="BJ149" s="21"/>
      <c r="BK149" s="22"/>
      <c r="BL149" s="22"/>
      <c r="BM149" s="22"/>
      <c r="BN149" s="22"/>
      <c r="BO149" s="19"/>
      <c r="BP149" s="20"/>
      <c r="BQ149" s="20"/>
      <c r="BR149" s="20"/>
      <c r="BS149" s="20"/>
      <c r="BT149" s="21"/>
      <c r="BU149" s="22"/>
      <c r="BV149" s="22"/>
      <c r="BW149" s="22"/>
      <c r="BX149" s="22"/>
      <c r="BY149" s="23"/>
      <c r="BZ149" s="24"/>
      <c r="CA149" s="24"/>
      <c r="CB149" s="24"/>
      <c r="CC149" s="24"/>
      <c r="CD149" s="25"/>
      <c r="CE149" s="26"/>
      <c r="CF149" s="26"/>
      <c r="CG149" s="26"/>
      <c r="CH149" s="26"/>
      <c r="CI149" s="27"/>
      <c r="CJ149" s="28"/>
      <c r="CK149" s="28"/>
      <c r="CL149" s="28"/>
      <c r="CM149" s="28"/>
      <c r="CN149" s="25"/>
      <c r="CO149" s="26"/>
      <c r="CP149" s="26"/>
      <c r="CQ149" s="26"/>
      <c r="CR149" s="26"/>
      <c r="CS149" s="27"/>
      <c r="CT149" s="28"/>
      <c r="CU149" s="28"/>
      <c r="CV149" s="28"/>
      <c r="CW149" s="28"/>
      <c r="CX149" s="25"/>
      <c r="CY149" s="26"/>
      <c r="CZ149" s="26"/>
      <c r="DA149" s="26"/>
      <c r="DB149" s="26"/>
      <c r="DC149" s="27"/>
      <c r="DD149" s="28"/>
      <c r="DE149" s="28"/>
      <c r="DF149" s="28"/>
      <c r="DG149" s="28"/>
      <c r="DH149" s="25"/>
      <c r="DI149" s="26"/>
      <c r="DJ149" s="26"/>
      <c r="DK149" s="26"/>
      <c r="DL149" s="26"/>
      <c r="DM149" s="27"/>
      <c r="DN149" s="28"/>
      <c r="DO149" s="28"/>
      <c r="DP149" s="28"/>
      <c r="DQ149" s="28"/>
      <c r="DR149" s="25"/>
      <c r="DS149" s="26"/>
      <c r="DT149" s="26"/>
      <c r="DU149" s="26"/>
      <c r="DV149" s="26"/>
      <c r="DW149" s="27"/>
      <c r="DX149" s="28"/>
      <c r="DY149" s="28"/>
      <c r="DZ149" s="28"/>
      <c r="EA149" s="28"/>
      <c r="EB149" s="29"/>
      <c r="EC149" s="30"/>
      <c r="ED149" s="30"/>
      <c r="EE149" s="30"/>
      <c r="EF149" s="30"/>
      <c r="EG149" s="31"/>
      <c r="EH149" s="32"/>
      <c r="EI149" s="32"/>
      <c r="EJ149" s="32"/>
      <c r="EK149" s="32"/>
      <c r="EL149" s="29"/>
      <c r="EM149" s="30"/>
      <c r="EN149" s="30"/>
      <c r="EO149" s="30"/>
      <c r="EP149" s="30"/>
      <c r="EQ149" s="31"/>
      <c r="ER149" s="32"/>
      <c r="ES149" s="32"/>
      <c r="ET149" s="32"/>
      <c r="EU149" s="32"/>
      <c r="EV149" s="29"/>
      <c r="EW149" s="30"/>
      <c r="EX149" s="30"/>
      <c r="EY149" s="30"/>
      <c r="EZ149" s="30"/>
      <c r="FA149" s="31"/>
      <c r="FB149" s="32"/>
      <c r="FC149" s="32"/>
      <c r="FD149" s="32"/>
      <c r="FE149" s="32"/>
      <c r="FF149" s="29"/>
      <c r="FG149" s="30"/>
      <c r="FH149" s="30"/>
      <c r="FI149" s="30"/>
      <c r="FJ149" s="30"/>
      <c r="FK149" s="31"/>
      <c r="FL149" s="32"/>
      <c r="FM149" s="32"/>
      <c r="FN149" s="32"/>
      <c r="FO149" s="32"/>
      <c r="FP149" s="29"/>
      <c r="FQ149" s="30"/>
      <c r="FR149" s="30"/>
      <c r="FS149" s="30"/>
      <c r="FT149" s="30"/>
      <c r="FU149" s="31"/>
      <c r="FV149" s="32"/>
      <c r="FW149" s="32"/>
      <c r="FX149" s="32"/>
      <c r="FY149" s="32"/>
      <c r="FZ149" s="29"/>
      <c r="GA149" s="30"/>
      <c r="GB149" s="30"/>
      <c r="GC149" s="30"/>
      <c r="GD149" s="30"/>
    </row>
    <row r="150" spans="1:186" ht="48" x14ac:dyDescent="0.25">
      <c r="A150" s="156">
        <v>141</v>
      </c>
      <c r="B150" s="395">
        <f>'Tier 3 Intervention'!B571</f>
        <v>0</v>
      </c>
      <c r="C150" s="395"/>
      <c r="D150" s="395"/>
      <c r="E150" s="395"/>
      <c r="F150" s="395"/>
      <c r="G150" s="395"/>
      <c r="H150" s="761" t="e">
        <f>'Tier 3 Intervention'!AA571+30</f>
        <v>#VALUE!</v>
      </c>
      <c r="I150" s="761"/>
      <c r="J150" s="762" t="e">
        <f t="shared" si="3"/>
        <v>#VALUE!</v>
      </c>
      <c r="K150" s="395"/>
      <c r="L150" s="47" t="s">
        <v>927</v>
      </c>
      <c r="M150" s="46"/>
      <c r="N150" s="46"/>
      <c r="O150" s="46"/>
      <c r="P150" s="49"/>
      <c r="Q150" s="19"/>
      <c r="R150" s="20"/>
      <c r="S150" s="20"/>
      <c r="T150" s="20"/>
      <c r="U150" s="20"/>
      <c r="V150" s="21"/>
      <c r="W150" s="22"/>
      <c r="X150" s="22"/>
      <c r="Y150" s="22"/>
      <c r="Z150" s="22"/>
      <c r="AA150" s="19"/>
      <c r="AB150" s="20"/>
      <c r="AC150" s="20"/>
      <c r="AD150" s="20"/>
      <c r="AE150" s="20"/>
      <c r="AF150" s="21"/>
      <c r="AG150" s="22"/>
      <c r="AH150" s="22"/>
      <c r="AI150" s="22"/>
      <c r="AJ150" s="22"/>
      <c r="AK150" s="19"/>
      <c r="AL150" s="20"/>
      <c r="AM150" s="20"/>
      <c r="AN150" s="20"/>
      <c r="AO150" s="20"/>
      <c r="AP150" s="21"/>
      <c r="AQ150" s="22"/>
      <c r="AR150" s="22"/>
      <c r="AS150" s="22"/>
      <c r="AT150" s="22"/>
      <c r="AU150" s="19"/>
      <c r="AV150" s="20"/>
      <c r="AW150" s="20"/>
      <c r="AX150" s="20"/>
      <c r="AY150" s="20"/>
      <c r="AZ150" s="21"/>
      <c r="BA150" s="22"/>
      <c r="BB150" s="22"/>
      <c r="BC150" s="22"/>
      <c r="BD150" s="22"/>
      <c r="BE150" s="19"/>
      <c r="BF150" s="20"/>
      <c r="BG150" s="20"/>
      <c r="BH150" s="20"/>
      <c r="BI150" s="20"/>
      <c r="BJ150" s="21"/>
      <c r="BK150" s="22"/>
      <c r="BL150" s="22"/>
      <c r="BM150" s="22"/>
      <c r="BN150" s="22"/>
      <c r="BO150" s="19"/>
      <c r="BP150" s="20"/>
      <c r="BQ150" s="20"/>
      <c r="BR150" s="20"/>
      <c r="BS150" s="20"/>
      <c r="BT150" s="21"/>
      <c r="BU150" s="22"/>
      <c r="BV150" s="22"/>
      <c r="BW150" s="22"/>
      <c r="BX150" s="22"/>
      <c r="BY150" s="23"/>
      <c r="BZ150" s="24"/>
      <c r="CA150" s="24"/>
      <c r="CB150" s="24"/>
      <c r="CC150" s="24"/>
      <c r="CD150" s="25"/>
      <c r="CE150" s="26"/>
      <c r="CF150" s="26"/>
      <c r="CG150" s="26"/>
      <c r="CH150" s="26"/>
      <c r="CI150" s="27"/>
      <c r="CJ150" s="28"/>
      <c r="CK150" s="28"/>
      <c r="CL150" s="28"/>
      <c r="CM150" s="28"/>
      <c r="CN150" s="25"/>
      <c r="CO150" s="26"/>
      <c r="CP150" s="26"/>
      <c r="CQ150" s="26"/>
      <c r="CR150" s="26"/>
      <c r="CS150" s="27"/>
      <c r="CT150" s="28"/>
      <c r="CU150" s="28"/>
      <c r="CV150" s="28"/>
      <c r="CW150" s="28"/>
      <c r="CX150" s="25"/>
      <c r="CY150" s="26"/>
      <c r="CZ150" s="26"/>
      <c r="DA150" s="26"/>
      <c r="DB150" s="26"/>
      <c r="DC150" s="27"/>
      <c r="DD150" s="28"/>
      <c r="DE150" s="28"/>
      <c r="DF150" s="28"/>
      <c r="DG150" s="28"/>
      <c r="DH150" s="25"/>
      <c r="DI150" s="26"/>
      <c r="DJ150" s="26"/>
      <c r="DK150" s="26"/>
      <c r="DL150" s="26"/>
      <c r="DM150" s="27"/>
      <c r="DN150" s="28"/>
      <c r="DO150" s="28"/>
      <c r="DP150" s="28"/>
      <c r="DQ150" s="28"/>
      <c r="DR150" s="25"/>
      <c r="DS150" s="26"/>
      <c r="DT150" s="26"/>
      <c r="DU150" s="26"/>
      <c r="DV150" s="26"/>
      <c r="DW150" s="27"/>
      <c r="DX150" s="28"/>
      <c r="DY150" s="28"/>
      <c r="DZ150" s="28"/>
      <c r="EA150" s="28"/>
      <c r="EB150" s="29"/>
      <c r="EC150" s="30"/>
      <c r="ED150" s="30"/>
      <c r="EE150" s="30"/>
      <c r="EF150" s="30"/>
      <c r="EG150" s="31"/>
      <c r="EH150" s="32"/>
      <c r="EI150" s="32"/>
      <c r="EJ150" s="32"/>
      <c r="EK150" s="32"/>
      <c r="EL150" s="29"/>
      <c r="EM150" s="30"/>
      <c r="EN150" s="30"/>
      <c r="EO150" s="30"/>
      <c r="EP150" s="30"/>
      <c r="EQ150" s="31"/>
      <c r="ER150" s="32"/>
      <c r="ES150" s="32"/>
      <c r="ET150" s="32"/>
      <c r="EU150" s="32"/>
      <c r="EV150" s="29"/>
      <c r="EW150" s="30"/>
      <c r="EX150" s="30"/>
      <c r="EY150" s="30"/>
      <c r="EZ150" s="30"/>
      <c r="FA150" s="31"/>
      <c r="FB150" s="32"/>
      <c r="FC150" s="32"/>
      <c r="FD150" s="32"/>
      <c r="FE150" s="32"/>
      <c r="FF150" s="29"/>
      <c r="FG150" s="30"/>
      <c r="FH150" s="30"/>
      <c r="FI150" s="30"/>
      <c r="FJ150" s="30"/>
      <c r="FK150" s="31"/>
      <c r="FL150" s="32"/>
      <c r="FM150" s="32"/>
      <c r="FN150" s="32"/>
      <c r="FO150" s="32"/>
      <c r="FP150" s="29"/>
      <c r="FQ150" s="30"/>
      <c r="FR150" s="30"/>
      <c r="FS150" s="30"/>
      <c r="FT150" s="30"/>
      <c r="FU150" s="31"/>
      <c r="FV150" s="32"/>
      <c r="FW150" s="32"/>
      <c r="FX150" s="32"/>
      <c r="FY150" s="32"/>
      <c r="FZ150" s="29"/>
      <c r="GA150" s="30"/>
      <c r="GB150" s="30"/>
      <c r="GC150" s="30"/>
      <c r="GD150" s="30"/>
    </row>
    <row r="151" spans="1:186" ht="48" x14ac:dyDescent="0.25">
      <c r="A151" s="156">
        <v>142</v>
      </c>
      <c r="B151" s="395">
        <f>'Tier 3 Intervention'!B575</f>
        <v>0</v>
      </c>
      <c r="C151" s="395"/>
      <c r="D151" s="395"/>
      <c r="E151" s="395"/>
      <c r="F151" s="395"/>
      <c r="G151" s="395"/>
      <c r="H151" s="761" t="e">
        <f>'Tier 3 Intervention'!AA575+30</f>
        <v>#VALUE!</v>
      </c>
      <c r="I151" s="761"/>
      <c r="J151" s="762" t="e">
        <f t="shared" si="3"/>
        <v>#VALUE!</v>
      </c>
      <c r="K151" s="395"/>
      <c r="L151" s="47" t="s">
        <v>928</v>
      </c>
      <c r="M151" s="46"/>
      <c r="N151" s="46"/>
      <c r="O151" s="46"/>
      <c r="P151" s="49"/>
      <c r="Q151" s="19"/>
      <c r="R151" s="20"/>
      <c r="S151" s="20"/>
      <c r="T151" s="20"/>
      <c r="U151" s="20"/>
      <c r="V151" s="21"/>
      <c r="W151" s="22"/>
      <c r="X151" s="22"/>
      <c r="Y151" s="22"/>
      <c r="Z151" s="22"/>
      <c r="AA151" s="19"/>
      <c r="AB151" s="20"/>
      <c r="AC151" s="20"/>
      <c r="AD151" s="20"/>
      <c r="AE151" s="20"/>
      <c r="AF151" s="21"/>
      <c r="AG151" s="22"/>
      <c r="AH151" s="22"/>
      <c r="AI151" s="22"/>
      <c r="AJ151" s="22"/>
      <c r="AK151" s="19"/>
      <c r="AL151" s="20"/>
      <c r="AM151" s="20"/>
      <c r="AN151" s="20"/>
      <c r="AO151" s="20"/>
      <c r="AP151" s="21"/>
      <c r="AQ151" s="22"/>
      <c r="AR151" s="22"/>
      <c r="AS151" s="22"/>
      <c r="AT151" s="22"/>
      <c r="AU151" s="19"/>
      <c r="AV151" s="20"/>
      <c r="AW151" s="20"/>
      <c r="AX151" s="20"/>
      <c r="AY151" s="20"/>
      <c r="AZ151" s="21"/>
      <c r="BA151" s="22"/>
      <c r="BB151" s="22"/>
      <c r="BC151" s="22"/>
      <c r="BD151" s="22"/>
      <c r="BE151" s="19"/>
      <c r="BF151" s="20"/>
      <c r="BG151" s="20"/>
      <c r="BH151" s="20"/>
      <c r="BI151" s="20"/>
      <c r="BJ151" s="21"/>
      <c r="BK151" s="22"/>
      <c r="BL151" s="22"/>
      <c r="BM151" s="22"/>
      <c r="BN151" s="22"/>
      <c r="BO151" s="19"/>
      <c r="BP151" s="20"/>
      <c r="BQ151" s="20"/>
      <c r="BR151" s="20"/>
      <c r="BS151" s="20"/>
      <c r="BT151" s="21"/>
      <c r="BU151" s="22"/>
      <c r="BV151" s="22"/>
      <c r="BW151" s="22"/>
      <c r="BX151" s="22"/>
      <c r="BY151" s="23"/>
      <c r="BZ151" s="24"/>
      <c r="CA151" s="24"/>
      <c r="CB151" s="24"/>
      <c r="CC151" s="24"/>
      <c r="CD151" s="25"/>
      <c r="CE151" s="26"/>
      <c r="CF151" s="26"/>
      <c r="CG151" s="26"/>
      <c r="CH151" s="26"/>
      <c r="CI151" s="27"/>
      <c r="CJ151" s="28"/>
      <c r="CK151" s="28"/>
      <c r="CL151" s="28"/>
      <c r="CM151" s="28"/>
      <c r="CN151" s="25"/>
      <c r="CO151" s="26"/>
      <c r="CP151" s="26"/>
      <c r="CQ151" s="26"/>
      <c r="CR151" s="26"/>
      <c r="CS151" s="27"/>
      <c r="CT151" s="28"/>
      <c r="CU151" s="28"/>
      <c r="CV151" s="28"/>
      <c r="CW151" s="28"/>
      <c r="CX151" s="25"/>
      <c r="CY151" s="26"/>
      <c r="CZ151" s="26"/>
      <c r="DA151" s="26"/>
      <c r="DB151" s="26"/>
      <c r="DC151" s="27"/>
      <c r="DD151" s="28"/>
      <c r="DE151" s="28"/>
      <c r="DF151" s="28"/>
      <c r="DG151" s="28"/>
      <c r="DH151" s="25"/>
      <c r="DI151" s="26"/>
      <c r="DJ151" s="26"/>
      <c r="DK151" s="26"/>
      <c r="DL151" s="26"/>
      <c r="DM151" s="27"/>
      <c r="DN151" s="28"/>
      <c r="DO151" s="28"/>
      <c r="DP151" s="28"/>
      <c r="DQ151" s="28"/>
      <c r="DR151" s="25"/>
      <c r="DS151" s="26"/>
      <c r="DT151" s="26"/>
      <c r="DU151" s="26"/>
      <c r="DV151" s="26"/>
      <c r="DW151" s="27"/>
      <c r="DX151" s="28"/>
      <c r="DY151" s="28"/>
      <c r="DZ151" s="28"/>
      <c r="EA151" s="28"/>
      <c r="EB151" s="29"/>
      <c r="EC151" s="30"/>
      <c r="ED151" s="30"/>
      <c r="EE151" s="30"/>
      <c r="EF151" s="30"/>
      <c r="EG151" s="31"/>
      <c r="EH151" s="32"/>
      <c r="EI151" s="32"/>
      <c r="EJ151" s="32"/>
      <c r="EK151" s="32"/>
      <c r="EL151" s="29"/>
      <c r="EM151" s="30"/>
      <c r="EN151" s="30"/>
      <c r="EO151" s="30"/>
      <c r="EP151" s="30"/>
      <c r="EQ151" s="31"/>
      <c r="ER151" s="32"/>
      <c r="ES151" s="32"/>
      <c r="ET151" s="32"/>
      <c r="EU151" s="32"/>
      <c r="EV151" s="29"/>
      <c r="EW151" s="30"/>
      <c r="EX151" s="30"/>
      <c r="EY151" s="30"/>
      <c r="EZ151" s="30"/>
      <c r="FA151" s="31"/>
      <c r="FB151" s="32"/>
      <c r="FC151" s="32"/>
      <c r="FD151" s="32"/>
      <c r="FE151" s="32"/>
      <c r="FF151" s="29"/>
      <c r="FG151" s="30"/>
      <c r="FH151" s="30"/>
      <c r="FI151" s="30"/>
      <c r="FJ151" s="30"/>
      <c r="FK151" s="31"/>
      <c r="FL151" s="32"/>
      <c r="FM151" s="32"/>
      <c r="FN151" s="32"/>
      <c r="FO151" s="32"/>
      <c r="FP151" s="29"/>
      <c r="FQ151" s="30"/>
      <c r="FR151" s="30"/>
      <c r="FS151" s="30"/>
      <c r="FT151" s="30"/>
      <c r="FU151" s="31"/>
      <c r="FV151" s="32"/>
      <c r="FW151" s="32"/>
      <c r="FX151" s="32"/>
      <c r="FY151" s="32"/>
      <c r="FZ151" s="29"/>
      <c r="GA151" s="30"/>
      <c r="GB151" s="30"/>
      <c r="GC151" s="30"/>
      <c r="GD151" s="30"/>
    </row>
    <row r="152" spans="1:186" ht="48" x14ac:dyDescent="0.25">
      <c r="A152" s="156">
        <v>143</v>
      </c>
      <c r="B152" s="395">
        <f>'Tier 3 Intervention'!B579</f>
        <v>0</v>
      </c>
      <c r="C152" s="395"/>
      <c r="D152" s="395"/>
      <c r="E152" s="395"/>
      <c r="F152" s="395"/>
      <c r="G152" s="395"/>
      <c r="H152" s="761" t="e">
        <f>'Tier 3 Intervention'!AA579+30</f>
        <v>#VALUE!</v>
      </c>
      <c r="I152" s="761"/>
      <c r="J152" s="762" t="e">
        <f t="shared" si="3"/>
        <v>#VALUE!</v>
      </c>
      <c r="K152" s="395"/>
      <c r="L152" s="47" t="s">
        <v>929</v>
      </c>
      <c r="M152" s="46"/>
      <c r="N152" s="46"/>
      <c r="O152" s="46"/>
      <c r="P152" s="49"/>
      <c r="Q152" s="19"/>
      <c r="R152" s="20"/>
      <c r="S152" s="20"/>
      <c r="T152" s="20"/>
      <c r="U152" s="20"/>
      <c r="V152" s="21"/>
      <c r="W152" s="22"/>
      <c r="X152" s="22"/>
      <c r="Y152" s="22"/>
      <c r="Z152" s="22"/>
      <c r="AA152" s="19"/>
      <c r="AB152" s="20"/>
      <c r="AC152" s="20"/>
      <c r="AD152" s="20"/>
      <c r="AE152" s="20"/>
      <c r="AF152" s="21"/>
      <c r="AG152" s="22"/>
      <c r="AH152" s="22"/>
      <c r="AI152" s="22"/>
      <c r="AJ152" s="22"/>
      <c r="AK152" s="19"/>
      <c r="AL152" s="20"/>
      <c r="AM152" s="20"/>
      <c r="AN152" s="20"/>
      <c r="AO152" s="20"/>
      <c r="AP152" s="21"/>
      <c r="AQ152" s="22"/>
      <c r="AR152" s="22"/>
      <c r="AS152" s="22"/>
      <c r="AT152" s="22"/>
      <c r="AU152" s="19"/>
      <c r="AV152" s="20"/>
      <c r="AW152" s="20"/>
      <c r="AX152" s="20"/>
      <c r="AY152" s="20"/>
      <c r="AZ152" s="21"/>
      <c r="BA152" s="22"/>
      <c r="BB152" s="22"/>
      <c r="BC152" s="22"/>
      <c r="BD152" s="22"/>
      <c r="BE152" s="19"/>
      <c r="BF152" s="20"/>
      <c r="BG152" s="20"/>
      <c r="BH152" s="20"/>
      <c r="BI152" s="20"/>
      <c r="BJ152" s="21"/>
      <c r="BK152" s="22"/>
      <c r="BL152" s="22"/>
      <c r="BM152" s="22"/>
      <c r="BN152" s="22"/>
      <c r="BO152" s="19"/>
      <c r="BP152" s="20"/>
      <c r="BQ152" s="20"/>
      <c r="BR152" s="20"/>
      <c r="BS152" s="20"/>
      <c r="BT152" s="21"/>
      <c r="BU152" s="22"/>
      <c r="BV152" s="22"/>
      <c r="BW152" s="22"/>
      <c r="BX152" s="22"/>
      <c r="BY152" s="23"/>
      <c r="BZ152" s="24"/>
      <c r="CA152" s="24"/>
      <c r="CB152" s="24"/>
      <c r="CC152" s="24"/>
      <c r="CD152" s="25"/>
      <c r="CE152" s="26"/>
      <c r="CF152" s="26"/>
      <c r="CG152" s="26"/>
      <c r="CH152" s="26"/>
      <c r="CI152" s="27"/>
      <c r="CJ152" s="28"/>
      <c r="CK152" s="28"/>
      <c r="CL152" s="28"/>
      <c r="CM152" s="28"/>
      <c r="CN152" s="25"/>
      <c r="CO152" s="26"/>
      <c r="CP152" s="26"/>
      <c r="CQ152" s="26"/>
      <c r="CR152" s="26"/>
      <c r="CS152" s="27"/>
      <c r="CT152" s="28"/>
      <c r="CU152" s="28"/>
      <c r="CV152" s="28"/>
      <c r="CW152" s="28"/>
      <c r="CX152" s="25"/>
      <c r="CY152" s="26"/>
      <c r="CZ152" s="26"/>
      <c r="DA152" s="26"/>
      <c r="DB152" s="26"/>
      <c r="DC152" s="27"/>
      <c r="DD152" s="28"/>
      <c r="DE152" s="28"/>
      <c r="DF152" s="28"/>
      <c r="DG152" s="28"/>
      <c r="DH152" s="25"/>
      <c r="DI152" s="26"/>
      <c r="DJ152" s="26"/>
      <c r="DK152" s="26"/>
      <c r="DL152" s="26"/>
      <c r="DM152" s="27"/>
      <c r="DN152" s="28"/>
      <c r="DO152" s="28"/>
      <c r="DP152" s="28"/>
      <c r="DQ152" s="28"/>
      <c r="DR152" s="25"/>
      <c r="DS152" s="26"/>
      <c r="DT152" s="26"/>
      <c r="DU152" s="26"/>
      <c r="DV152" s="26"/>
      <c r="DW152" s="27"/>
      <c r="DX152" s="28"/>
      <c r="DY152" s="28"/>
      <c r="DZ152" s="28"/>
      <c r="EA152" s="28"/>
      <c r="EB152" s="29"/>
      <c r="EC152" s="30"/>
      <c r="ED152" s="30"/>
      <c r="EE152" s="30"/>
      <c r="EF152" s="30"/>
      <c r="EG152" s="31"/>
      <c r="EH152" s="32"/>
      <c r="EI152" s="32"/>
      <c r="EJ152" s="32"/>
      <c r="EK152" s="32"/>
      <c r="EL152" s="29"/>
      <c r="EM152" s="30"/>
      <c r="EN152" s="30"/>
      <c r="EO152" s="30"/>
      <c r="EP152" s="30"/>
      <c r="EQ152" s="31"/>
      <c r="ER152" s="32"/>
      <c r="ES152" s="32"/>
      <c r="ET152" s="32"/>
      <c r="EU152" s="32"/>
      <c r="EV152" s="29"/>
      <c r="EW152" s="30"/>
      <c r="EX152" s="30"/>
      <c r="EY152" s="30"/>
      <c r="EZ152" s="30"/>
      <c r="FA152" s="31"/>
      <c r="FB152" s="32"/>
      <c r="FC152" s="32"/>
      <c r="FD152" s="32"/>
      <c r="FE152" s="32"/>
      <c r="FF152" s="29"/>
      <c r="FG152" s="30"/>
      <c r="FH152" s="30"/>
      <c r="FI152" s="30"/>
      <c r="FJ152" s="30"/>
      <c r="FK152" s="31"/>
      <c r="FL152" s="32"/>
      <c r="FM152" s="32"/>
      <c r="FN152" s="32"/>
      <c r="FO152" s="32"/>
      <c r="FP152" s="29"/>
      <c r="FQ152" s="30"/>
      <c r="FR152" s="30"/>
      <c r="FS152" s="30"/>
      <c r="FT152" s="30"/>
      <c r="FU152" s="31"/>
      <c r="FV152" s="32"/>
      <c r="FW152" s="32"/>
      <c r="FX152" s="32"/>
      <c r="FY152" s="32"/>
      <c r="FZ152" s="29"/>
      <c r="GA152" s="30"/>
      <c r="GB152" s="30"/>
      <c r="GC152" s="30"/>
      <c r="GD152" s="30"/>
    </row>
    <row r="153" spans="1:186" ht="48" x14ac:dyDescent="0.25">
      <c r="A153" s="156">
        <v>144</v>
      </c>
      <c r="B153" s="395">
        <f>'Tier 3 Intervention'!B583</f>
        <v>0</v>
      </c>
      <c r="C153" s="395"/>
      <c r="D153" s="395"/>
      <c r="E153" s="395"/>
      <c r="F153" s="395"/>
      <c r="G153" s="395"/>
      <c r="H153" s="761" t="e">
        <f>'Tier 3 Intervention'!AA583+30</f>
        <v>#VALUE!</v>
      </c>
      <c r="I153" s="761"/>
      <c r="J153" s="762" t="e">
        <f t="shared" si="3"/>
        <v>#VALUE!</v>
      </c>
      <c r="K153" s="395"/>
      <c r="L153" s="47" t="s">
        <v>930</v>
      </c>
      <c r="M153" s="46"/>
      <c r="N153" s="46"/>
      <c r="O153" s="46"/>
      <c r="P153" s="49"/>
      <c r="Q153" s="19"/>
      <c r="R153" s="20"/>
      <c r="S153" s="20"/>
      <c r="T153" s="20"/>
      <c r="U153" s="20"/>
      <c r="V153" s="21"/>
      <c r="W153" s="22"/>
      <c r="X153" s="22"/>
      <c r="Y153" s="22"/>
      <c r="Z153" s="22"/>
      <c r="AA153" s="19"/>
      <c r="AB153" s="20"/>
      <c r="AC153" s="20"/>
      <c r="AD153" s="20"/>
      <c r="AE153" s="20"/>
      <c r="AF153" s="21"/>
      <c r="AG153" s="22"/>
      <c r="AH153" s="22"/>
      <c r="AI153" s="22"/>
      <c r="AJ153" s="22"/>
      <c r="AK153" s="19"/>
      <c r="AL153" s="20"/>
      <c r="AM153" s="20"/>
      <c r="AN153" s="20"/>
      <c r="AO153" s="20"/>
      <c r="AP153" s="21"/>
      <c r="AQ153" s="22"/>
      <c r="AR153" s="22"/>
      <c r="AS153" s="22"/>
      <c r="AT153" s="22"/>
      <c r="AU153" s="19"/>
      <c r="AV153" s="20"/>
      <c r="AW153" s="20"/>
      <c r="AX153" s="20"/>
      <c r="AY153" s="20"/>
      <c r="AZ153" s="21"/>
      <c r="BA153" s="22"/>
      <c r="BB153" s="22"/>
      <c r="BC153" s="22"/>
      <c r="BD153" s="22"/>
      <c r="BE153" s="19"/>
      <c r="BF153" s="20"/>
      <c r="BG153" s="20"/>
      <c r="BH153" s="20"/>
      <c r="BI153" s="20"/>
      <c r="BJ153" s="21"/>
      <c r="BK153" s="22"/>
      <c r="BL153" s="22"/>
      <c r="BM153" s="22"/>
      <c r="BN153" s="22"/>
      <c r="BO153" s="19"/>
      <c r="BP153" s="20"/>
      <c r="BQ153" s="20"/>
      <c r="BR153" s="20"/>
      <c r="BS153" s="20"/>
      <c r="BT153" s="21"/>
      <c r="BU153" s="22"/>
      <c r="BV153" s="22"/>
      <c r="BW153" s="22"/>
      <c r="BX153" s="22"/>
      <c r="BY153" s="23"/>
      <c r="BZ153" s="24"/>
      <c r="CA153" s="24"/>
      <c r="CB153" s="24"/>
      <c r="CC153" s="24"/>
      <c r="CD153" s="25"/>
      <c r="CE153" s="26"/>
      <c r="CF153" s="26"/>
      <c r="CG153" s="26"/>
      <c r="CH153" s="26"/>
      <c r="CI153" s="27"/>
      <c r="CJ153" s="28"/>
      <c r="CK153" s="28"/>
      <c r="CL153" s="28"/>
      <c r="CM153" s="28"/>
      <c r="CN153" s="25"/>
      <c r="CO153" s="26"/>
      <c r="CP153" s="26"/>
      <c r="CQ153" s="26"/>
      <c r="CR153" s="26"/>
      <c r="CS153" s="27"/>
      <c r="CT153" s="28"/>
      <c r="CU153" s="28"/>
      <c r="CV153" s="28"/>
      <c r="CW153" s="28"/>
      <c r="CX153" s="25"/>
      <c r="CY153" s="26"/>
      <c r="CZ153" s="26"/>
      <c r="DA153" s="26"/>
      <c r="DB153" s="26"/>
      <c r="DC153" s="27"/>
      <c r="DD153" s="28"/>
      <c r="DE153" s="28"/>
      <c r="DF153" s="28"/>
      <c r="DG153" s="28"/>
      <c r="DH153" s="25"/>
      <c r="DI153" s="26"/>
      <c r="DJ153" s="26"/>
      <c r="DK153" s="26"/>
      <c r="DL153" s="26"/>
      <c r="DM153" s="27"/>
      <c r="DN153" s="28"/>
      <c r="DO153" s="28"/>
      <c r="DP153" s="28"/>
      <c r="DQ153" s="28"/>
      <c r="DR153" s="25"/>
      <c r="DS153" s="26"/>
      <c r="DT153" s="26"/>
      <c r="DU153" s="26"/>
      <c r="DV153" s="26"/>
      <c r="DW153" s="27"/>
      <c r="DX153" s="28"/>
      <c r="DY153" s="28"/>
      <c r="DZ153" s="28"/>
      <c r="EA153" s="28"/>
      <c r="EB153" s="29"/>
      <c r="EC153" s="30"/>
      <c r="ED153" s="30"/>
      <c r="EE153" s="30"/>
      <c r="EF153" s="30"/>
      <c r="EG153" s="31"/>
      <c r="EH153" s="32"/>
      <c r="EI153" s="32"/>
      <c r="EJ153" s="32"/>
      <c r="EK153" s="32"/>
      <c r="EL153" s="29"/>
      <c r="EM153" s="30"/>
      <c r="EN153" s="30"/>
      <c r="EO153" s="30"/>
      <c r="EP153" s="30"/>
      <c r="EQ153" s="31"/>
      <c r="ER153" s="32"/>
      <c r="ES153" s="32"/>
      <c r="ET153" s="32"/>
      <c r="EU153" s="32"/>
      <c r="EV153" s="29"/>
      <c r="EW153" s="30"/>
      <c r="EX153" s="30"/>
      <c r="EY153" s="30"/>
      <c r="EZ153" s="30"/>
      <c r="FA153" s="31"/>
      <c r="FB153" s="32"/>
      <c r="FC153" s="32"/>
      <c r="FD153" s="32"/>
      <c r="FE153" s="32"/>
      <c r="FF153" s="29"/>
      <c r="FG153" s="30"/>
      <c r="FH153" s="30"/>
      <c r="FI153" s="30"/>
      <c r="FJ153" s="30"/>
      <c r="FK153" s="31"/>
      <c r="FL153" s="32"/>
      <c r="FM153" s="32"/>
      <c r="FN153" s="32"/>
      <c r="FO153" s="32"/>
      <c r="FP153" s="29"/>
      <c r="FQ153" s="30"/>
      <c r="FR153" s="30"/>
      <c r="FS153" s="30"/>
      <c r="FT153" s="30"/>
      <c r="FU153" s="31"/>
      <c r="FV153" s="32"/>
      <c r="FW153" s="32"/>
      <c r="FX153" s="32"/>
      <c r="FY153" s="32"/>
      <c r="FZ153" s="29"/>
      <c r="GA153" s="30"/>
      <c r="GB153" s="30"/>
      <c r="GC153" s="30"/>
      <c r="GD153" s="30"/>
    </row>
    <row r="154" spans="1:186" ht="48" x14ac:dyDescent="0.25">
      <c r="A154" s="156">
        <v>145</v>
      </c>
      <c r="B154" s="395">
        <f>'Tier 3 Intervention'!B587</f>
        <v>0</v>
      </c>
      <c r="C154" s="395"/>
      <c r="D154" s="395"/>
      <c r="E154" s="395"/>
      <c r="F154" s="395"/>
      <c r="G154" s="395"/>
      <c r="H154" s="761" t="e">
        <f>'Tier 3 Intervention'!AA587+30</f>
        <v>#VALUE!</v>
      </c>
      <c r="I154" s="761"/>
      <c r="J154" s="762" t="e">
        <f t="shared" si="3"/>
        <v>#VALUE!</v>
      </c>
      <c r="K154" s="395"/>
      <c r="L154" s="47" t="s">
        <v>931</v>
      </c>
      <c r="M154" s="46"/>
      <c r="N154" s="46"/>
      <c r="O154" s="46"/>
      <c r="P154" s="49"/>
      <c r="Q154" s="19"/>
      <c r="R154" s="20"/>
      <c r="S154" s="20"/>
      <c r="T154" s="20"/>
      <c r="U154" s="20"/>
      <c r="V154" s="21"/>
      <c r="W154" s="22"/>
      <c r="X154" s="22"/>
      <c r="Y154" s="22"/>
      <c r="Z154" s="22"/>
      <c r="AA154" s="19"/>
      <c r="AB154" s="20"/>
      <c r="AC154" s="20"/>
      <c r="AD154" s="20"/>
      <c r="AE154" s="20"/>
      <c r="AF154" s="21"/>
      <c r="AG154" s="22"/>
      <c r="AH154" s="22"/>
      <c r="AI154" s="22"/>
      <c r="AJ154" s="22"/>
      <c r="AK154" s="19"/>
      <c r="AL154" s="20"/>
      <c r="AM154" s="20"/>
      <c r="AN154" s="20"/>
      <c r="AO154" s="20"/>
      <c r="AP154" s="21"/>
      <c r="AQ154" s="22"/>
      <c r="AR154" s="22"/>
      <c r="AS154" s="22"/>
      <c r="AT154" s="22"/>
      <c r="AU154" s="19"/>
      <c r="AV154" s="20"/>
      <c r="AW154" s="20"/>
      <c r="AX154" s="20"/>
      <c r="AY154" s="20"/>
      <c r="AZ154" s="21"/>
      <c r="BA154" s="22"/>
      <c r="BB154" s="22"/>
      <c r="BC154" s="22"/>
      <c r="BD154" s="22"/>
      <c r="BE154" s="19"/>
      <c r="BF154" s="20"/>
      <c r="BG154" s="20"/>
      <c r="BH154" s="20"/>
      <c r="BI154" s="20"/>
      <c r="BJ154" s="21"/>
      <c r="BK154" s="22"/>
      <c r="BL154" s="22"/>
      <c r="BM154" s="22"/>
      <c r="BN154" s="22"/>
      <c r="BO154" s="19"/>
      <c r="BP154" s="20"/>
      <c r="BQ154" s="20"/>
      <c r="BR154" s="20"/>
      <c r="BS154" s="20"/>
      <c r="BT154" s="21"/>
      <c r="BU154" s="22"/>
      <c r="BV154" s="22"/>
      <c r="BW154" s="22"/>
      <c r="BX154" s="22"/>
      <c r="BY154" s="23"/>
      <c r="BZ154" s="24"/>
      <c r="CA154" s="24"/>
      <c r="CB154" s="24"/>
      <c r="CC154" s="24"/>
      <c r="CD154" s="25"/>
      <c r="CE154" s="26"/>
      <c r="CF154" s="26"/>
      <c r="CG154" s="26"/>
      <c r="CH154" s="26"/>
      <c r="CI154" s="27"/>
      <c r="CJ154" s="28"/>
      <c r="CK154" s="28"/>
      <c r="CL154" s="28"/>
      <c r="CM154" s="28"/>
      <c r="CN154" s="25"/>
      <c r="CO154" s="26"/>
      <c r="CP154" s="26"/>
      <c r="CQ154" s="26"/>
      <c r="CR154" s="26"/>
      <c r="CS154" s="27"/>
      <c r="CT154" s="28"/>
      <c r="CU154" s="28"/>
      <c r="CV154" s="28"/>
      <c r="CW154" s="28"/>
      <c r="CX154" s="25"/>
      <c r="CY154" s="26"/>
      <c r="CZ154" s="26"/>
      <c r="DA154" s="26"/>
      <c r="DB154" s="26"/>
      <c r="DC154" s="27"/>
      <c r="DD154" s="28"/>
      <c r="DE154" s="28"/>
      <c r="DF154" s="28"/>
      <c r="DG154" s="28"/>
      <c r="DH154" s="25"/>
      <c r="DI154" s="26"/>
      <c r="DJ154" s="26"/>
      <c r="DK154" s="26"/>
      <c r="DL154" s="26"/>
      <c r="DM154" s="27"/>
      <c r="DN154" s="28"/>
      <c r="DO154" s="28"/>
      <c r="DP154" s="28"/>
      <c r="DQ154" s="28"/>
      <c r="DR154" s="25"/>
      <c r="DS154" s="26"/>
      <c r="DT154" s="26"/>
      <c r="DU154" s="26"/>
      <c r="DV154" s="26"/>
      <c r="DW154" s="27"/>
      <c r="DX154" s="28"/>
      <c r="DY154" s="28"/>
      <c r="DZ154" s="28"/>
      <c r="EA154" s="28"/>
      <c r="EB154" s="29"/>
      <c r="EC154" s="30"/>
      <c r="ED154" s="30"/>
      <c r="EE154" s="30"/>
      <c r="EF154" s="30"/>
      <c r="EG154" s="31"/>
      <c r="EH154" s="32"/>
      <c r="EI154" s="32"/>
      <c r="EJ154" s="32"/>
      <c r="EK154" s="32"/>
      <c r="EL154" s="29"/>
      <c r="EM154" s="30"/>
      <c r="EN154" s="30"/>
      <c r="EO154" s="30"/>
      <c r="EP154" s="30"/>
      <c r="EQ154" s="31"/>
      <c r="ER154" s="32"/>
      <c r="ES154" s="32"/>
      <c r="ET154" s="32"/>
      <c r="EU154" s="32"/>
      <c r="EV154" s="29"/>
      <c r="EW154" s="30"/>
      <c r="EX154" s="30"/>
      <c r="EY154" s="30"/>
      <c r="EZ154" s="30"/>
      <c r="FA154" s="31"/>
      <c r="FB154" s="32"/>
      <c r="FC154" s="32"/>
      <c r="FD154" s="32"/>
      <c r="FE154" s="32"/>
      <c r="FF154" s="29"/>
      <c r="FG154" s="30"/>
      <c r="FH154" s="30"/>
      <c r="FI154" s="30"/>
      <c r="FJ154" s="30"/>
      <c r="FK154" s="31"/>
      <c r="FL154" s="32"/>
      <c r="FM154" s="32"/>
      <c r="FN154" s="32"/>
      <c r="FO154" s="32"/>
      <c r="FP154" s="29"/>
      <c r="FQ154" s="30"/>
      <c r="FR154" s="30"/>
      <c r="FS154" s="30"/>
      <c r="FT154" s="30"/>
      <c r="FU154" s="31"/>
      <c r="FV154" s="32"/>
      <c r="FW154" s="32"/>
      <c r="FX154" s="32"/>
      <c r="FY154" s="32"/>
      <c r="FZ154" s="29"/>
      <c r="GA154" s="30"/>
      <c r="GB154" s="30"/>
      <c r="GC154" s="30"/>
      <c r="GD154" s="30"/>
    </row>
    <row r="155" spans="1:186" ht="48" x14ac:dyDescent="0.25">
      <c r="A155" s="156">
        <v>146</v>
      </c>
      <c r="B155" s="395">
        <f>'Tier 3 Intervention'!B591</f>
        <v>0</v>
      </c>
      <c r="C155" s="395"/>
      <c r="D155" s="395"/>
      <c r="E155" s="395"/>
      <c r="F155" s="395"/>
      <c r="G155" s="395"/>
      <c r="H155" s="761" t="e">
        <f>'Tier 3 Intervention'!AA591+30</f>
        <v>#VALUE!</v>
      </c>
      <c r="I155" s="761"/>
      <c r="J155" s="762" t="e">
        <f t="shared" si="3"/>
        <v>#VALUE!</v>
      </c>
      <c r="K155" s="395"/>
      <c r="L155" s="47" t="s">
        <v>932</v>
      </c>
      <c r="M155" s="46"/>
      <c r="N155" s="46"/>
      <c r="O155" s="46"/>
      <c r="P155" s="49"/>
      <c r="Q155" s="19"/>
      <c r="R155" s="20"/>
      <c r="S155" s="20"/>
      <c r="T155" s="20"/>
      <c r="U155" s="20"/>
      <c r="V155" s="21"/>
      <c r="W155" s="22"/>
      <c r="X155" s="22"/>
      <c r="Y155" s="22"/>
      <c r="Z155" s="22"/>
      <c r="AA155" s="19"/>
      <c r="AB155" s="20"/>
      <c r="AC155" s="20"/>
      <c r="AD155" s="20"/>
      <c r="AE155" s="20"/>
      <c r="AF155" s="21"/>
      <c r="AG155" s="22"/>
      <c r="AH155" s="22"/>
      <c r="AI155" s="22"/>
      <c r="AJ155" s="22"/>
      <c r="AK155" s="19"/>
      <c r="AL155" s="20"/>
      <c r="AM155" s="20"/>
      <c r="AN155" s="20"/>
      <c r="AO155" s="20"/>
      <c r="AP155" s="21"/>
      <c r="AQ155" s="22"/>
      <c r="AR155" s="22"/>
      <c r="AS155" s="22"/>
      <c r="AT155" s="22"/>
      <c r="AU155" s="19"/>
      <c r="AV155" s="20"/>
      <c r="AW155" s="20"/>
      <c r="AX155" s="20"/>
      <c r="AY155" s="20"/>
      <c r="AZ155" s="21"/>
      <c r="BA155" s="22"/>
      <c r="BB155" s="22"/>
      <c r="BC155" s="22"/>
      <c r="BD155" s="22"/>
      <c r="BE155" s="19"/>
      <c r="BF155" s="20"/>
      <c r="BG155" s="20"/>
      <c r="BH155" s="20"/>
      <c r="BI155" s="20"/>
      <c r="BJ155" s="21"/>
      <c r="BK155" s="22"/>
      <c r="BL155" s="22"/>
      <c r="BM155" s="22"/>
      <c r="BN155" s="22"/>
      <c r="BO155" s="19"/>
      <c r="BP155" s="20"/>
      <c r="BQ155" s="20"/>
      <c r="BR155" s="20"/>
      <c r="BS155" s="20"/>
      <c r="BT155" s="21"/>
      <c r="BU155" s="22"/>
      <c r="BV155" s="22"/>
      <c r="BW155" s="22"/>
      <c r="BX155" s="22"/>
      <c r="BY155" s="23"/>
      <c r="BZ155" s="24"/>
      <c r="CA155" s="24"/>
      <c r="CB155" s="24"/>
      <c r="CC155" s="24"/>
      <c r="CD155" s="25"/>
      <c r="CE155" s="26"/>
      <c r="CF155" s="26"/>
      <c r="CG155" s="26"/>
      <c r="CH155" s="26"/>
      <c r="CI155" s="27"/>
      <c r="CJ155" s="28"/>
      <c r="CK155" s="28"/>
      <c r="CL155" s="28"/>
      <c r="CM155" s="28"/>
      <c r="CN155" s="25"/>
      <c r="CO155" s="26"/>
      <c r="CP155" s="26"/>
      <c r="CQ155" s="26"/>
      <c r="CR155" s="26"/>
      <c r="CS155" s="27"/>
      <c r="CT155" s="28"/>
      <c r="CU155" s="28"/>
      <c r="CV155" s="28"/>
      <c r="CW155" s="28"/>
      <c r="CX155" s="25"/>
      <c r="CY155" s="26"/>
      <c r="CZ155" s="26"/>
      <c r="DA155" s="26"/>
      <c r="DB155" s="26"/>
      <c r="DC155" s="27"/>
      <c r="DD155" s="28"/>
      <c r="DE155" s="28"/>
      <c r="DF155" s="28"/>
      <c r="DG155" s="28"/>
      <c r="DH155" s="25"/>
      <c r="DI155" s="26"/>
      <c r="DJ155" s="26"/>
      <c r="DK155" s="26"/>
      <c r="DL155" s="26"/>
      <c r="DM155" s="27"/>
      <c r="DN155" s="28"/>
      <c r="DO155" s="28"/>
      <c r="DP155" s="28"/>
      <c r="DQ155" s="28"/>
      <c r="DR155" s="25"/>
      <c r="DS155" s="26"/>
      <c r="DT155" s="26"/>
      <c r="DU155" s="26"/>
      <c r="DV155" s="26"/>
      <c r="DW155" s="27"/>
      <c r="DX155" s="28"/>
      <c r="DY155" s="28"/>
      <c r="DZ155" s="28"/>
      <c r="EA155" s="28"/>
      <c r="EB155" s="29"/>
      <c r="EC155" s="30"/>
      <c r="ED155" s="30"/>
      <c r="EE155" s="30"/>
      <c r="EF155" s="30"/>
      <c r="EG155" s="31"/>
      <c r="EH155" s="32"/>
      <c r="EI155" s="32"/>
      <c r="EJ155" s="32"/>
      <c r="EK155" s="32"/>
      <c r="EL155" s="29"/>
      <c r="EM155" s="30"/>
      <c r="EN155" s="30"/>
      <c r="EO155" s="30"/>
      <c r="EP155" s="30"/>
      <c r="EQ155" s="31"/>
      <c r="ER155" s="32"/>
      <c r="ES155" s="32"/>
      <c r="ET155" s="32"/>
      <c r="EU155" s="32"/>
      <c r="EV155" s="29"/>
      <c r="EW155" s="30"/>
      <c r="EX155" s="30"/>
      <c r="EY155" s="30"/>
      <c r="EZ155" s="30"/>
      <c r="FA155" s="31"/>
      <c r="FB155" s="32"/>
      <c r="FC155" s="32"/>
      <c r="FD155" s="32"/>
      <c r="FE155" s="32"/>
      <c r="FF155" s="29"/>
      <c r="FG155" s="30"/>
      <c r="FH155" s="30"/>
      <c r="FI155" s="30"/>
      <c r="FJ155" s="30"/>
      <c r="FK155" s="31"/>
      <c r="FL155" s="32"/>
      <c r="FM155" s="32"/>
      <c r="FN155" s="32"/>
      <c r="FO155" s="32"/>
      <c r="FP155" s="29"/>
      <c r="FQ155" s="30"/>
      <c r="FR155" s="30"/>
      <c r="FS155" s="30"/>
      <c r="FT155" s="30"/>
      <c r="FU155" s="31"/>
      <c r="FV155" s="32"/>
      <c r="FW155" s="32"/>
      <c r="FX155" s="32"/>
      <c r="FY155" s="32"/>
      <c r="FZ155" s="29"/>
      <c r="GA155" s="30"/>
      <c r="GB155" s="30"/>
      <c r="GC155" s="30"/>
      <c r="GD155" s="30"/>
    </row>
    <row r="156" spans="1:186" ht="48" x14ac:dyDescent="0.25">
      <c r="A156" s="156">
        <v>147</v>
      </c>
      <c r="B156" s="395">
        <f>'Tier 3 Intervention'!B595</f>
        <v>0</v>
      </c>
      <c r="C156" s="395"/>
      <c r="D156" s="395"/>
      <c r="E156" s="395"/>
      <c r="F156" s="395"/>
      <c r="G156" s="395"/>
      <c r="H156" s="761" t="e">
        <f>'Tier 3 Intervention'!AA595+30</f>
        <v>#VALUE!</v>
      </c>
      <c r="I156" s="761"/>
      <c r="J156" s="762" t="e">
        <f t="shared" si="3"/>
        <v>#VALUE!</v>
      </c>
      <c r="K156" s="395"/>
      <c r="L156" s="47" t="s">
        <v>933</v>
      </c>
      <c r="M156" s="46"/>
      <c r="N156" s="46"/>
      <c r="O156" s="46"/>
      <c r="P156" s="49"/>
      <c r="Q156" s="19"/>
      <c r="R156" s="20"/>
      <c r="S156" s="20"/>
      <c r="T156" s="20"/>
      <c r="U156" s="20"/>
      <c r="V156" s="21"/>
      <c r="W156" s="22"/>
      <c r="X156" s="22"/>
      <c r="Y156" s="22"/>
      <c r="Z156" s="22"/>
      <c r="AA156" s="19"/>
      <c r="AB156" s="20"/>
      <c r="AC156" s="20"/>
      <c r="AD156" s="20"/>
      <c r="AE156" s="20"/>
      <c r="AF156" s="21"/>
      <c r="AG156" s="22"/>
      <c r="AH156" s="22"/>
      <c r="AI156" s="22"/>
      <c r="AJ156" s="22"/>
      <c r="AK156" s="19"/>
      <c r="AL156" s="20"/>
      <c r="AM156" s="20"/>
      <c r="AN156" s="20"/>
      <c r="AO156" s="20"/>
      <c r="AP156" s="21"/>
      <c r="AQ156" s="22"/>
      <c r="AR156" s="22"/>
      <c r="AS156" s="22"/>
      <c r="AT156" s="22"/>
      <c r="AU156" s="19"/>
      <c r="AV156" s="20"/>
      <c r="AW156" s="20"/>
      <c r="AX156" s="20"/>
      <c r="AY156" s="20"/>
      <c r="AZ156" s="21"/>
      <c r="BA156" s="22"/>
      <c r="BB156" s="22"/>
      <c r="BC156" s="22"/>
      <c r="BD156" s="22"/>
      <c r="BE156" s="19"/>
      <c r="BF156" s="20"/>
      <c r="BG156" s="20"/>
      <c r="BH156" s="20"/>
      <c r="BI156" s="20"/>
      <c r="BJ156" s="21"/>
      <c r="BK156" s="22"/>
      <c r="BL156" s="22"/>
      <c r="BM156" s="22"/>
      <c r="BN156" s="22"/>
      <c r="BO156" s="19"/>
      <c r="BP156" s="20"/>
      <c r="BQ156" s="20"/>
      <c r="BR156" s="20"/>
      <c r="BS156" s="20"/>
      <c r="BT156" s="21"/>
      <c r="BU156" s="22"/>
      <c r="BV156" s="22"/>
      <c r="BW156" s="22"/>
      <c r="BX156" s="22"/>
      <c r="BY156" s="23"/>
      <c r="BZ156" s="24"/>
      <c r="CA156" s="24"/>
      <c r="CB156" s="24"/>
      <c r="CC156" s="24"/>
      <c r="CD156" s="25"/>
      <c r="CE156" s="26"/>
      <c r="CF156" s="26"/>
      <c r="CG156" s="26"/>
      <c r="CH156" s="26"/>
      <c r="CI156" s="27"/>
      <c r="CJ156" s="28"/>
      <c r="CK156" s="28"/>
      <c r="CL156" s="28"/>
      <c r="CM156" s="28"/>
      <c r="CN156" s="25"/>
      <c r="CO156" s="26"/>
      <c r="CP156" s="26"/>
      <c r="CQ156" s="26"/>
      <c r="CR156" s="26"/>
      <c r="CS156" s="27"/>
      <c r="CT156" s="28"/>
      <c r="CU156" s="28"/>
      <c r="CV156" s="28"/>
      <c r="CW156" s="28"/>
      <c r="CX156" s="25"/>
      <c r="CY156" s="26"/>
      <c r="CZ156" s="26"/>
      <c r="DA156" s="26"/>
      <c r="DB156" s="26"/>
      <c r="DC156" s="27"/>
      <c r="DD156" s="28"/>
      <c r="DE156" s="28"/>
      <c r="DF156" s="28"/>
      <c r="DG156" s="28"/>
      <c r="DH156" s="25"/>
      <c r="DI156" s="26"/>
      <c r="DJ156" s="26"/>
      <c r="DK156" s="26"/>
      <c r="DL156" s="26"/>
      <c r="DM156" s="27"/>
      <c r="DN156" s="28"/>
      <c r="DO156" s="28"/>
      <c r="DP156" s="28"/>
      <c r="DQ156" s="28"/>
      <c r="DR156" s="25"/>
      <c r="DS156" s="26"/>
      <c r="DT156" s="26"/>
      <c r="DU156" s="26"/>
      <c r="DV156" s="26"/>
      <c r="DW156" s="27"/>
      <c r="DX156" s="28"/>
      <c r="DY156" s="28"/>
      <c r="DZ156" s="28"/>
      <c r="EA156" s="28"/>
      <c r="EB156" s="29"/>
      <c r="EC156" s="30"/>
      <c r="ED156" s="30"/>
      <c r="EE156" s="30"/>
      <c r="EF156" s="30"/>
      <c r="EG156" s="31"/>
      <c r="EH156" s="32"/>
      <c r="EI156" s="32"/>
      <c r="EJ156" s="32"/>
      <c r="EK156" s="32"/>
      <c r="EL156" s="29"/>
      <c r="EM156" s="30"/>
      <c r="EN156" s="30"/>
      <c r="EO156" s="30"/>
      <c r="EP156" s="30"/>
      <c r="EQ156" s="31"/>
      <c r="ER156" s="32"/>
      <c r="ES156" s="32"/>
      <c r="ET156" s="32"/>
      <c r="EU156" s="32"/>
      <c r="EV156" s="29"/>
      <c r="EW156" s="30"/>
      <c r="EX156" s="30"/>
      <c r="EY156" s="30"/>
      <c r="EZ156" s="30"/>
      <c r="FA156" s="31"/>
      <c r="FB156" s="32"/>
      <c r="FC156" s="32"/>
      <c r="FD156" s="32"/>
      <c r="FE156" s="32"/>
      <c r="FF156" s="29"/>
      <c r="FG156" s="30"/>
      <c r="FH156" s="30"/>
      <c r="FI156" s="30"/>
      <c r="FJ156" s="30"/>
      <c r="FK156" s="31"/>
      <c r="FL156" s="32"/>
      <c r="FM156" s="32"/>
      <c r="FN156" s="32"/>
      <c r="FO156" s="32"/>
      <c r="FP156" s="29"/>
      <c r="FQ156" s="30"/>
      <c r="FR156" s="30"/>
      <c r="FS156" s="30"/>
      <c r="FT156" s="30"/>
      <c r="FU156" s="31"/>
      <c r="FV156" s="32"/>
      <c r="FW156" s="32"/>
      <c r="FX156" s="32"/>
      <c r="FY156" s="32"/>
      <c r="FZ156" s="29"/>
      <c r="GA156" s="30"/>
      <c r="GB156" s="30"/>
      <c r="GC156" s="30"/>
      <c r="GD156" s="30"/>
    </row>
    <row r="157" spans="1:186" ht="48" x14ac:dyDescent="0.25">
      <c r="A157" s="156">
        <v>148</v>
      </c>
      <c r="B157" s="395">
        <f>'Tier 3 Intervention'!B599</f>
        <v>0</v>
      </c>
      <c r="C157" s="395"/>
      <c r="D157" s="395"/>
      <c r="E157" s="395"/>
      <c r="F157" s="395"/>
      <c r="G157" s="395"/>
      <c r="H157" s="761" t="e">
        <f>'Tier 3 Intervention'!AA599+30</f>
        <v>#VALUE!</v>
      </c>
      <c r="I157" s="761"/>
      <c r="J157" s="762" t="e">
        <f t="shared" si="3"/>
        <v>#VALUE!</v>
      </c>
      <c r="K157" s="395"/>
      <c r="L157" s="47" t="s">
        <v>934</v>
      </c>
      <c r="M157" s="46"/>
      <c r="N157" s="46"/>
      <c r="O157" s="46"/>
      <c r="P157" s="49"/>
      <c r="Q157" s="19"/>
      <c r="R157" s="20"/>
      <c r="S157" s="20"/>
      <c r="T157" s="20"/>
      <c r="U157" s="20"/>
      <c r="V157" s="21"/>
      <c r="W157" s="22"/>
      <c r="X157" s="22"/>
      <c r="Y157" s="22"/>
      <c r="Z157" s="22"/>
      <c r="AA157" s="19"/>
      <c r="AB157" s="20"/>
      <c r="AC157" s="20"/>
      <c r="AD157" s="20"/>
      <c r="AE157" s="20"/>
      <c r="AF157" s="21"/>
      <c r="AG157" s="22"/>
      <c r="AH157" s="22"/>
      <c r="AI157" s="22"/>
      <c r="AJ157" s="22"/>
      <c r="AK157" s="19"/>
      <c r="AL157" s="20"/>
      <c r="AM157" s="20"/>
      <c r="AN157" s="20"/>
      <c r="AO157" s="20"/>
      <c r="AP157" s="21"/>
      <c r="AQ157" s="22"/>
      <c r="AR157" s="22"/>
      <c r="AS157" s="22"/>
      <c r="AT157" s="22"/>
      <c r="AU157" s="19"/>
      <c r="AV157" s="20"/>
      <c r="AW157" s="20"/>
      <c r="AX157" s="20"/>
      <c r="AY157" s="20"/>
      <c r="AZ157" s="21"/>
      <c r="BA157" s="22"/>
      <c r="BB157" s="22"/>
      <c r="BC157" s="22"/>
      <c r="BD157" s="22"/>
      <c r="BE157" s="19"/>
      <c r="BF157" s="20"/>
      <c r="BG157" s="20"/>
      <c r="BH157" s="20"/>
      <c r="BI157" s="20"/>
      <c r="BJ157" s="21"/>
      <c r="BK157" s="22"/>
      <c r="BL157" s="22"/>
      <c r="BM157" s="22"/>
      <c r="BN157" s="22"/>
      <c r="BO157" s="19"/>
      <c r="BP157" s="20"/>
      <c r="BQ157" s="20"/>
      <c r="BR157" s="20"/>
      <c r="BS157" s="20"/>
      <c r="BT157" s="21"/>
      <c r="BU157" s="22"/>
      <c r="BV157" s="22"/>
      <c r="BW157" s="22"/>
      <c r="BX157" s="22"/>
      <c r="BY157" s="23"/>
      <c r="BZ157" s="24"/>
      <c r="CA157" s="24"/>
      <c r="CB157" s="24"/>
      <c r="CC157" s="24"/>
      <c r="CD157" s="25"/>
      <c r="CE157" s="26"/>
      <c r="CF157" s="26"/>
      <c r="CG157" s="26"/>
      <c r="CH157" s="26"/>
      <c r="CI157" s="27"/>
      <c r="CJ157" s="28"/>
      <c r="CK157" s="28"/>
      <c r="CL157" s="28"/>
      <c r="CM157" s="28"/>
      <c r="CN157" s="25"/>
      <c r="CO157" s="26"/>
      <c r="CP157" s="26"/>
      <c r="CQ157" s="26"/>
      <c r="CR157" s="26"/>
      <c r="CS157" s="27"/>
      <c r="CT157" s="28"/>
      <c r="CU157" s="28"/>
      <c r="CV157" s="28"/>
      <c r="CW157" s="28"/>
      <c r="CX157" s="25"/>
      <c r="CY157" s="26"/>
      <c r="CZ157" s="26"/>
      <c r="DA157" s="26"/>
      <c r="DB157" s="26"/>
      <c r="DC157" s="27"/>
      <c r="DD157" s="28"/>
      <c r="DE157" s="28"/>
      <c r="DF157" s="28"/>
      <c r="DG157" s="28"/>
      <c r="DH157" s="25"/>
      <c r="DI157" s="26"/>
      <c r="DJ157" s="26"/>
      <c r="DK157" s="26"/>
      <c r="DL157" s="26"/>
      <c r="DM157" s="27"/>
      <c r="DN157" s="28"/>
      <c r="DO157" s="28"/>
      <c r="DP157" s="28"/>
      <c r="DQ157" s="28"/>
      <c r="DR157" s="25"/>
      <c r="DS157" s="26"/>
      <c r="DT157" s="26"/>
      <c r="DU157" s="26"/>
      <c r="DV157" s="26"/>
      <c r="DW157" s="27"/>
      <c r="DX157" s="28"/>
      <c r="DY157" s="28"/>
      <c r="DZ157" s="28"/>
      <c r="EA157" s="28"/>
      <c r="EB157" s="29"/>
      <c r="EC157" s="30"/>
      <c r="ED157" s="30"/>
      <c r="EE157" s="30"/>
      <c r="EF157" s="30"/>
      <c r="EG157" s="31"/>
      <c r="EH157" s="32"/>
      <c r="EI157" s="32"/>
      <c r="EJ157" s="32"/>
      <c r="EK157" s="32"/>
      <c r="EL157" s="29"/>
      <c r="EM157" s="30"/>
      <c r="EN157" s="30"/>
      <c r="EO157" s="30"/>
      <c r="EP157" s="30"/>
      <c r="EQ157" s="31"/>
      <c r="ER157" s="32"/>
      <c r="ES157" s="32"/>
      <c r="ET157" s="32"/>
      <c r="EU157" s="32"/>
      <c r="EV157" s="29"/>
      <c r="EW157" s="30"/>
      <c r="EX157" s="30"/>
      <c r="EY157" s="30"/>
      <c r="EZ157" s="30"/>
      <c r="FA157" s="31"/>
      <c r="FB157" s="32"/>
      <c r="FC157" s="32"/>
      <c r="FD157" s="32"/>
      <c r="FE157" s="32"/>
      <c r="FF157" s="29"/>
      <c r="FG157" s="30"/>
      <c r="FH157" s="30"/>
      <c r="FI157" s="30"/>
      <c r="FJ157" s="30"/>
      <c r="FK157" s="31"/>
      <c r="FL157" s="32"/>
      <c r="FM157" s="32"/>
      <c r="FN157" s="32"/>
      <c r="FO157" s="32"/>
      <c r="FP157" s="29"/>
      <c r="FQ157" s="30"/>
      <c r="FR157" s="30"/>
      <c r="FS157" s="30"/>
      <c r="FT157" s="30"/>
      <c r="FU157" s="31"/>
      <c r="FV157" s="32"/>
      <c r="FW157" s="32"/>
      <c r="FX157" s="32"/>
      <c r="FY157" s="32"/>
      <c r="FZ157" s="29"/>
      <c r="GA157" s="30"/>
      <c r="GB157" s="30"/>
      <c r="GC157" s="30"/>
      <c r="GD157" s="30"/>
    </row>
    <row r="158" spans="1:186" ht="48" x14ac:dyDescent="0.25">
      <c r="A158" s="156">
        <v>149</v>
      </c>
      <c r="B158" s="395">
        <f>'Tier 3 Intervention'!B603</f>
        <v>0</v>
      </c>
      <c r="C158" s="395"/>
      <c r="D158" s="395"/>
      <c r="E158" s="395"/>
      <c r="F158" s="395"/>
      <c r="G158" s="395"/>
      <c r="H158" s="761" t="e">
        <f>'Tier 3 Intervention'!AA603+30</f>
        <v>#VALUE!</v>
      </c>
      <c r="I158" s="761"/>
      <c r="J158" s="762" t="e">
        <f t="shared" si="3"/>
        <v>#VALUE!</v>
      </c>
      <c r="K158" s="395"/>
      <c r="L158" s="47" t="s">
        <v>935</v>
      </c>
      <c r="M158" s="46"/>
      <c r="N158" s="46"/>
      <c r="O158" s="46"/>
      <c r="P158" s="49"/>
      <c r="Q158" s="19"/>
      <c r="R158" s="20"/>
      <c r="S158" s="20"/>
      <c r="T158" s="20"/>
      <c r="U158" s="20"/>
      <c r="V158" s="21"/>
      <c r="W158" s="22"/>
      <c r="X158" s="22"/>
      <c r="Y158" s="22"/>
      <c r="Z158" s="22"/>
      <c r="AA158" s="19"/>
      <c r="AB158" s="20"/>
      <c r="AC158" s="20"/>
      <c r="AD158" s="20"/>
      <c r="AE158" s="20"/>
      <c r="AF158" s="21"/>
      <c r="AG158" s="22"/>
      <c r="AH158" s="22"/>
      <c r="AI158" s="22"/>
      <c r="AJ158" s="22"/>
      <c r="AK158" s="19"/>
      <c r="AL158" s="20"/>
      <c r="AM158" s="20"/>
      <c r="AN158" s="20"/>
      <c r="AO158" s="20"/>
      <c r="AP158" s="21"/>
      <c r="AQ158" s="22"/>
      <c r="AR158" s="22"/>
      <c r="AS158" s="22"/>
      <c r="AT158" s="22"/>
      <c r="AU158" s="19"/>
      <c r="AV158" s="20"/>
      <c r="AW158" s="20"/>
      <c r="AX158" s="20"/>
      <c r="AY158" s="20"/>
      <c r="AZ158" s="21"/>
      <c r="BA158" s="22"/>
      <c r="BB158" s="22"/>
      <c r="BC158" s="22"/>
      <c r="BD158" s="22"/>
      <c r="BE158" s="19"/>
      <c r="BF158" s="20"/>
      <c r="BG158" s="20"/>
      <c r="BH158" s="20"/>
      <c r="BI158" s="20"/>
      <c r="BJ158" s="21"/>
      <c r="BK158" s="22"/>
      <c r="BL158" s="22"/>
      <c r="BM158" s="22"/>
      <c r="BN158" s="22"/>
      <c r="BO158" s="19"/>
      <c r="BP158" s="20"/>
      <c r="BQ158" s="20"/>
      <c r="BR158" s="20"/>
      <c r="BS158" s="20"/>
      <c r="BT158" s="21"/>
      <c r="BU158" s="22"/>
      <c r="BV158" s="22"/>
      <c r="BW158" s="22"/>
      <c r="BX158" s="22"/>
      <c r="BY158" s="23"/>
      <c r="BZ158" s="24"/>
      <c r="CA158" s="24"/>
      <c r="CB158" s="24"/>
      <c r="CC158" s="24"/>
      <c r="CD158" s="25"/>
      <c r="CE158" s="26"/>
      <c r="CF158" s="26"/>
      <c r="CG158" s="26"/>
      <c r="CH158" s="26"/>
      <c r="CI158" s="27"/>
      <c r="CJ158" s="28"/>
      <c r="CK158" s="28"/>
      <c r="CL158" s="28"/>
      <c r="CM158" s="28"/>
      <c r="CN158" s="25"/>
      <c r="CO158" s="26"/>
      <c r="CP158" s="26"/>
      <c r="CQ158" s="26"/>
      <c r="CR158" s="26"/>
      <c r="CS158" s="27"/>
      <c r="CT158" s="28"/>
      <c r="CU158" s="28"/>
      <c r="CV158" s="28"/>
      <c r="CW158" s="28"/>
      <c r="CX158" s="25"/>
      <c r="CY158" s="26"/>
      <c r="CZ158" s="26"/>
      <c r="DA158" s="26"/>
      <c r="DB158" s="26"/>
      <c r="DC158" s="27"/>
      <c r="DD158" s="28"/>
      <c r="DE158" s="28"/>
      <c r="DF158" s="28"/>
      <c r="DG158" s="28"/>
      <c r="DH158" s="25"/>
      <c r="DI158" s="26"/>
      <c r="DJ158" s="26"/>
      <c r="DK158" s="26"/>
      <c r="DL158" s="26"/>
      <c r="DM158" s="27"/>
      <c r="DN158" s="28"/>
      <c r="DO158" s="28"/>
      <c r="DP158" s="28"/>
      <c r="DQ158" s="28"/>
      <c r="DR158" s="25"/>
      <c r="DS158" s="26"/>
      <c r="DT158" s="26"/>
      <c r="DU158" s="26"/>
      <c r="DV158" s="26"/>
      <c r="DW158" s="27"/>
      <c r="DX158" s="28"/>
      <c r="DY158" s="28"/>
      <c r="DZ158" s="28"/>
      <c r="EA158" s="28"/>
      <c r="EB158" s="29"/>
      <c r="EC158" s="30"/>
      <c r="ED158" s="30"/>
      <c r="EE158" s="30"/>
      <c r="EF158" s="30"/>
      <c r="EG158" s="31"/>
      <c r="EH158" s="32"/>
      <c r="EI158" s="32"/>
      <c r="EJ158" s="32"/>
      <c r="EK158" s="32"/>
      <c r="EL158" s="29"/>
      <c r="EM158" s="30"/>
      <c r="EN158" s="30"/>
      <c r="EO158" s="30"/>
      <c r="EP158" s="30"/>
      <c r="EQ158" s="31"/>
      <c r="ER158" s="32"/>
      <c r="ES158" s="32"/>
      <c r="ET158" s="32"/>
      <c r="EU158" s="32"/>
      <c r="EV158" s="29"/>
      <c r="EW158" s="30"/>
      <c r="EX158" s="30"/>
      <c r="EY158" s="30"/>
      <c r="EZ158" s="30"/>
      <c r="FA158" s="31"/>
      <c r="FB158" s="32"/>
      <c r="FC158" s="32"/>
      <c r="FD158" s="32"/>
      <c r="FE158" s="32"/>
      <c r="FF158" s="29"/>
      <c r="FG158" s="30"/>
      <c r="FH158" s="30"/>
      <c r="FI158" s="30"/>
      <c r="FJ158" s="30"/>
      <c r="FK158" s="31"/>
      <c r="FL158" s="32"/>
      <c r="FM158" s="32"/>
      <c r="FN158" s="32"/>
      <c r="FO158" s="32"/>
      <c r="FP158" s="29"/>
      <c r="FQ158" s="30"/>
      <c r="FR158" s="30"/>
      <c r="FS158" s="30"/>
      <c r="FT158" s="30"/>
      <c r="FU158" s="31"/>
      <c r="FV158" s="32"/>
      <c r="FW158" s="32"/>
      <c r="FX158" s="32"/>
      <c r="FY158" s="32"/>
      <c r="FZ158" s="29"/>
      <c r="GA158" s="30"/>
      <c r="GB158" s="30"/>
      <c r="GC158" s="30"/>
      <c r="GD158" s="30"/>
    </row>
    <row r="159" spans="1:186" ht="48" x14ac:dyDescent="0.25">
      <c r="A159" s="156">
        <v>150</v>
      </c>
      <c r="B159" s="395">
        <f>'Tier 3 Intervention'!B607</f>
        <v>0</v>
      </c>
      <c r="C159" s="395"/>
      <c r="D159" s="395"/>
      <c r="E159" s="395"/>
      <c r="F159" s="395"/>
      <c r="G159" s="395"/>
      <c r="H159" s="761" t="e">
        <f>'Tier 3 Intervention'!AA607+30</f>
        <v>#VALUE!</v>
      </c>
      <c r="I159" s="761"/>
      <c r="J159" s="762" t="e">
        <f t="shared" si="3"/>
        <v>#VALUE!</v>
      </c>
      <c r="K159" s="395"/>
      <c r="L159" s="47" t="s">
        <v>936</v>
      </c>
      <c r="M159" s="46"/>
      <c r="N159" s="46"/>
      <c r="O159" s="46"/>
      <c r="P159" s="49"/>
      <c r="Q159" s="19"/>
      <c r="R159" s="20"/>
      <c r="S159" s="20"/>
      <c r="T159" s="20"/>
      <c r="U159" s="20"/>
      <c r="V159" s="21"/>
      <c r="W159" s="22"/>
      <c r="X159" s="22"/>
      <c r="Y159" s="22"/>
      <c r="Z159" s="22"/>
      <c r="AA159" s="19"/>
      <c r="AB159" s="20"/>
      <c r="AC159" s="20"/>
      <c r="AD159" s="20"/>
      <c r="AE159" s="20"/>
      <c r="AF159" s="21"/>
      <c r="AG159" s="22"/>
      <c r="AH159" s="22"/>
      <c r="AI159" s="22"/>
      <c r="AJ159" s="22"/>
      <c r="AK159" s="19"/>
      <c r="AL159" s="20"/>
      <c r="AM159" s="20"/>
      <c r="AN159" s="20"/>
      <c r="AO159" s="20"/>
      <c r="AP159" s="21"/>
      <c r="AQ159" s="22"/>
      <c r="AR159" s="22"/>
      <c r="AS159" s="22"/>
      <c r="AT159" s="22"/>
      <c r="AU159" s="19"/>
      <c r="AV159" s="20"/>
      <c r="AW159" s="20"/>
      <c r="AX159" s="20"/>
      <c r="AY159" s="20"/>
      <c r="AZ159" s="21"/>
      <c r="BA159" s="22"/>
      <c r="BB159" s="22"/>
      <c r="BC159" s="22"/>
      <c r="BD159" s="22"/>
      <c r="BE159" s="19"/>
      <c r="BF159" s="20"/>
      <c r="BG159" s="20"/>
      <c r="BH159" s="20"/>
      <c r="BI159" s="20"/>
      <c r="BJ159" s="21"/>
      <c r="BK159" s="22"/>
      <c r="BL159" s="22"/>
      <c r="BM159" s="22"/>
      <c r="BN159" s="22"/>
      <c r="BO159" s="19"/>
      <c r="BP159" s="20"/>
      <c r="BQ159" s="20"/>
      <c r="BR159" s="20"/>
      <c r="BS159" s="20"/>
      <c r="BT159" s="21"/>
      <c r="BU159" s="22"/>
      <c r="BV159" s="22"/>
      <c r="BW159" s="22"/>
      <c r="BX159" s="22"/>
      <c r="BY159" s="23"/>
      <c r="BZ159" s="24"/>
      <c r="CA159" s="24"/>
      <c r="CB159" s="24"/>
      <c r="CC159" s="24"/>
      <c r="CD159" s="25"/>
      <c r="CE159" s="26"/>
      <c r="CF159" s="26"/>
      <c r="CG159" s="26"/>
      <c r="CH159" s="26"/>
      <c r="CI159" s="27"/>
      <c r="CJ159" s="28"/>
      <c r="CK159" s="28"/>
      <c r="CL159" s="28"/>
      <c r="CM159" s="28"/>
      <c r="CN159" s="25"/>
      <c r="CO159" s="26"/>
      <c r="CP159" s="26"/>
      <c r="CQ159" s="26"/>
      <c r="CR159" s="26"/>
      <c r="CS159" s="27"/>
      <c r="CT159" s="28"/>
      <c r="CU159" s="28"/>
      <c r="CV159" s="28"/>
      <c r="CW159" s="28"/>
      <c r="CX159" s="25"/>
      <c r="CY159" s="26"/>
      <c r="CZ159" s="26"/>
      <c r="DA159" s="26"/>
      <c r="DB159" s="26"/>
      <c r="DC159" s="27"/>
      <c r="DD159" s="28"/>
      <c r="DE159" s="28"/>
      <c r="DF159" s="28"/>
      <c r="DG159" s="28"/>
      <c r="DH159" s="25"/>
      <c r="DI159" s="26"/>
      <c r="DJ159" s="26"/>
      <c r="DK159" s="26"/>
      <c r="DL159" s="26"/>
      <c r="DM159" s="27"/>
      <c r="DN159" s="28"/>
      <c r="DO159" s="28"/>
      <c r="DP159" s="28"/>
      <c r="DQ159" s="28"/>
      <c r="DR159" s="25"/>
      <c r="DS159" s="26"/>
      <c r="DT159" s="26"/>
      <c r="DU159" s="26"/>
      <c r="DV159" s="26"/>
      <c r="DW159" s="27"/>
      <c r="DX159" s="28"/>
      <c r="DY159" s="28"/>
      <c r="DZ159" s="28"/>
      <c r="EA159" s="28"/>
      <c r="EB159" s="29"/>
      <c r="EC159" s="30"/>
      <c r="ED159" s="30"/>
      <c r="EE159" s="30"/>
      <c r="EF159" s="30"/>
      <c r="EG159" s="31"/>
      <c r="EH159" s="32"/>
      <c r="EI159" s="32"/>
      <c r="EJ159" s="32"/>
      <c r="EK159" s="32"/>
      <c r="EL159" s="29"/>
      <c r="EM159" s="30"/>
      <c r="EN159" s="30"/>
      <c r="EO159" s="30"/>
      <c r="EP159" s="30"/>
      <c r="EQ159" s="31"/>
      <c r="ER159" s="32"/>
      <c r="ES159" s="32"/>
      <c r="ET159" s="32"/>
      <c r="EU159" s="32"/>
      <c r="EV159" s="29"/>
      <c r="EW159" s="30"/>
      <c r="EX159" s="30"/>
      <c r="EY159" s="30"/>
      <c r="EZ159" s="30"/>
      <c r="FA159" s="31"/>
      <c r="FB159" s="32"/>
      <c r="FC159" s="32"/>
      <c r="FD159" s="32"/>
      <c r="FE159" s="32"/>
      <c r="FF159" s="29"/>
      <c r="FG159" s="30"/>
      <c r="FH159" s="30"/>
      <c r="FI159" s="30"/>
      <c r="FJ159" s="30"/>
      <c r="FK159" s="31"/>
      <c r="FL159" s="32"/>
      <c r="FM159" s="32"/>
      <c r="FN159" s="32"/>
      <c r="FO159" s="32"/>
      <c r="FP159" s="29"/>
      <c r="FQ159" s="30"/>
      <c r="FR159" s="30"/>
      <c r="FS159" s="30"/>
      <c r="FT159" s="30"/>
      <c r="FU159" s="31"/>
      <c r="FV159" s="32"/>
      <c r="FW159" s="32"/>
      <c r="FX159" s="32"/>
      <c r="FY159" s="32"/>
      <c r="FZ159" s="29"/>
      <c r="GA159" s="30"/>
      <c r="GB159" s="30"/>
      <c r="GC159" s="30"/>
      <c r="GD159" s="30"/>
    </row>
    <row r="160" spans="1:186" ht="48" x14ac:dyDescent="0.25">
      <c r="A160" s="156">
        <v>151</v>
      </c>
      <c r="B160" s="395">
        <f>'Tier 3 Intervention'!B611</f>
        <v>0</v>
      </c>
      <c r="C160" s="395"/>
      <c r="D160" s="395"/>
      <c r="E160" s="395"/>
      <c r="F160" s="395"/>
      <c r="G160" s="395"/>
      <c r="H160" s="761" t="e">
        <f>'Tier 3 Intervention'!AA611+30</f>
        <v>#VALUE!</v>
      </c>
      <c r="I160" s="761"/>
      <c r="J160" s="762" t="e">
        <f t="shared" si="3"/>
        <v>#VALUE!</v>
      </c>
      <c r="K160" s="395"/>
      <c r="L160" s="47" t="s">
        <v>937</v>
      </c>
      <c r="M160" s="46"/>
      <c r="N160" s="46"/>
      <c r="O160" s="46"/>
      <c r="P160" s="49"/>
      <c r="Q160" s="19"/>
      <c r="R160" s="20"/>
      <c r="S160" s="20"/>
      <c r="T160" s="20"/>
      <c r="U160" s="20"/>
      <c r="V160" s="21"/>
      <c r="W160" s="22"/>
      <c r="X160" s="22"/>
      <c r="Y160" s="22"/>
      <c r="Z160" s="22"/>
      <c r="AA160" s="19"/>
      <c r="AB160" s="20"/>
      <c r="AC160" s="20"/>
      <c r="AD160" s="20"/>
      <c r="AE160" s="20"/>
      <c r="AF160" s="21"/>
      <c r="AG160" s="22"/>
      <c r="AH160" s="22"/>
      <c r="AI160" s="22"/>
      <c r="AJ160" s="22"/>
      <c r="AK160" s="19"/>
      <c r="AL160" s="20"/>
      <c r="AM160" s="20"/>
      <c r="AN160" s="20"/>
      <c r="AO160" s="20"/>
      <c r="AP160" s="21"/>
      <c r="AQ160" s="22"/>
      <c r="AR160" s="22"/>
      <c r="AS160" s="22"/>
      <c r="AT160" s="22"/>
      <c r="AU160" s="19"/>
      <c r="AV160" s="20"/>
      <c r="AW160" s="20"/>
      <c r="AX160" s="20"/>
      <c r="AY160" s="20"/>
      <c r="AZ160" s="21"/>
      <c r="BA160" s="22"/>
      <c r="BB160" s="22"/>
      <c r="BC160" s="22"/>
      <c r="BD160" s="22"/>
      <c r="BE160" s="19"/>
      <c r="BF160" s="20"/>
      <c r="BG160" s="20"/>
      <c r="BH160" s="20"/>
      <c r="BI160" s="20"/>
      <c r="BJ160" s="21"/>
      <c r="BK160" s="22"/>
      <c r="BL160" s="22"/>
      <c r="BM160" s="22"/>
      <c r="BN160" s="22"/>
      <c r="BO160" s="19"/>
      <c r="BP160" s="20"/>
      <c r="BQ160" s="20"/>
      <c r="BR160" s="20"/>
      <c r="BS160" s="20"/>
      <c r="BT160" s="21"/>
      <c r="BU160" s="22"/>
      <c r="BV160" s="22"/>
      <c r="BW160" s="22"/>
      <c r="BX160" s="22"/>
      <c r="BY160" s="23"/>
      <c r="BZ160" s="24"/>
      <c r="CA160" s="24"/>
      <c r="CB160" s="24"/>
      <c r="CC160" s="24"/>
      <c r="CD160" s="25"/>
      <c r="CE160" s="26"/>
      <c r="CF160" s="26"/>
      <c r="CG160" s="26"/>
      <c r="CH160" s="26"/>
      <c r="CI160" s="27"/>
      <c r="CJ160" s="28"/>
      <c r="CK160" s="28"/>
      <c r="CL160" s="28"/>
      <c r="CM160" s="28"/>
      <c r="CN160" s="25"/>
      <c r="CO160" s="26"/>
      <c r="CP160" s="26"/>
      <c r="CQ160" s="26"/>
      <c r="CR160" s="26"/>
      <c r="CS160" s="27"/>
      <c r="CT160" s="28"/>
      <c r="CU160" s="28"/>
      <c r="CV160" s="28"/>
      <c r="CW160" s="28"/>
      <c r="CX160" s="25"/>
      <c r="CY160" s="26"/>
      <c r="CZ160" s="26"/>
      <c r="DA160" s="26"/>
      <c r="DB160" s="26"/>
      <c r="DC160" s="27"/>
      <c r="DD160" s="28"/>
      <c r="DE160" s="28"/>
      <c r="DF160" s="28"/>
      <c r="DG160" s="28"/>
      <c r="DH160" s="25"/>
      <c r="DI160" s="26"/>
      <c r="DJ160" s="26"/>
      <c r="DK160" s="26"/>
      <c r="DL160" s="26"/>
      <c r="DM160" s="27"/>
      <c r="DN160" s="28"/>
      <c r="DO160" s="28"/>
      <c r="DP160" s="28"/>
      <c r="DQ160" s="28"/>
      <c r="DR160" s="25"/>
      <c r="DS160" s="26"/>
      <c r="DT160" s="26"/>
      <c r="DU160" s="26"/>
      <c r="DV160" s="26"/>
      <c r="DW160" s="27"/>
      <c r="DX160" s="28"/>
      <c r="DY160" s="28"/>
      <c r="DZ160" s="28"/>
      <c r="EA160" s="28"/>
      <c r="EB160" s="29"/>
      <c r="EC160" s="30"/>
      <c r="ED160" s="30"/>
      <c r="EE160" s="30"/>
      <c r="EF160" s="30"/>
      <c r="EG160" s="31"/>
      <c r="EH160" s="32"/>
      <c r="EI160" s="32"/>
      <c r="EJ160" s="32"/>
      <c r="EK160" s="32"/>
      <c r="EL160" s="29"/>
      <c r="EM160" s="30"/>
      <c r="EN160" s="30"/>
      <c r="EO160" s="30"/>
      <c r="EP160" s="30"/>
      <c r="EQ160" s="31"/>
      <c r="ER160" s="32"/>
      <c r="ES160" s="32"/>
      <c r="ET160" s="32"/>
      <c r="EU160" s="32"/>
      <c r="EV160" s="29"/>
      <c r="EW160" s="30"/>
      <c r="EX160" s="30"/>
      <c r="EY160" s="30"/>
      <c r="EZ160" s="30"/>
      <c r="FA160" s="31"/>
      <c r="FB160" s="32"/>
      <c r="FC160" s="32"/>
      <c r="FD160" s="32"/>
      <c r="FE160" s="32"/>
      <c r="FF160" s="29"/>
      <c r="FG160" s="30"/>
      <c r="FH160" s="30"/>
      <c r="FI160" s="30"/>
      <c r="FJ160" s="30"/>
      <c r="FK160" s="31"/>
      <c r="FL160" s="32"/>
      <c r="FM160" s="32"/>
      <c r="FN160" s="32"/>
      <c r="FO160" s="32"/>
      <c r="FP160" s="29"/>
      <c r="FQ160" s="30"/>
      <c r="FR160" s="30"/>
      <c r="FS160" s="30"/>
      <c r="FT160" s="30"/>
      <c r="FU160" s="31"/>
      <c r="FV160" s="32"/>
      <c r="FW160" s="32"/>
      <c r="FX160" s="32"/>
      <c r="FY160" s="32"/>
      <c r="FZ160" s="29"/>
      <c r="GA160" s="30"/>
      <c r="GB160" s="30"/>
      <c r="GC160" s="30"/>
      <c r="GD160" s="30"/>
    </row>
    <row r="161" spans="1:186" ht="48" x14ac:dyDescent="0.25">
      <c r="A161" s="156">
        <v>152</v>
      </c>
      <c r="B161" s="395">
        <f>'Tier 3 Intervention'!B615</f>
        <v>0</v>
      </c>
      <c r="C161" s="395"/>
      <c r="D161" s="395"/>
      <c r="E161" s="395"/>
      <c r="F161" s="395"/>
      <c r="G161" s="395"/>
      <c r="H161" s="761" t="e">
        <f>'Tier 3 Intervention'!AA615+30</f>
        <v>#VALUE!</v>
      </c>
      <c r="I161" s="761"/>
      <c r="J161" s="762" t="e">
        <f t="shared" si="3"/>
        <v>#VALUE!</v>
      </c>
      <c r="K161" s="395"/>
      <c r="L161" s="47" t="s">
        <v>938</v>
      </c>
      <c r="M161" s="46"/>
      <c r="N161" s="46"/>
      <c r="O161" s="46"/>
      <c r="P161" s="49"/>
      <c r="Q161" s="19"/>
      <c r="R161" s="20"/>
      <c r="S161" s="20"/>
      <c r="T161" s="20"/>
      <c r="U161" s="20"/>
      <c r="V161" s="21"/>
      <c r="W161" s="22"/>
      <c r="X161" s="22"/>
      <c r="Y161" s="22"/>
      <c r="Z161" s="22"/>
      <c r="AA161" s="19"/>
      <c r="AB161" s="20"/>
      <c r="AC161" s="20"/>
      <c r="AD161" s="20"/>
      <c r="AE161" s="20"/>
      <c r="AF161" s="21"/>
      <c r="AG161" s="22"/>
      <c r="AH161" s="22"/>
      <c r="AI161" s="22"/>
      <c r="AJ161" s="22"/>
      <c r="AK161" s="19"/>
      <c r="AL161" s="20"/>
      <c r="AM161" s="20"/>
      <c r="AN161" s="20"/>
      <c r="AO161" s="20"/>
      <c r="AP161" s="21"/>
      <c r="AQ161" s="22"/>
      <c r="AR161" s="22"/>
      <c r="AS161" s="22"/>
      <c r="AT161" s="22"/>
      <c r="AU161" s="19"/>
      <c r="AV161" s="20"/>
      <c r="AW161" s="20"/>
      <c r="AX161" s="20"/>
      <c r="AY161" s="20"/>
      <c r="AZ161" s="21"/>
      <c r="BA161" s="22"/>
      <c r="BB161" s="22"/>
      <c r="BC161" s="22"/>
      <c r="BD161" s="22"/>
      <c r="BE161" s="19"/>
      <c r="BF161" s="20"/>
      <c r="BG161" s="20"/>
      <c r="BH161" s="20"/>
      <c r="BI161" s="20"/>
      <c r="BJ161" s="21"/>
      <c r="BK161" s="22"/>
      <c r="BL161" s="22"/>
      <c r="BM161" s="22"/>
      <c r="BN161" s="22"/>
      <c r="BO161" s="19"/>
      <c r="BP161" s="20"/>
      <c r="BQ161" s="20"/>
      <c r="BR161" s="20"/>
      <c r="BS161" s="20"/>
      <c r="BT161" s="21"/>
      <c r="BU161" s="22"/>
      <c r="BV161" s="22"/>
      <c r="BW161" s="22"/>
      <c r="BX161" s="22"/>
      <c r="BY161" s="23"/>
      <c r="BZ161" s="24"/>
      <c r="CA161" s="24"/>
      <c r="CB161" s="24"/>
      <c r="CC161" s="24"/>
      <c r="CD161" s="25"/>
      <c r="CE161" s="26"/>
      <c r="CF161" s="26"/>
      <c r="CG161" s="26"/>
      <c r="CH161" s="26"/>
      <c r="CI161" s="27"/>
      <c r="CJ161" s="28"/>
      <c r="CK161" s="28"/>
      <c r="CL161" s="28"/>
      <c r="CM161" s="28"/>
      <c r="CN161" s="25"/>
      <c r="CO161" s="26"/>
      <c r="CP161" s="26"/>
      <c r="CQ161" s="26"/>
      <c r="CR161" s="26"/>
      <c r="CS161" s="27"/>
      <c r="CT161" s="28"/>
      <c r="CU161" s="28"/>
      <c r="CV161" s="28"/>
      <c r="CW161" s="28"/>
      <c r="CX161" s="25"/>
      <c r="CY161" s="26"/>
      <c r="CZ161" s="26"/>
      <c r="DA161" s="26"/>
      <c r="DB161" s="26"/>
      <c r="DC161" s="27"/>
      <c r="DD161" s="28"/>
      <c r="DE161" s="28"/>
      <c r="DF161" s="28"/>
      <c r="DG161" s="28"/>
      <c r="DH161" s="25"/>
      <c r="DI161" s="26"/>
      <c r="DJ161" s="26"/>
      <c r="DK161" s="26"/>
      <c r="DL161" s="26"/>
      <c r="DM161" s="27"/>
      <c r="DN161" s="28"/>
      <c r="DO161" s="28"/>
      <c r="DP161" s="28"/>
      <c r="DQ161" s="28"/>
      <c r="DR161" s="25"/>
      <c r="DS161" s="26"/>
      <c r="DT161" s="26"/>
      <c r="DU161" s="26"/>
      <c r="DV161" s="26"/>
      <c r="DW161" s="27"/>
      <c r="DX161" s="28"/>
      <c r="DY161" s="28"/>
      <c r="DZ161" s="28"/>
      <c r="EA161" s="28"/>
      <c r="EB161" s="29"/>
      <c r="EC161" s="30"/>
      <c r="ED161" s="30"/>
      <c r="EE161" s="30"/>
      <c r="EF161" s="30"/>
      <c r="EG161" s="31"/>
      <c r="EH161" s="32"/>
      <c r="EI161" s="32"/>
      <c r="EJ161" s="32"/>
      <c r="EK161" s="32"/>
      <c r="EL161" s="29"/>
      <c r="EM161" s="30"/>
      <c r="EN161" s="30"/>
      <c r="EO161" s="30"/>
      <c r="EP161" s="30"/>
      <c r="EQ161" s="31"/>
      <c r="ER161" s="32"/>
      <c r="ES161" s="32"/>
      <c r="ET161" s="32"/>
      <c r="EU161" s="32"/>
      <c r="EV161" s="29"/>
      <c r="EW161" s="30"/>
      <c r="EX161" s="30"/>
      <c r="EY161" s="30"/>
      <c r="EZ161" s="30"/>
      <c r="FA161" s="31"/>
      <c r="FB161" s="32"/>
      <c r="FC161" s="32"/>
      <c r="FD161" s="32"/>
      <c r="FE161" s="32"/>
      <c r="FF161" s="29"/>
      <c r="FG161" s="30"/>
      <c r="FH161" s="30"/>
      <c r="FI161" s="30"/>
      <c r="FJ161" s="30"/>
      <c r="FK161" s="31"/>
      <c r="FL161" s="32"/>
      <c r="FM161" s="32"/>
      <c r="FN161" s="32"/>
      <c r="FO161" s="32"/>
      <c r="FP161" s="29"/>
      <c r="FQ161" s="30"/>
      <c r="FR161" s="30"/>
      <c r="FS161" s="30"/>
      <c r="FT161" s="30"/>
      <c r="FU161" s="31"/>
      <c r="FV161" s="32"/>
      <c r="FW161" s="32"/>
      <c r="FX161" s="32"/>
      <c r="FY161" s="32"/>
      <c r="FZ161" s="29"/>
      <c r="GA161" s="30"/>
      <c r="GB161" s="30"/>
      <c r="GC161" s="30"/>
      <c r="GD161" s="30"/>
    </row>
    <row r="162" spans="1:186" ht="48" x14ac:dyDescent="0.25">
      <c r="A162" s="156">
        <v>153</v>
      </c>
      <c r="B162" s="395">
        <f>'Tier 3 Intervention'!B619</f>
        <v>0</v>
      </c>
      <c r="C162" s="395"/>
      <c r="D162" s="395"/>
      <c r="E162" s="395"/>
      <c r="F162" s="395"/>
      <c r="G162" s="395"/>
      <c r="H162" s="761" t="e">
        <f>'Tier 3 Intervention'!AA619+30</f>
        <v>#VALUE!</v>
      </c>
      <c r="I162" s="761"/>
      <c r="J162" s="762" t="e">
        <f t="shared" si="3"/>
        <v>#VALUE!</v>
      </c>
      <c r="K162" s="395"/>
      <c r="L162" s="47" t="s">
        <v>939</v>
      </c>
      <c r="M162" s="46"/>
      <c r="N162" s="46"/>
      <c r="O162" s="46"/>
      <c r="P162" s="49"/>
      <c r="Q162" s="19"/>
      <c r="R162" s="20"/>
      <c r="S162" s="20"/>
      <c r="T162" s="20"/>
      <c r="U162" s="20"/>
      <c r="V162" s="21"/>
      <c r="W162" s="22"/>
      <c r="X162" s="22"/>
      <c r="Y162" s="22"/>
      <c r="Z162" s="22"/>
      <c r="AA162" s="19"/>
      <c r="AB162" s="20"/>
      <c r="AC162" s="20"/>
      <c r="AD162" s="20"/>
      <c r="AE162" s="20"/>
      <c r="AF162" s="21"/>
      <c r="AG162" s="22"/>
      <c r="AH162" s="22"/>
      <c r="AI162" s="22"/>
      <c r="AJ162" s="22"/>
      <c r="AK162" s="19"/>
      <c r="AL162" s="20"/>
      <c r="AM162" s="20"/>
      <c r="AN162" s="20"/>
      <c r="AO162" s="20"/>
      <c r="AP162" s="21"/>
      <c r="AQ162" s="22"/>
      <c r="AR162" s="22"/>
      <c r="AS162" s="22"/>
      <c r="AT162" s="22"/>
      <c r="AU162" s="19"/>
      <c r="AV162" s="20"/>
      <c r="AW162" s="20"/>
      <c r="AX162" s="20"/>
      <c r="AY162" s="20"/>
      <c r="AZ162" s="21"/>
      <c r="BA162" s="22"/>
      <c r="BB162" s="22"/>
      <c r="BC162" s="22"/>
      <c r="BD162" s="22"/>
      <c r="BE162" s="19"/>
      <c r="BF162" s="20"/>
      <c r="BG162" s="20"/>
      <c r="BH162" s="20"/>
      <c r="BI162" s="20"/>
      <c r="BJ162" s="21"/>
      <c r="BK162" s="22"/>
      <c r="BL162" s="22"/>
      <c r="BM162" s="22"/>
      <c r="BN162" s="22"/>
      <c r="BO162" s="19"/>
      <c r="BP162" s="20"/>
      <c r="BQ162" s="20"/>
      <c r="BR162" s="20"/>
      <c r="BS162" s="20"/>
      <c r="BT162" s="21"/>
      <c r="BU162" s="22"/>
      <c r="BV162" s="22"/>
      <c r="BW162" s="22"/>
      <c r="BX162" s="22"/>
      <c r="BY162" s="23"/>
      <c r="BZ162" s="24"/>
      <c r="CA162" s="24"/>
      <c r="CB162" s="24"/>
      <c r="CC162" s="24"/>
      <c r="CD162" s="25"/>
      <c r="CE162" s="26"/>
      <c r="CF162" s="26"/>
      <c r="CG162" s="26"/>
      <c r="CH162" s="26"/>
      <c r="CI162" s="27"/>
      <c r="CJ162" s="28"/>
      <c r="CK162" s="28"/>
      <c r="CL162" s="28"/>
      <c r="CM162" s="28"/>
      <c r="CN162" s="25"/>
      <c r="CO162" s="26"/>
      <c r="CP162" s="26"/>
      <c r="CQ162" s="26"/>
      <c r="CR162" s="26"/>
      <c r="CS162" s="27"/>
      <c r="CT162" s="28"/>
      <c r="CU162" s="28"/>
      <c r="CV162" s="28"/>
      <c r="CW162" s="28"/>
      <c r="CX162" s="25"/>
      <c r="CY162" s="26"/>
      <c r="CZ162" s="26"/>
      <c r="DA162" s="26"/>
      <c r="DB162" s="26"/>
      <c r="DC162" s="27"/>
      <c r="DD162" s="28"/>
      <c r="DE162" s="28"/>
      <c r="DF162" s="28"/>
      <c r="DG162" s="28"/>
      <c r="DH162" s="25"/>
      <c r="DI162" s="26"/>
      <c r="DJ162" s="26"/>
      <c r="DK162" s="26"/>
      <c r="DL162" s="26"/>
      <c r="DM162" s="27"/>
      <c r="DN162" s="28"/>
      <c r="DO162" s="28"/>
      <c r="DP162" s="28"/>
      <c r="DQ162" s="28"/>
      <c r="DR162" s="25"/>
      <c r="DS162" s="26"/>
      <c r="DT162" s="26"/>
      <c r="DU162" s="26"/>
      <c r="DV162" s="26"/>
      <c r="DW162" s="27"/>
      <c r="DX162" s="28"/>
      <c r="DY162" s="28"/>
      <c r="DZ162" s="28"/>
      <c r="EA162" s="28"/>
      <c r="EB162" s="29"/>
      <c r="EC162" s="30"/>
      <c r="ED162" s="30"/>
      <c r="EE162" s="30"/>
      <c r="EF162" s="30"/>
      <c r="EG162" s="31"/>
      <c r="EH162" s="32"/>
      <c r="EI162" s="32"/>
      <c r="EJ162" s="32"/>
      <c r="EK162" s="32"/>
      <c r="EL162" s="29"/>
      <c r="EM162" s="30"/>
      <c r="EN162" s="30"/>
      <c r="EO162" s="30"/>
      <c r="EP162" s="30"/>
      <c r="EQ162" s="31"/>
      <c r="ER162" s="32"/>
      <c r="ES162" s="32"/>
      <c r="ET162" s="32"/>
      <c r="EU162" s="32"/>
      <c r="EV162" s="29"/>
      <c r="EW162" s="30"/>
      <c r="EX162" s="30"/>
      <c r="EY162" s="30"/>
      <c r="EZ162" s="30"/>
      <c r="FA162" s="31"/>
      <c r="FB162" s="32"/>
      <c r="FC162" s="32"/>
      <c r="FD162" s="32"/>
      <c r="FE162" s="32"/>
      <c r="FF162" s="29"/>
      <c r="FG162" s="30"/>
      <c r="FH162" s="30"/>
      <c r="FI162" s="30"/>
      <c r="FJ162" s="30"/>
      <c r="FK162" s="31"/>
      <c r="FL162" s="32"/>
      <c r="FM162" s="32"/>
      <c r="FN162" s="32"/>
      <c r="FO162" s="32"/>
      <c r="FP162" s="29"/>
      <c r="FQ162" s="30"/>
      <c r="FR162" s="30"/>
      <c r="FS162" s="30"/>
      <c r="FT162" s="30"/>
      <c r="FU162" s="31"/>
      <c r="FV162" s="32"/>
      <c r="FW162" s="32"/>
      <c r="FX162" s="32"/>
      <c r="FY162" s="32"/>
      <c r="FZ162" s="29"/>
      <c r="GA162" s="30"/>
      <c r="GB162" s="30"/>
      <c r="GC162" s="30"/>
      <c r="GD162" s="30"/>
    </row>
    <row r="163" spans="1:186" ht="48" x14ac:dyDescent="0.25">
      <c r="A163" s="156">
        <v>154</v>
      </c>
      <c r="B163" s="395">
        <f>'Tier 3 Intervention'!B623</f>
        <v>0</v>
      </c>
      <c r="C163" s="395"/>
      <c r="D163" s="395"/>
      <c r="E163" s="395"/>
      <c r="F163" s="395"/>
      <c r="G163" s="395"/>
      <c r="H163" s="761" t="e">
        <f>'Tier 3 Intervention'!AA623+30</f>
        <v>#VALUE!</v>
      </c>
      <c r="I163" s="761"/>
      <c r="J163" s="762" t="e">
        <f t="shared" si="3"/>
        <v>#VALUE!</v>
      </c>
      <c r="K163" s="395"/>
      <c r="L163" s="47" t="s">
        <v>940</v>
      </c>
      <c r="M163" s="46"/>
      <c r="N163" s="46"/>
      <c r="O163" s="46"/>
      <c r="P163" s="49"/>
      <c r="Q163" s="19"/>
      <c r="R163" s="20"/>
      <c r="S163" s="20"/>
      <c r="T163" s="20"/>
      <c r="U163" s="20"/>
      <c r="V163" s="21"/>
      <c r="W163" s="22"/>
      <c r="X163" s="22"/>
      <c r="Y163" s="22"/>
      <c r="Z163" s="22"/>
      <c r="AA163" s="19"/>
      <c r="AB163" s="20"/>
      <c r="AC163" s="20"/>
      <c r="AD163" s="20"/>
      <c r="AE163" s="20"/>
      <c r="AF163" s="21"/>
      <c r="AG163" s="22"/>
      <c r="AH163" s="22"/>
      <c r="AI163" s="22"/>
      <c r="AJ163" s="22"/>
      <c r="AK163" s="19"/>
      <c r="AL163" s="20"/>
      <c r="AM163" s="20"/>
      <c r="AN163" s="20"/>
      <c r="AO163" s="20"/>
      <c r="AP163" s="21"/>
      <c r="AQ163" s="22"/>
      <c r="AR163" s="22"/>
      <c r="AS163" s="22"/>
      <c r="AT163" s="22"/>
      <c r="AU163" s="19"/>
      <c r="AV163" s="20"/>
      <c r="AW163" s="20"/>
      <c r="AX163" s="20"/>
      <c r="AY163" s="20"/>
      <c r="AZ163" s="21"/>
      <c r="BA163" s="22"/>
      <c r="BB163" s="22"/>
      <c r="BC163" s="22"/>
      <c r="BD163" s="22"/>
      <c r="BE163" s="19"/>
      <c r="BF163" s="20"/>
      <c r="BG163" s="20"/>
      <c r="BH163" s="20"/>
      <c r="BI163" s="20"/>
      <c r="BJ163" s="21"/>
      <c r="BK163" s="22"/>
      <c r="BL163" s="22"/>
      <c r="BM163" s="22"/>
      <c r="BN163" s="22"/>
      <c r="BO163" s="19"/>
      <c r="BP163" s="20"/>
      <c r="BQ163" s="20"/>
      <c r="BR163" s="20"/>
      <c r="BS163" s="20"/>
      <c r="BT163" s="21"/>
      <c r="BU163" s="22"/>
      <c r="BV163" s="22"/>
      <c r="BW163" s="22"/>
      <c r="BX163" s="22"/>
      <c r="BY163" s="23"/>
      <c r="BZ163" s="24"/>
      <c r="CA163" s="24"/>
      <c r="CB163" s="24"/>
      <c r="CC163" s="24"/>
      <c r="CD163" s="25"/>
      <c r="CE163" s="26"/>
      <c r="CF163" s="26"/>
      <c r="CG163" s="26"/>
      <c r="CH163" s="26"/>
      <c r="CI163" s="27"/>
      <c r="CJ163" s="28"/>
      <c r="CK163" s="28"/>
      <c r="CL163" s="28"/>
      <c r="CM163" s="28"/>
      <c r="CN163" s="25"/>
      <c r="CO163" s="26"/>
      <c r="CP163" s="26"/>
      <c r="CQ163" s="26"/>
      <c r="CR163" s="26"/>
      <c r="CS163" s="27"/>
      <c r="CT163" s="28"/>
      <c r="CU163" s="28"/>
      <c r="CV163" s="28"/>
      <c r="CW163" s="28"/>
      <c r="CX163" s="25"/>
      <c r="CY163" s="26"/>
      <c r="CZ163" s="26"/>
      <c r="DA163" s="26"/>
      <c r="DB163" s="26"/>
      <c r="DC163" s="27"/>
      <c r="DD163" s="28"/>
      <c r="DE163" s="28"/>
      <c r="DF163" s="28"/>
      <c r="DG163" s="28"/>
      <c r="DH163" s="25"/>
      <c r="DI163" s="26"/>
      <c r="DJ163" s="26"/>
      <c r="DK163" s="26"/>
      <c r="DL163" s="26"/>
      <c r="DM163" s="27"/>
      <c r="DN163" s="28"/>
      <c r="DO163" s="28"/>
      <c r="DP163" s="28"/>
      <c r="DQ163" s="28"/>
      <c r="DR163" s="25"/>
      <c r="DS163" s="26"/>
      <c r="DT163" s="26"/>
      <c r="DU163" s="26"/>
      <c r="DV163" s="26"/>
      <c r="DW163" s="27"/>
      <c r="DX163" s="28"/>
      <c r="DY163" s="28"/>
      <c r="DZ163" s="28"/>
      <c r="EA163" s="28"/>
      <c r="EB163" s="29"/>
      <c r="EC163" s="30"/>
      <c r="ED163" s="30"/>
      <c r="EE163" s="30"/>
      <c r="EF163" s="30"/>
      <c r="EG163" s="31"/>
      <c r="EH163" s="32"/>
      <c r="EI163" s="32"/>
      <c r="EJ163" s="32"/>
      <c r="EK163" s="32"/>
      <c r="EL163" s="29"/>
      <c r="EM163" s="30"/>
      <c r="EN163" s="30"/>
      <c r="EO163" s="30"/>
      <c r="EP163" s="30"/>
      <c r="EQ163" s="31"/>
      <c r="ER163" s="32"/>
      <c r="ES163" s="32"/>
      <c r="ET163" s="32"/>
      <c r="EU163" s="32"/>
      <c r="EV163" s="29"/>
      <c r="EW163" s="30"/>
      <c r="EX163" s="30"/>
      <c r="EY163" s="30"/>
      <c r="EZ163" s="30"/>
      <c r="FA163" s="31"/>
      <c r="FB163" s="32"/>
      <c r="FC163" s="32"/>
      <c r="FD163" s="32"/>
      <c r="FE163" s="32"/>
      <c r="FF163" s="29"/>
      <c r="FG163" s="30"/>
      <c r="FH163" s="30"/>
      <c r="FI163" s="30"/>
      <c r="FJ163" s="30"/>
      <c r="FK163" s="31"/>
      <c r="FL163" s="32"/>
      <c r="FM163" s="32"/>
      <c r="FN163" s="32"/>
      <c r="FO163" s="32"/>
      <c r="FP163" s="29"/>
      <c r="FQ163" s="30"/>
      <c r="FR163" s="30"/>
      <c r="FS163" s="30"/>
      <c r="FT163" s="30"/>
      <c r="FU163" s="31"/>
      <c r="FV163" s="32"/>
      <c r="FW163" s="32"/>
      <c r="FX163" s="32"/>
      <c r="FY163" s="32"/>
      <c r="FZ163" s="29"/>
      <c r="GA163" s="30"/>
      <c r="GB163" s="30"/>
      <c r="GC163" s="30"/>
      <c r="GD163" s="30"/>
    </row>
    <row r="164" spans="1:186" ht="48" x14ac:dyDescent="0.25">
      <c r="A164" s="156">
        <v>155</v>
      </c>
      <c r="B164" s="395">
        <f>'Tier 3 Intervention'!B627</f>
        <v>0</v>
      </c>
      <c r="C164" s="395"/>
      <c r="D164" s="395"/>
      <c r="E164" s="395"/>
      <c r="F164" s="395"/>
      <c r="G164" s="395"/>
      <c r="H164" s="761" t="e">
        <f>'Tier 3 Intervention'!AA627+30</f>
        <v>#VALUE!</v>
      </c>
      <c r="I164" s="761"/>
      <c r="J164" s="762" t="e">
        <f t="shared" si="3"/>
        <v>#VALUE!</v>
      </c>
      <c r="K164" s="395"/>
      <c r="L164" s="47" t="s">
        <v>941</v>
      </c>
      <c r="M164" s="46"/>
      <c r="N164" s="46"/>
      <c r="O164" s="46"/>
      <c r="P164" s="49"/>
      <c r="Q164" s="19"/>
      <c r="R164" s="20"/>
      <c r="S164" s="20"/>
      <c r="T164" s="20"/>
      <c r="U164" s="20"/>
      <c r="V164" s="21"/>
      <c r="W164" s="22"/>
      <c r="X164" s="22"/>
      <c r="Y164" s="22"/>
      <c r="Z164" s="22"/>
      <c r="AA164" s="19"/>
      <c r="AB164" s="20"/>
      <c r="AC164" s="20"/>
      <c r="AD164" s="20"/>
      <c r="AE164" s="20"/>
      <c r="AF164" s="21"/>
      <c r="AG164" s="22"/>
      <c r="AH164" s="22"/>
      <c r="AI164" s="22"/>
      <c r="AJ164" s="22"/>
      <c r="AK164" s="19"/>
      <c r="AL164" s="20"/>
      <c r="AM164" s="20"/>
      <c r="AN164" s="20"/>
      <c r="AO164" s="20"/>
      <c r="AP164" s="21"/>
      <c r="AQ164" s="22"/>
      <c r="AR164" s="22"/>
      <c r="AS164" s="22"/>
      <c r="AT164" s="22"/>
      <c r="AU164" s="19"/>
      <c r="AV164" s="20"/>
      <c r="AW164" s="20"/>
      <c r="AX164" s="20"/>
      <c r="AY164" s="20"/>
      <c r="AZ164" s="21"/>
      <c r="BA164" s="22"/>
      <c r="BB164" s="22"/>
      <c r="BC164" s="22"/>
      <c r="BD164" s="22"/>
      <c r="BE164" s="19"/>
      <c r="BF164" s="20"/>
      <c r="BG164" s="20"/>
      <c r="BH164" s="20"/>
      <c r="BI164" s="20"/>
      <c r="BJ164" s="21"/>
      <c r="BK164" s="22"/>
      <c r="BL164" s="22"/>
      <c r="BM164" s="22"/>
      <c r="BN164" s="22"/>
      <c r="BO164" s="19"/>
      <c r="BP164" s="20"/>
      <c r="BQ164" s="20"/>
      <c r="BR164" s="20"/>
      <c r="BS164" s="20"/>
      <c r="BT164" s="21"/>
      <c r="BU164" s="22"/>
      <c r="BV164" s="22"/>
      <c r="BW164" s="22"/>
      <c r="BX164" s="22"/>
      <c r="BY164" s="23"/>
      <c r="BZ164" s="24"/>
      <c r="CA164" s="24"/>
      <c r="CB164" s="24"/>
      <c r="CC164" s="24"/>
      <c r="CD164" s="25"/>
      <c r="CE164" s="26"/>
      <c r="CF164" s="26"/>
      <c r="CG164" s="26"/>
      <c r="CH164" s="26"/>
      <c r="CI164" s="27"/>
      <c r="CJ164" s="28"/>
      <c r="CK164" s="28"/>
      <c r="CL164" s="28"/>
      <c r="CM164" s="28"/>
      <c r="CN164" s="25"/>
      <c r="CO164" s="26"/>
      <c r="CP164" s="26"/>
      <c r="CQ164" s="26"/>
      <c r="CR164" s="26"/>
      <c r="CS164" s="27"/>
      <c r="CT164" s="28"/>
      <c r="CU164" s="28"/>
      <c r="CV164" s="28"/>
      <c r="CW164" s="28"/>
      <c r="CX164" s="25"/>
      <c r="CY164" s="26"/>
      <c r="CZ164" s="26"/>
      <c r="DA164" s="26"/>
      <c r="DB164" s="26"/>
      <c r="DC164" s="27"/>
      <c r="DD164" s="28"/>
      <c r="DE164" s="28"/>
      <c r="DF164" s="28"/>
      <c r="DG164" s="28"/>
      <c r="DH164" s="25"/>
      <c r="DI164" s="26"/>
      <c r="DJ164" s="26"/>
      <c r="DK164" s="26"/>
      <c r="DL164" s="26"/>
      <c r="DM164" s="27"/>
      <c r="DN164" s="28"/>
      <c r="DO164" s="28"/>
      <c r="DP164" s="28"/>
      <c r="DQ164" s="28"/>
      <c r="DR164" s="25"/>
      <c r="DS164" s="26"/>
      <c r="DT164" s="26"/>
      <c r="DU164" s="26"/>
      <c r="DV164" s="26"/>
      <c r="DW164" s="27"/>
      <c r="DX164" s="28"/>
      <c r="DY164" s="28"/>
      <c r="DZ164" s="28"/>
      <c r="EA164" s="28"/>
      <c r="EB164" s="29"/>
      <c r="EC164" s="30"/>
      <c r="ED164" s="30"/>
      <c r="EE164" s="30"/>
      <c r="EF164" s="30"/>
      <c r="EG164" s="31"/>
      <c r="EH164" s="32"/>
      <c r="EI164" s="32"/>
      <c r="EJ164" s="32"/>
      <c r="EK164" s="32"/>
      <c r="EL164" s="29"/>
      <c r="EM164" s="30"/>
      <c r="EN164" s="30"/>
      <c r="EO164" s="30"/>
      <c r="EP164" s="30"/>
      <c r="EQ164" s="31"/>
      <c r="ER164" s="32"/>
      <c r="ES164" s="32"/>
      <c r="ET164" s="32"/>
      <c r="EU164" s="32"/>
      <c r="EV164" s="29"/>
      <c r="EW164" s="30"/>
      <c r="EX164" s="30"/>
      <c r="EY164" s="30"/>
      <c r="EZ164" s="30"/>
      <c r="FA164" s="31"/>
      <c r="FB164" s="32"/>
      <c r="FC164" s="32"/>
      <c r="FD164" s="32"/>
      <c r="FE164" s="32"/>
      <c r="FF164" s="29"/>
      <c r="FG164" s="30"/>
      <c r="FH164" s="30"/>
      <c r="FI164" s="30"/>
      <c r="FJ164" s="30"/>
      <c r="FK164" s="31"/>
      <c r="FL164" s="32"/>
      <c r="FM164" s="32"/>
      <c r="FN164" s="32"/>
      <c r="FO164" s="32"/>
      <c r="FP164" s="29"/>
      <c r="FQ164" s="30"/>
      <c r="FR164" s="30"/>
      <c r="FS164" s="30"/>
      <c r="FT164" s="30"/>
      <c r="FU164" s="31"/>
      <c r="FV164" s="32"/>
      <c r="FW164" s="32"/>
      <c r="FX164" s="32"/>
      <c r="FY164" s="32"/>
      <c r="FZ164" s="29"/>
      <c r="GA164" s="30"/>
      <c r="GB164" s="30"/>
      <c r="GC164" s="30"/>
      <c r="GD164" s="30"/>
    </row>
    <row r="165" spans="1:186" ht="48" x14ac:dyDescent="0.25">
      <c r="A165" s="156">
        <v>156</v>
      </c>
      <c r="B165" s="395">
        <f>'Tier 3 Intervention'!B631</f>
        <v>0</v>
      </c>
      <c r="C165" s="395"/>
      <c r="D165" s="395"/>
      <c r="E165" s="395"/>
      <c r="F165" s="395"/>
      <c r="G165" s="395"/>
      <c r="H165" s="761" t="e">
        <f>'Tier 3 Intervention'!AA631+30</f>
        <v>#VALUE!</v>
      </c>
      <c r="I165" s="761"/>
      <c r="J165" s="762" t="e">
        <f t="shared" si="3"/>
        <v>#VALUE!</v>
      </c>
      <c r="K165" s="395"/>
      <c r="L165" s="47" t="s">
        <v>942</v>
      </c>
      <c r="M165" s="46"/>
      <c r="N165" s="46"/>
      <c r="O165" s="46"/>
      <c r="P165" s="49"/>
      <c r="Q165" s="19"/>
      <c r="R165" s="20"/>
      <c r="S165" s="20"/>
      <c r="T165" s="20"/>
      <c r="U165" s="20"/>
      <c r="V165" s="21"/>
      <c r="W165" s="22"/>
      <c r="X165" s="22"/>
      <c r="Y165" s="22"/>
      <c r="Z165" s="22"/>
      <c r="AA165" s="19"/>
      <c r="AB165" s="20"/>
      <c r="AC165" s="20"/>
      <c r="AD165" s="20"/>
      <c r="AE165" s="20"/>
      <c r="AF165" s="21"/>
      <c r="AG165" s="22"/>
      <c r="AH165" s="22"/>
      <c r="AI165" s="22"/>
      <c r="AJ165" s="22"/>
      <c r="AK165" s="19"/>
      <c r="AL165" s="20"/>
      <c r="AM165" s="20"/>
      <c r="AN165" s="20"/>
      <c r="AO165" s="20"/>
      <c r="AP165" s="21"/>
      <c r="AQ165" s="22"/>
      <c r="AR165" s="22"/>
      <c r="AS165" s="22"/>
      <c r="AT165" s="22"/>
      <c r="AU165" s="19"/>
      <c r="AV165" s="20"/>
      <c r="AW165" s="20"/>
      <c r="AX165" s="20"/>
      <c r="AY165" s="20"/>
      <c r="AZ165" s="21"/>
      <c r="BA165" s="22"/>
      <c r="BB165" s="22"/>
      <c r="BC165" s="22"/>
      <c r="BD165" s="22"/>
      <c r="BE165" s="19"/>
      <c r="BF165" s="20"/>
      <c r="BG165" s="20"/>
      <c r="BH165" s="20"/>
      <c r="BI165" s="20"/>
      <c r="BJ165" s="21"/>
      <c r="BK165" s="22"/>
      <c r="BL165" s="22"/>
      <c r="BM165" s="22"/>
      <c r="BN165" s="22"/>
      <c r="BO165" s="19"/>
      <c r="BP165" s="20"/>
      <c r="BQ165" s="20"/>
      <c r="BR165" s="20"/>
      <c r="BS165" s="20"/>
      <c r="BT165" s="21"/>
      <c r="BU165" s="22"/>
      <c r="BV165" s="22"/>
      <c r="BW165" s="22"/>
      <c r="BX165" s="22"/>
      <c r="BY165" s="23"/>
      <c r="BZ165" s="24"/>
      <c r="CA165" s="24"/>
      <c r="CB165" s="24"/>
      <c r="CC165" s="24"/>
      <c r="CD165" s="25"/>
      <c r="CE165" s="26"/>
      <c r="CF165" s="26"/>
      <c r="CG165" s="26"/>
      <c r="CH165" s="26"/>
      <c r="CI165" s="27"/>
      <c r="CJ165" s="28"/>
      <c r="CK165" s="28"/>
      <c r="CL165" s="28"/>
      <c r="CM165" s="28"/>
      <c r="CN165" s="25"/>
      <c r="CO165" s="26"/>
      <c r="CP165" s="26"/>
      <c r="CQ165" s="26"/>
      <c r="CR165" s="26"/>
      <c r="CS165" s="27"/>
      <c r="CT165" s="28"/>
      <c r="CU165" s="28"/>
      <c r="CV165" s="28"/>
      <c r="CW165" s="28"/>
      <c r="CX165" s="25"/>
      <c r="CY165" s="26"/>
      <c r="CZ165" s="26"/>
      <c r="DA165" s="26"/>
      <c r="DB165" s="26"/>
      <c r="DC165" s="27"/>
      <c r="DD165" s="28"/>
      <c r="DE165" s="28"/>
      <c r="DF165" s="28"/>
      <c r="DG165" s="28"/>
      <c r="DH165" s="25"/>
      <c r="DI165" s="26"/>
      <c r="DJ165" s="26"/>
      <c r="DK165" s="26"/>
      <c r="DL165" s="26"/>
      <c r="DM165" s="27"/>
      <c r="DN165" s="28"/>
      <c r="DO165" s="28"/>
      <c r="DP165" s="28"/>
      <c r="DQ165" s="28"/>
      <c r="DR165" s="25"/>
      <c r="DS165" s="26"/>
      <c r="DT165" s="26"/>
      <c r="DU165" s="26"/>
      <c r="DV165" s="26"/>
      <c r="DW165" s="27"/>
      <c r="DX165" s="28"/>
      <c r="DY165" s="28"/>
      <c r="DZ165" s="28"/>
      <c r="EA165" s="28"/>
      <c r="EB165" s="29"/>
      <c r="EC165" s="30"/>
      <c r="ED165" s="30"/>
      <c r="EE165" s="30"/>
      <c r="EF165" s="30"/>
      <c r="EG165" s="31"/>
      <c r="EH165" s="32"/>
      <c r="EI165" s="32"/>
      <c r="EJ165" s="32"/>
      <c r="EK165" s="32"/>
      <c r="EL165" s="29"/>
      <c r="EM165" s="30"/>
      <c r="EN165" s="30"/>
      <c r="EO165" s="30"/>
      <c r="EP165" s="30"/>
      <c r="EQ165" s="31"/>
      <c r="ER165" s="32"/>
      <c r="ES165" s="32"/>
      <c r="ET165" s="32"/>
      <c r="EU165" s="32"/>
      <c r="EV165" s="29"/>
      <c r="EW165" s="30"/>
      <c r="EX165" s="30"/>
      <c r="EY165" s="30"/>
      <c r="EZ165" s="30"/>
      <c r="FA165" s="31"/>
      <c r="FB165" s="32"/>
      <c r="FC165" s="32"/>
      <c r="FD165" s="32"/>
      <c r="FE165" s="32"/>
      <c r="FF165" s="29"/>
      <c r="FG165" s="30"/>
      <c r="FH165" s="30"/>
      <c r="FI165" s="30"/>
      <c r="FJ165" s="30"/>
      <c r="FK165" s="31"/>
      <c r="FL165" s="32"/>
      <c r="FM165" s="32"/>
      <c r="FN165" s="32"/>
      <c r="FO165" s="32"/>
      <c r="FP165" s="29"/>
      <c r="FQ165" s="30"/>
      <c r="FR165" s="30"/>
      <c r="FS165" s="30"/>
      <c r="FT165" s="30"/>
      <c r="FU165" s="31"/>
      <c r="FV165" s="32"/>
      <c r="FW165" s="32"/>
      <c r="FX165" s="32"/>
      <c r="FY165" s="32"/>
      <c r="FZ165" s="29"/>
      <c r="GA165" s="30"/>
      <c r="GB165" s="30"/>
      <c r="GC165" s="30"/>
      <c r="GD165" s="30"/>
    </row>
    <row r="166" spans="1:186" ht="48" x14ac:dyDescent="0.25">
      <c r="A166" s="156">
        <v>157</v>
      </c>
      <c r="B166" s="395">
        <f>'Tier 3 Intervention'!B635</f>
        <v>0</v>
      </c>
      <c r="C166" s="395"/>
      <c r="D166" s="395"/>
      <c r="E166" s="395"/>
      <c r="F166" s="395"/>
      <c r="G166" s="395"/>
      <c r="H166" s="761" t="e">
        <f>'Tier 3 Intervention'!AA635+30</f>
        <v>#VALUE!</v>
      </c>
      <c r="I166" s="761"/>
      <c r="J166" s="762" t="e">
        <f t="shared" si="3"/>
        <v>#VALUE!</v>
      </c>
      <c r="K166" s="395"/>
      <c r="L166" s="47" t="s">
        <v>943</v>
      </c>
      <c r="M166" s="46"/>
      <c r="N166" s="46"/>
      <c r="O166" s="46"/>
      <c r="P166" s="49"/>
      <c r="Q166" s="19"/>
      <c r="R166" s="20"/>
      <c r="S166" s="20"/>
      <c r="T166" s="20"/>
      <c r="U166" s="20"/>
      <c r="V166" s="21"/>
      <c r="W166" s="22"/>
      <c r="X166" s="22"/>
      <c r="Y166" s="22"/>
      <c r="Z166" s="22"/>
      <c r="AA166" s="19"/>
      <c r="AB166" s="20"/>
      <c r="AC166" s="20"/>
      <c r="AD166" s="20"/>
      <c r="AE166" s="20"/>
      <c r="AF166" s="21"/>
      <c r="AG166" s="22"/>
      <c r="AH166" s="22"/>
      <c r="AI166" s="22"/>
      <c r="AJ166" s="22"/>
      <c r="AK166" s="19"/>
      <c r="AL166" s="20"/>
      <c r="AM166" s="20"/>
      <c r="AN166" s="20"/>
      <c r="AO166" s="20"/>
      <c r="AP166" s="21"/>
      <c r="AQ166" s="22"/>
      <c r="AR166" s="22"/>
      <c r="AS166" s="22"/>
      <c r="AT166" s="22"/>
      <c r="AU166" s="19"/>
      <c r="AV166" s="20"/>
      <c r="AW166" s="20"/>
      <c r="AX166" s="20"/>
      <c r="AY166" s="20"/>
      <c r="AZ166" s="21"/>
      <c r="BA166" s="22"/>
      <c r="BB166" s="22"/>
      <c r="BC166" s="22"/>
      <c r="BD166" s="22"/>
      <c r="BE166" s="19"/>
      <c r="BF166" s="20"/>
      <c r="BG166" s="20"/>
      <c r="BH166" s="20"/>
      <c r="BI166" s="20"/>
      <c r="BJ166" s="21"/>
      <c r="BK166" s="22"/>
      <c r="BL166" s="22"/>
      <c r="BM166" s="22"/>
      <c r="BN166" s="22"/>
      <c r="BO166" s="19"/>
      <c r="BP166" s="20"/>
      <c r="BQ166" s="20"/>
      <c r="BR166" s="20"/>
      <c r="BS166" s="20"/>
      <c r="BT166" s="21"/>
      <c r="BU166" s="22"/>
      <c r="BV166" s="22"/>
      <c r="BW166" s="22"/>
      <c r="BX166" s="22"/>
      <c r="BY166" s="23"/>
      <c r="BZ166" s="24"/>
      <c r="CA166" s="24"/>
      <c r="CB166" s="24"/>
      <c r="CC166" s="24"/>
      <c r="CD166" s="25"/>
      <c r="CE166" s="26"/>
      <c r="CF166" s="26"/>
      <c r="CG166" s="26"/>
      <c r="CH166" s="26"/>
      <c r="CI166" s="27"/>
      <c r="CJ166" s="28"/>
      <c r="CK166" s="28"/>
      <c r="CL166" s="28"/>
      <c r="CM166" s="28"/>
      <c r="CN166" s="25"/>
      <c r="CO166" s="26"/>
      <c r="CP166" s="26"/>
      <c r="CQ166" s="26"/>
      <c r="CR166" s="26"/>
      <c r="CS166" s="27"/>
      <c r="CT166" s="28"/>
      <c r="CU166" s="28"/>
      <c r="CV166" s="28"/>
      <c r="CW166" s="28"/>
      <c r="CX166" s="25"/>
      <c r="CY166" s="26"/>
      <c r="CZ166" s="26"/>
      <c r="DA166" s="26"/>
      <c r="DB166" s="26"/>
      <c r="DC166" s="27"/>
      <c r="DD166" s="28"/>
      <c r="DE166" s="28"/>
      <c r="DF166" s="28"/>
      <c r="DG166" s="28"/>
      <c r="DH166" s="25"/>
      <c r="DI166" s="26"/>
      <c r="DJ166" s="26"/>
      <c r="DK166" s="26"/>
      <c r="DL166" s="26"/>
      <c r="DM166" s="27"/>
      <c r="DN166" s="28"/>
      <c r="DO166" s="28"/>
      <c r="DP166" s="28"/>
      <c r="DQ166" s="28"/>
      <c r="DR166" s="25"/>
      <c r="DS166" s="26"/>
      <c r="DT166" s="26"/>
      <c r="DU166" s="26"/>
      <c r="DV166" s="26"/>
      <c r="DW166" s="27"/>
      <c r="DX166" s="28"/>
      <c r="DY166" s="28"/>
      <c r="DZ166" s="28"/>
      <c r="EA166" s="28"/>
      <c r="EB166" s="29"/>
      <c r="EC166" s="30"/>
      <c r="ED166" s="30"/>
      <c r="EE166" s="30"/>
      <c r="EF166" s="30"/>
      <c r="EG166" s="31"/>
      <c r="EH166" s="32"/>
      <c r="EI166" s="32"/>
      <c r="EJ166" s="32"/>
      <c r="EK166" s="32"/>
      <c r="EL166" s="29"/>
      <c r="EM166" s="30"/>
      <c r="EN166" s="30"/>
      <c r="EO166" s="30"/>
      <c r="EP166" s="30"/>
      <c r="EQ166" s="31"/>
      <c r="ER166" s="32"/>
      <c r="ES166" s="32"/>
      <c r="ET166" s="32"/>
      <c r="EU166" s="32"/>
      <c r="EV166" s="29"/>
      <c r="EW166" s="30"/>
      <c r="EX166" s="30"/>
      <c r="EY166" s="30"/>
      <c r="EZ166" s="30"/>
      <c r="FA166" s="31"/>
      <c r="FB166" s="32"/>
      <c r="FC166" s="32"/>
      <c r="FD166" s="32"/>
      <c r="FE166" s="32"/>
      <c r="FF166" s="29"/>
      <c r="FG166" s="30"/>
      <c r="FH166" s="30"/>
      <c r="FI166" s="30"/>
      <c r="FJ166" s="30"/>
      <c r="FK166" s="31"/>
      <c r="FL166" s="32"/>
      <c r="FM166" s="32"/>
      <c r="FN166" s="32"/>
      <c r="FO166" s="32"/>
      <c r="FP166" s="29"/>
      <c r="FQ166" s="30"/>
      <c r="FR166" s="30"/>
      <c r="FS166" s="30"/>
      <c r="FT166" s="30"/>
      <c r="FU166" s="31"/>
      <c r="FV166" s="32"/>
      <c r="FW166" s="32"/>
      <c r="FX166" s="32"/>
      <c r="FY166" s="32"/>
      <c r="FZ166" s="29"/>
      <c r="GA166" s="30"/>
      <c r="GB166" s="30"/>
      <c r="GC166" s="30"/>
      <c r="GD166" s="30"/>
    </row>
    <row r="167" spans="1:186" ht="48" x14ac:dyDescent="0.25">
      <c r="A167" s="156">
        <v>158</v>
      </c>
      <c r="B167" s="395">
        <f>'Tier 3 Intervention'!B639</f>
        <v>0</v>
      </c>
      <c r="C167" s="395"/>
      <c r="D167" s="395"/>
      <c r="E167" s="395"/>
      <c r="F167" s="395"/>
      <c r="G167" s="395"/>
      <c r="H167" s="761" t="e">
        <f>'Tier 3 Intervention'!AA639+30</f>
        <v>#VALUE!</v>
      </c>
      <c r="I167" s="761"/>
      <c r="J167" s="762" t="e">
        <f t="shared" si="3"/>
        <v>#VALUE!</v>
      </c>
      <c r="K167" s="395"/>
      <c r="L167" s="47" t="s">
        <v>944</v>
      </c>
      <c r="M167" s="46"/>
      <c r="N167" s="46"/>
      <c r="O167" s="46"/>
      <c r="P167" s="49"/>
      <c r="Q167" s="19"/>
      <c r="R167" s="20"/>
      <c r="S167" s="20"/>
      <c r="T167" s="20"/>
      <c r="U167" s="20"/>
      <c r="V167" s="21"/>
      <c r="W167" s="22"/>
      <c r="X167" s="22"/>
      <c r="Y167" s="22"/>
      <c r="Z167" s="22"/>
      <c r="AA167" s="19"/>
      <c r="AB167" s="20"/>
      <c r="AC167" s="20"/>
      <c r="AD167" s="20"/>
      <c r="AE167" s="20"/>
      <c r="AF167" s="21"/>
      <c r="AG167" s="22"/>
      <c r="AH167" s="22"/>
      <c r="AI167" s="22"/>
      <c r="AJ167" s="22"/>
      <c r="AK167" s="19"/>
      <c r="AL167" s="20"/>
      <c r="AM167" s="20"/>
      <c r="AN167" s="20"/>
      <c r="AO167" s="20"/>
      <c r="AP167" s="21"/>
      <c r="AQ167" s="22"/>
      <c r="AR167" s="22"/>
      <c r="AS167" s="22"/>
      <c r="AT167" s="22"/>
      <c r="AU167" s="19"/>
      <c r="AV167" s="20"/>
      <c r="AW167" s="20"/>
      <c r="AX167" s="20"/>
      <c r="AY167" s="20"/>
      <c r="AZ167" s="21"/>
      <c r="BA167" s="22"/>
      <c r="BB167" s="22"/>
      <c r="BC167" s="22"/>
      <c r="BD167" s="22"/>
      <c r="BE167" s="19"/>
      <c r="BF167" s="20"/>
      <c r="BG167" s="20"/>
      <c r="BH167" s="20"/>
      <c r="BI167" s="20"/>
      <c r="BJ167" s="21"/>
      <c r="BK167" s="22"/>
      <c r="BL167" s="22"/>
      <c r="BM167" s="22"/>
      <c r="BN167" s="22"/>
      <c r="BO167" s="19"/>
      <c r="BP167" s="20"/>
      <c r="BQ167" s="20"/>
      <c r="BR167" s="20"/>
      <c r="BS167" s="20"/>
      <c r="BT167" s="21"/>
      <c r="BU167" s="22"/>
      <c r="BV167" s="22"/>
      <c r="BW167" s="22"/>
      <c r="BX167" s="22"/>
      <c r="BY167" s="23"/>
      <c r="BZ167" s="24"/>
      <c r="CA167" s="24"/>
      <c r="CB167" s="24"/>
      <c r="CC167" s="24"/>
      <c r="CD167" s="25"/>
      <c r="CE167" s="26"/>
      <c r="CF167" s="26"/>
      <c r="CG167" s="26"/>
      <c r="CH167" s="26"/>
      <c r="CI167" s="27"/>
      <c r="CJ167" s="28"/>
      <c r="CK167" s="28"/>
      <c r="CL167" s="28"/>
      <c r="CM167" s="28"/>
      <c r="CN167" s="25"/>
      <c r="CO167" s="26"/>
      <c r="CP167" s="26"/>
      <c r="CQ167" s="26"/>
      <c r="CR167" s="26"/>
      <c r="CS167" s="27"/>
      <c r="CT167" s="28"/>
      <c r="CU167" s="28"/>
      <c r="CV167" s="28"/>
      <c r="CW167" s="28"/>
      <c r="CX167" s="25"/>
      <c r="CY167" s="26"/>
      <c r="CZ167" s="26"/>
      <c r="DA167" s="26"/>
      <c r="DB167" s="26"/>
      <c r="DC167" s="27"/>
      <c r="DD167" s="28"/>
      <c r="DE167" s="28"/>
      <c r="DF167" s="28"/>
      <c r="DG167" s="28"/>
      <c r="DH167" s="25"/>
      <c r="DI167" s="26"/>
      <c r="DJ167" s="26"/>
      <c r="DK167" s="26"/>
      <c r="DL167" s="26"/>
      <c r="DM167" s="27"/>
      <c r="DN167" s="28"/>
      <c r="DO167" s="28"/>
      <c r="DP167" s="28"/>
      <c r="DQ167" s="28"/>
      <c r="DR167" s="25"/>
      <c r="DS167" s="26"/>
      <c r="DT167" s="26"/>
      <c r="DU167" s="26"/>
      <c r="DV167" s="26"/>
      <c r="DW167" s="27"/>
      <c r="DX167" s="28"/>
      <c r="DY167" s="28"/>
      <c r="DZ167" s="28"/>
      <c r="EA167" s="28"/>
      <c r="EB167" s="29"/>
      <c r="EC167" s="30"/>
      <c r="ED167" s="30"/>
      <c r="EE167" s="30"/>
      <c r="EF167" s="30"/>
      <c r="EG167" s="31"/>
      <c r="EH167" s="32"/>
      <c r="EI167" s="32"/>
      <c r="EJ167" s="32"/>
      <c r="EK167" s="32"/>
      <c r="EL167" s="29"/>
      <c r="EM167" s="30"/>
      <c r="EN167" s="30"/>
      <c r="EO167" s="30"/>
      <c r="EP167" s="30"/>
      <c r="EQ167" s="31"/>
      <c r="ER167" s="32"/>
      <c r="ES167" s="32"/>
      <c r="ET167" s="32"/>
      <c r="EU167" s="32"/>
      <c r="EV167" s="29"/>
      <c r="EW167" s="30"/>
      <c r="EX167" s="30"/>
      <c r="EY167" s="30"/>
      <c r="EZ167" s="30"/>
      <c r="FA167" s="31"/>
      <c r="FB167" s="32"/>
      <c r="FC167" s="32"/>
      <c r="FD167" s="32"/>
      <c r="FE167" s="32"/>
      <c r="FF167" s="29"/>
      <c r="FG167" s="30"/>
      <c r="FH167" s="30"/>
      <c r="FI167" s="30"/>
      <c r="FJ167" s="30"/>
      <c r="FK167" s="31"/>
      <c r="FL167" s="32"/>
      <c r="FM167" s="32"/>
      <c r="FN167" s="32"/>
      <c r="FO167" s="32"/>
      <c r="FP167" s="29"/>
      <c r="FQ167" s="30"/>
      <c r="FR167" s="30"/>
      <c r="FS167" s="30"/>
      <c r="FT167" s="30"/>
      <c r="FU167" s="31"/>
      <c r="FV167" s="32"/>
      <c r="FW167" s="32"/>
      <c r="FX167" s="32"/>
      <c r="FY167" s="32"/>
      <c r="FZ167" s="29"/>
      <c r="GA167" s="30"/>
      <c r="GB167" s="30"/>
      <c r="GC167" s="30"/>
      <c r="GD167" s="30"/>
    </row>
    <row r="168" spans="1:186" ht="48" x14ac:dyDescent="0.25">
      <c r="A168" s="156">
        <v>159</v>
      </c>
      <c r="B168" s="395">
        <f>'Tier 3 Intervention'!B643</f>
        <v>0</v>
      </c>
      <c r="C168" s="395"/>
      <c r="D168" s="395"/>
      <c r="E168" s="395"/>
      <c r="F168" s="395"/>
      <c r="G168" s="395"/>
      <c r="H168" s="761" t="e">
        <f>'Tier 3 Intervention'!AA643+30</f>
        <v>#VALUE!</v>
      </c>
      <c r="I168" s="761"/>
      <c r="J168" s="762" t="e">
        <f t="shared" si="3"/>
        <v>#VALUE!</v>
      </c>
      <c r="K168" s="395"/>
      <c r="L168" s="47" t="s">
        <v>945</v>
      </c>
      <c r="M168" s="46"/>
      <c r="N168" s="46"/>
      <c r="O168" s="46"/>
      <c r="P168" s="49"/>
      <c r="Q168" s="19"/>
      <c r="R168" s="20"/>
      <c r="S168" s="20"/>
      <c r="T168" s="20"/>
      <c r="U168" s="20"/>
      <c r="V168" s="21"/>
      <c r="W168" s="22"/>
      <c r="X168" s="22"/>
      <c r="Y168" s="22"/>
      <c r="Z168" s="22"/>
      <c r="AA168" s="19"/>
      <c r="AB168" s="20"/>
      <c r="AC168" s="20"/>
      <c r="AD168" s="20"/>
      <c r="AE168" s="20"/>
      <c r="AF168" s="21"/>
      <c r="AG168" s="22"/>
      <c r="AH168" s="22"/>
      <c r="AI168" s="22"/>
      <c r="AJ168" s="22"/>
      <c r="AK168" s="19"/>
      <c r="AL168" s="20"/>
      <c r="AM168" s="20"/>
      <c r="AN168" s="20"/>
      <c r="AO168" s="20"/>
      <c r="AP168" s="21"/>
      <c r="AQ168" s="22"/>
      <c r="AR168" s="22"/>
      <c r="AS168" s="22"/>
      <c r="AT168" s="22"/>
      <c r="AU168" s="19"/>
      <c r="AV168" s="20"/>
      <c r="AW168" s="20"/>
      <c r="AX168" s="20"/>
      <c r="AY168" s="20"/>
      <c r="AZ168" s="21"/>
      <c r="BA168" s="22"/>
      <c r="BB168" s="22"/>
      <c r="BC168" s="22"/>
      <c r="BD168" s="22"/>
      <c r="BE168" s="19"/>
      <c r="BF168" s="20"/>
      <c r="BG168" s="20"/>
      <c r="BH168" s="20"/>
      <c r="BI168" s="20"/>
      <c r="BJ168" s="21"/>
      <c r="BK168" s="22"/>
      <c r="BL168" s="22"/>
      <c r="BM168" s="22"/>
      <c r="BN168" s="22"/>
      <c r="BO168" s="19"/>
      <c r="BP168" s="20"/>
      <c r="BQ168" s="20"/>
      <c r="BR168" s="20"/>
      <c r="BS168" s="20"/>
      <c r="BT168" s="21"/>
      <c r="BU168" s="22"/>
      <c r="BV168" s="22"/>
      <c r="BW168" s="22"/>
      <c r="BX168" s="22"/>
      <c r="BY168" s="23"/>
      <c r="BZ168" s="24"/>
      <c r="CA168" s="24"/>
      <c r="CB168" s="24"/>
      <c r="CC168" s="24"/>
      <c r="CD168" s="25"/>
      <c r="CE168" s="26"/>
      <c r="CF168" s="26"/>
      <c r="CG168" s="26"/>
      <c r="CH168" s="26"/>
      <c r="CI168" s="27"/>
      <c r="CJ168" s="28"/>
      <c r="CK168" s="28"/>
      <c r="CL168" s="28"/>
      <c r="CM168" s="28"/>
      <c r="CN168" s="25"/>
      <c r="CO168" s="26"/>
      <c r="CP168" s="26"/>
      <c r="CQ168" s="26"/>
      <c r="CR168" s="26"/>
      <c r="CS168" s="27"/>
      <c r="CT168" s="28"/>
      <c r="CU168" s="28"/>
      <c r="CV168" s="28"/>
      <c r="CW168" s="28"/>
      <c r="CX168" s="25"/>
      <c r="CY168" s="26"/>
      <c r="CZ168" s="26"/>
      <c r="DA168" s="26"/>
      <c r="DB168" s="26"/>
      <c r="DC168" s="27"/>
      <c r="DD168" s="28"/>
      <c r="DE168" s="28"/>
      <c r="DF168" s="28"/>
      <c r="DG168" s="28"/>
      <c r="DH168" s="25"/>
      <c r="DI168" s="26"/>
      <c r="DJ168" s="26"/>
      <c r="DK168" s="26"/>
      <c r="DL168" s="26"/>
      <c r="DM168" s="27"/>
      <c r="DN168" s="28"/>
      <c r="DO168" s="28"/>
      <c r="DP168" s="28"/>
      <c r="DQ168" s="28"/>
      <c r="DR168" s="25"/>
      <c r="DS168" s="26"/>
      <c r="DT168" s="26"/>
      <c r="DU168" s="26"/>
      <c r="DV168" s="26"/>
      <c r="DW168" s="27"/>
      <c r="DX168" s="28"/>
      <c r="DY168" s="28"/>
      <c r="DZ168" s="28"/>
      <c r="EA168" s="28"/>
      <c r="EB168" s="29"/>
      <c r="EC168" s="30"/>
      <c r="ED168" s="30"/>
      <c r="EE168" s="30"/>
      <c r="EF168" s="30"/>
      <c r="EG168" s="31"/>
      <c r="EH168" s="32"/>
      <c r="EI168" s="32"/>
      <c r="EJ168" s="32"/>
      <c r="EK168" s="32"/>
      <c r="EL168" s="29"/>
      <c r="EM168" s="30"/>
      <c r="EN168" s="30"/>
      <c r="EO168" s="30"/>
      <c r="EP168" s="30"/>
      <c r="EQ168" s="31"/>
      <c r="ER168" s="32"/>
      <c r="ES168" s="32"/>
      <c r="ET168" s="32"/>
      <c r="EU168" s="32"/>
      <c r="EV168" s="29"/>
      <c r="EW168" s="30"/>
      <c r="EX168" s="30"/>
      <c r="EY168" s="30"/>
      <c r="EZ168" s="30"/>
      <c r="FA168" s="31"/>
      <c r="FB168" s="32"/>
      <c r="FC168" s="32"/>
      <c r="FD168" s="32"/>
      <c r="FE168" s="32"/>
      <c r="FF168" s="29"/>
      <c r="FG168" s="30"/>
      <c r="FH168" s="30"/>
      <c r="FI168" s="30"/>
      <c r="FJ168" s="30"/>
      <c r="FK168" s="31"/>
      <c r="FL168" s="32"/>
      <c r="FM168" s="32"/>
      <c r="FN168" s="32"/>
      <c r="FO168" s="32"/>
      <c r="FP168" s="29"/>
      <c r="FQ168" s="30"/>
      <c r="FR168" s="30"/>
      <c r="FS168" s="30"/>
      <c r="FT168" s="30"/>
      <c r="FU168" s="31"/>
      <c r="FV168" s="32"/>
      <c r="FW168" s="32"/>
      <c r="FX168" s="32"/>
      <c r="FY168" s="32"/>
      <c r="FZ168" s="29"/>
      <c r="GA168" s="30"/>
      <c r="GB168" s="30"/>
      <c r="GC168" s="30"/>
      <c r="GD168" s="30"/>
    </row>
    <row r="169" spans="1:186" ht="48" x14ac:dyDescent="0.25">
      <c r="A169" s="156">
        <v>160</v>
      </c>
      <c r="B169" s="395">
        <f>'Tier 3 Intervention'!B647</f>
        <v>0</v>
      </c>
      <c r="C169" s="395"/>
      <c r="D169" s="395"/>
      <c r="E169" s="395"/>
      <c r="F169" s="395"/>
      <c r="G169" s="395"/>
      <c r="H169" s="761" t="e">
        <f>'Tier 3 Intervention'!AA647+30</f>
        <v>#VALUE!</v>
      </c>
      <c r="I169" s="761"/>
      <c r="J169" s="762" t="e">
        <f t="shared" si="3"/>
        <v>#VALUE!</v>
      </c>
      <c r="K169" s="395"/>
      <c r="L169" s="47" t="s">
        <v>946</v>
      </c>
      <c r="M169" s="46"/>
      <c r="N169" s="46"/>
      <c r="O169" s="46"/>
      <c r="P169" s="49"/>
      <c r="Q169" s="19"/>
      <c r="R169" s="20"/>
      <c r="S169" s="20"/>
      <c r="T169" s="20"/>
      <c r="U169" s="20"/>
      <c r="V169" s="21"/>
      <c r="W169" s="22"/>
      <c r="X169" s="22"/>
      <c r="Y169" s="22"/>
      <c r="Z169" s="22"/>
      <c r="AA169" s="19"/>
      <c r="AB169" s="20"/>
      <c r="AC169" s="20"/>
      <c r="AD169" s="20"/>
      <c r="AE169" s="20"/>
      <c r="AF169" s="21"/>
      <c r="AG169" s="22"/>
      <c r="AH169" s="22"/>
      <c r="AI169" s="22"/>
      <c r="AJ169" s="22"/>
      <c r="AK169" s="19"/>
      <c r="AL169" s="20"/>
      <c r="AM169" s="20"/>
      <c r="AN169" s="20"/>
      <c r="AO169" s="20"/>
      <c r="AP169" s="21"/>
      <c r="AQ169" s="22"/>
      <c r="AR169" s="22"/>
      <c r="AS169" s="22"/>
      <c r="AT169" s="22"/>
      <c r="AU169" s="19"/>
      <c r="AV169" s="20"/>
      <c r="AW169" s="20"/>
      <c r="AX169" s="20"/>
      <c r="AY169" s="20"/>
      <c r="AZ169" s="21"/>
      <c r="BA169" s="22"/>
      <c r="BB169" s="22"/>
      <c r="BC169" s="22"/>
      <c r="BD169" s="22"/>
      <c r="BE169" s="19"/>
      <c r="BF169" s="20"/>
      <c r="BG169" s="20"/>
      <c r="BH169" s="20"/>
      <c r="BI169" s="20"/>
      <c r="BJ169" s="21"/>
      <c r="BK169" s="22"/>
      <c r="BL169" s="22"/>
      <c r="BM169" s="22"/>
      <c r="BN169" s="22"/>
      <c r="BO169" s="19"/>
      <c r="BP169" s="20"/>
      <c r="BQ169" s="20"/>
      <c r="BR169" s="20"/>
      <c r="BS169" s="20"/>
      <c r="BT169" s="21"/>
      <c r="BU169" s="22"/>
      <c r="BV169" s="22"/>
      <c r="BW169" s="22"/>
      <c r="BX169" s="22"/>
      <c r="BY169" s="23"/>
      <c r="BZ169" s="24"/>
      <c r="CA169" s="24"/>
      <c r="CB169" s="24"/>
      <c r="CC169" s="24"/>
      <c r="CD169" s="25"/>
      <c r="CE169" s="26"/>
      <c r="CF169" s="26"/>
      <c r="CG169" s="26"/>
      <c r="CH169" s="26"/>
      <c r="CI169" s="27"/>
      <c r="CJ169" s="28"/>
      <c r="CK169" s="28"/>
      <c r="CL169" s="28"/>
      <c r="CM169" s="28"/>
      <c r="CN169" s="25"/>
      <c r="CO169" s="26"/>
      <c r="CP169" s="26"/>
      <c r="CQ169" s="26"/>
      <c r="CR169" s="26"/>
      <c r="CS169" s="27"/>
      <c r="CT169" s="28"/>
      <c r="CU169" s="28"/>
      <c r="CV169" s="28"/>
      <c r="CW169" s="28"/>
      <c r="CX169" s="25"/>
      <c r="CY169" s="26"/>
      <c r="CZ169" s="26"/>
      <c r="DA169" s="26"/>
      <c r="DB169" s="26"/>
      <c r="DC169" s="27"/>
      <c r="DD169" s="28"/>
      <c r="DE169" s="28"/>
      <c r="DF169" s="28"/>
      <c r="DG169" s="28"/>
      <c r="DH169" s="25"/>
      <c r="DI169" s="26"/>
      <c r="DJ169" s="26"/>
      <c r="DK169" s="26"/>
      <c r="DL169" s="26"/>
      <c r="DM169" s="27"/>
      <c r="DN169" s="28"/>
      <c r="DO169" s="28"/>
      <c r="DP169" s="28"/>
      <c r="DQ169" s="28"/>
      <c r="DR169" s="25"/>
      <c r="DS169" s="26"/>
      <c r="DT169" s="26"/>
      <c r="DU169" s="26"/>
      <c r="DV169" s="26"/>
      <c r="DW169" s="27"/>
      <c r="DX169" s="28"/>
      <c r="DY169" s="28"/>
      <c r="DZ169" s="28"/>
      <c r="EA169" s="28"/>
      <c r="EB169" s="29"/>
      <c r="EC169" s="30"/>
      <c r="ED169" s="30"/>
      <c r="EE169" s="30"/>
      <c r="EF169" s="30"/>
      <c r="EG169" s="31"/>
      <c r="EH169" s="32"/>
      <c r="EI169" s="32"/>
      <c r="EJ169" s="32"/>
      <c r="EK169" s="32"/>
      <c r="EL169" s="29"/>
      <c r="EM169" s="30"/>
      <c r="EN169" s="30"/>
      <c r="EO169" s="30"/>
      <c r="EP169" s="30"/>
      <c r="EQ169" s="31"/>
      <c r="ER169" s="32"/>
      <c r="ES169" s="32"/>
      <c r="ET169" s="32"/>
      <c r="EU169" s="32"/>
      <c r="EV169" s="29"/>
      <c r="EW169" s="30"/>
      <c r="EX169" s="30"/>
      <c r="EY169" s="30"/>
      <c r="EZ169" s="30"/>
      <c r="FA169" s="31"/>
      <c r="FB169" s="32"/>
      <c r="FC169" s="32"/>
      <c r="FD169" s="32"/>
      <c r="FE169" s="32"/>
      <c r="FF169" s="29"/>
      <c r="FG169" s="30"/>
      <c r="FH169" s="30"/>
      <c r="FI169" s="30"/>
      <c r="FJ169" s="30"/>
      <c r="FK169" s="31"/>
      <c r="FL169" s="32"/>
      <c r="FM169" s="32"/>
      <c r="FN169" s="32"/>
      <c r="FO169" s="32"/>
      <c r="FP169" s="29"/>
      <c r="FQ169" s="30"/>
      <c r="FR169" s="30"/>
      <c r="FS169" s="30"/>
      <c r="FT169" s="30"/>
      <c r="FU169" s="31"/>
      <c r="FV169" s="32"/>
      <c r="FW169" s="32"/>
      <c r="FX169" s="32"/>
      <c r="FY169" s="32"/>
      <c r="FZ169" s="29"/>
      <c r="GA169" s="30"/>
      <c r="GB169" s="30"/>
      <c r="GC169" s="30"/>
      <c r="GD169" s="30"/>
    </row>
    <row r="170" spans="1:186" ht="48" x14ac:dyDescent="0.25">
      <c r="A170" s="156">
        <v>161</v>
      </c>
      <c r="B170" s="395">
        <f>'Tier 3 Intervention'!B651</f>
        <v>0</v>
      </c>
      <c r="C170" s="395"/>
      <c r="D170" s="395"/>
      <c r="E170" s="395"/>
      <c r="F170" s="395"/>
      <c r="G170" s="395"/>
      <c r="H170" s="761" t="e">
        <f>'Tier 3 Intervention'!AA651+30</f>
        <v>#VALUE!</v>
      </c>
      <c r="I170" s="761"/>
      <c r="J170" s="762" t="e">
        <f t="shared" si="3"/>
        <v>#VALUE!</v>
      </c>
      <c r="K170" s="395"/>
      <c r="L170" s="47" t="s">
        <v>947</v>
      </c>
      <c r="M170" s="46"/>
      <c r="N170" s="46"/>
      <c r="O170" s="46"/>
      <c r="P170" s="49"/>
      <c r="Q170" s="19"/>
      <c r="R170" s="20"/>
      <c r="S170" s="20"/>
      <c r="T170" s="20"/>
      <c r="U170" s="20"/>
      <c r="V170" s="21"/>
      <c r="W170" s="22"/>
      <c r="X170" s="22"/>
      <c r="Y170" s="22"/>
      <c r="Z170" s="22"/>
      <c r="AA170" s="19"/>
      <c r="AB170" s="20"/>
      <c r="AC170" s="20"/>
      <c r="AD170" s="20"/>
      <c r="AE170" s="20"/>
      <c r="AF170" s="21"/>
      <c r="AG170" s="22"/>
      <c r="AH170" s="22"/>
      <c r="AI170" s="22"/>
      <c r="AJ170" s="22"/>
      <c r="AK170" s="19"/>
      <c r="AL170" s="20"/>
      <c r="AM170" s="20"/>
      <c r="AN170" s="20"/>
      <c r="AO170" s="20"/>
      <c r="AP170" s="21"/>
      <c r="AQ170" s="22"/>
      <c r="AR170" s="22"/>
      <c r="AS170" s="22"/>
      <c r="AT170" s="22"/>
      <c r="AU170" s="19"/>
      <c r="AV170" s="20"/>
      <c r="AW170" s="20"/>
      <c r="AX170" s="20"/>
      <c r="AY170" s="20"/>
      <c r="AZ170" s="21"/>
      <c r="BA170" s="22"/>
      <c r="BB170" s="22"/>
      <c r="BC170" s="22"/>
      <c r="BD170" s="22"/>
      <c r="BE170" s="19"/>
      <c r="BF170" s="20"/>
      <c r="BG170" s="20"/>
      <c r="BH170" s="20"/>
      <c r="BI170" s="20"/>
      <c r="BJ170" s="21"/>
      <c r="BK170" s="22"/>
      <c r="BL170" s="22"/>
      <c r="BM170" s="22"/>
      <c r="BN170" s="22"/>
      <c r="BO170" s="19"/>
      <c r="BP170" s="20"/>
      <c r="BQ170" s="20"/>
      <c r="BR170" s="20"/>
      <c r="BS170" s="20"/>
      <c r="BT170" s="21"/>
      <c r="BU170" s="22"/>
      <c r="BV170" s="22"/>
      <c r="BW170" s="22"/>
      <c r="BX170" s="22"/>
      <c r="BY170" s="23"/>
      <c r="BZ170" s="24"/>
      <c r="CA170" s="24"/>
      <c r="CB170" s="24"/>
      <c r="CC170" s="24"/>
      <c r="CD170" s="25"/>
      <c r="CE170" s="26"/>
      <c r="CF170" s="26"/>
      <c r="CG170" s="26"/>
      <c r="CH170" s="26"/>
      <c r="CI170" s="27"/>
      <c r="CJ170" s="28"/>
      <c r="CK170" s="28"/>
      <c r="CL170" s="28"/>
      <c r="CM170" s="28"/>
      <c r="CN170" s="25"/>
      <c r="CO170" s="26"/>
      <c r="CP170" s="26"/>
      <c r="CQ170" s="26"/>
      <c r="CR170" s="26"/>
      <c r="CS170" s="27"/>
      <c r="CT170" s="28"/>
      <c r="CU170" s="28"/>
      <c r="CV170" s="28"/>
      <c r="CW170" s="28"/>
      <c r="CX170" s="25"/>
      <c r="CY170" s="26"/>
      <c r="CZ170" s="26"/>
      <c r="DA170" s="26"/>
      <c r="DB170" s="26"/>
      <c r="DC170" s="27"/>
      <c r="DD170" s="28"/>
      <c r="DE170" s="28"/>
      <c r="DF170" s="28"/>
      <c r="DG170" s="28"/>
      <c r="DH170" s="25"/>
      <c r="DI170" s="26"/>
      <c r="DJ170" s="26"/>
      <c r="DK170" s="26"/>
      <c r="DL170" s="26"/>
      <c r="DM170" s="27"/>
      <c r="DN170" s="28"/>
      <c r="DO170" s="28"/>
      <c r="DP170" s="28"/>
      <c r="DQ170" s="28"/>
      <c r="DR170" s="25"/>
      <c r="DS170" s="26"/>
      <c r="DT170" s="26"/>
      <c r="DU170" s="26"/>
      <c r="DV170" s="26"/>
      <c r="DW170" s="27"/>
      <c r="DX170" s="28"/>
      <c r="DY170" s="28"/>
      <c r="DZ170" s="28"/>
      <c r="EA170" s="28"/>
      <c r="EB170" s="29"/>
      <c r="EC170" s="30"/>
      <c r="ED170" s="30"/>
      <c r="EE170" s="30"/>
      <c r="EF170" s="30"/>
      <c r="EG170" s="31"/>
      <c r="EH170" s="32"/>
      <c r="EI170" s="32"/>
      <c r="EJ170" s="32"/>
      <c r="EK170" s="32"/>
      <c r="EL170" s="29"/>
      <c r="EM170" s="30"/>
      <c r="EN170" s="30"/>
      <c r="EO170" s="30"/>
      <c r="EP170" s="30"/>
      <c r="EQ170" s="31"/>
      <c r="ER170" s="32"/>
      <c r="ES170" s="32"/>
      <c r="ET170" s="32"/>
      <c r="EU170" s="32"/>
      <c r="EV170" s="29"/>
      <c r="EW170" s="30"/>
      <c r="EX170" s="30"/>
      <c r="EY170" s="30"/>
      <c r="EZ170" s="30"/>
      <c r="FA170" s="31"/>
      <c r="FB170" s="32"/>
      <c r="FC170" s="32"/>
      <c r="FD170" s="32"/>
      <c r="FE170" s="32"/>
      <c r="FF170" s="29"/>
      <c r="FG170" s="30"/>
      <c r="FH170" s="30"/>
      <c r="FI170" s="30"/>
      <c r="FJ170" s="30"/>
      <c r="FK170" s="31"/>
      <c r="FL170" s="32"/>
      <c r="FM170" s="32"/>
      <c r="FN170" s="32"/>
      <c r="FO170" s="32"/>
      <c r="FP170" s="29"/>
      <c r="FQ170" s="30"/>
      <c r="FR170" s="30"/>
      <c r="FS170" s="30"/>
      <c r="FT170" s="30"/>
      <c r="FU170" s="31"/>
      <c r="FV170" s="32"/>
      <c r="FW170" s="32"/>
      <c r="FX170" s="32"/>
      <c r="FY170" s="32"/>
      <c r="FZ170" s="29"/>
      <c r="GA170" s="30"/>
      <c r="GB170" s="30"/>
      <c r="GC170" s="30"/>
      <c r="GD170" s="30"/>
    </row>
    <row r="171" spans="1:186" ht="48" x14ac:dyDescent="0.25">
      <c r="A171" s="156">
        <v>162</v>
      </c>
      <c r="B171" s="395">
        <f>'Tier 3 Intervention'!B655</f>
        <v>0</v>
      </c>
      <c r="C171" s="395"/>
      <c r="D171" s="395"/>
      <c r="E171" s="395"/>
      <c r="F171" s="395"/>
      <c r="G171" s="395"/>
      <c r="H171" s="761" t="e">
        <f>'Tier 3 Intervention'!AA655+30</f>
        <v>#VALUE!</v>
      </c>
      <c r="I171" s="761"/>
      <c r="J171" s="762" t="e">
        <f t="shared" si="3"/>
        <v>#VALUE!</v>
      </c>
      <c r="K171" s="395"/>
      <c r="L171" s="47" t="s">
        <v>948</v>
      </c>
      <c r="M171" s="46"/>
      <c r="N171" s="46"/>
      <c r="O171" s="46"/>
      <c r="P171" s="49"/>
      <c r="Q171" s="19"/>
      <c r="R171" s="20"/>
      <c r="S171" s="20"/>
      <c r="T171" s="20"/>
      <c r="U171" s="20"/>
      <c r="V171" s="21"/>
      <c r="W171" s="22"/>
      <c r="X171" s="22"/>
      <c r="Y171" s="22"/>
      <c r="Z171" s="22"/>
      <c r="AA171" s="19"/>
      <c r="AB171" s="20"/>
      <c r="AC171" s="20"/>
      <c r="AD171" s="20"/>
      <c r="AE171" s="20"/>
      <c r="AF171" s="21"/>
      <c r="AG171" s="22"/>
      <c r="AH171" s="22"/>
      <c r="AI171" s="22"/>
      <c r="AJ171" s="22"/>
      <c r="AK171" s="19"/>
      <c r="AL171" s="20"/>
      <c r="AM171" s="20"/>
      <c r="AN171" s="20"/>
      <c r="AO171" s="20"/>
      <c r="AP171" s="21"/>
      <c r="AQ171" s="22"/>
      <c r="AR171" s="22"/>
      <c r="AS171" s="22"/>
      <c r="AT171" s="22"/>
      <c r="AU171" s="19"/>
      <c r="AV171" s="20"/>
      <c r="AW171" s="20"/>
      <c r="AX171" s="20"/>
      <c r="AY171" s="20"/>
      <c r="AZ171" s="21"/>
      <c r="BA171" s="22"/>
      <c r="BB171" s="22"/>
      <c r="BC171" s="22"/>
      <c r="BD171" s="22"/>
      <c r="BE171" s="19"/>
      <c r="BF171" s="20"/>
      <c r="BG171" s="20"/>
      <c r="BH171" s="20"/>
      <c r="BI171" s="20"/>
      <c r="BJ171" s="21"/>
      <c r="BK171" s="22"/>
      <c r="BL171" s="22"/>
      <c r="BM171" s="22"/>
      <c r="BN171" s="22"/>
      <c r="BO171" s="19"/>
      <c r="BP171" s="20"/>
      <c r="BQ171" s="20"/>
      <c r="BR171" s="20"/>
      <c r="BS171" s="20"/>
      <c r="BT171" s="21"/>
      <c r="BU171" s="22"/>
      <c r="BV171" s="22"/>
      <c r="BW171" s="22"/>
      <c r="BX171" s="22"/>
      <c r="BY171" s="23"/>
      <c r="BZ171" s="24"/>
      <c r="CA171" s="24"/>
      <c r="CB171" s="24"/>
      <c r="CC171" s="24"/>
      <c r="CD171" s="25"/>
      <c r="CE171" s="26"/>
      <c r="CF171" s="26"/>
      <c r="CG171" s="26"/>
      <c r="CH171" s="26"/>
      <c r="CI171" s="27"/>
      <c r="CJ171" s="28"/>
      <c r="CK171" s="28"/>
      <c r="CL171" s="28"/>
      <c r="CM171" s="28"/>
      <c r="CN171" s="25"/>
      <c r="CO171" s="26"/>
      <c r="CP171" s="26"/>
      <c r="CQ171" s="26"/>
      <c r="CR171" s="26"/>
      <c r="CS171" s="27"/>
      <c r="CT171" s="28"/>
      <c r="CU171" s="28"/>
      <c r="CV171" s="28"/>
      <c r="CW171" s="28"/>
      <c r="CX171" s="25"/>
      <c r="CY171" s="26"/>
      <c r="CZ171" s="26"/>
      <c r="DA171" s="26"/>
      <c r="DB171" s="26"/>
      <c r="DC171" s="27"/>
      <c r="DD171" s="28"/>
      <c r="DE171" s="28"/>
      <c r="DF171" s="28"/>
      <c r="DG171" s="28"/>
      <c r="DH171" s="25"/>
      <c r="DI171" s="26"/>
      <c r="DJ171" s="26"/>
      <c r="DK171" s="26"/>
      <c r="DL171" s="26"/>
      <c r="DM171" s="27"/>
      <c r="DN171" s="28"/>
      <c r="DO171" s="28"/>
      <c r="DP171" s="28"/>
      <c r="DQ171" s="28"/>
      <c r="DR171" s="25"/>
      <c r="DS171" s="26"/>
      <c r="DT171" s="26"/>
      <c r="DU171" s="26"/>
      <c r="DV171" s="26"/>
      <c r="DW171" s="27"/>
      <c r="DX171" s="28"/>
      <c r="DY171" s="28"/>
      <c r="DZ171" s="28"/>
      <c r="EA171" s="28"/>
      <c r="EB171" s="29"/>
      <c r="EC171" s="30"/>
      <c r="ED171" s="30"/>
      <c r="EE171" s="30"/>
      <c r="EF171" s="30"/>
      <c r="EG171" s="31"/>
      <c r="EH171" s="32"/>
      <c r="EI171" s="32"/>
      <c r="EJ171" s="32"/>
      <c r="EK171" s="32"/>
      <c r="EL171" s="29"/>
      <c r="EM171" s="30"/>
      <c r="EN171" s="30"/>
      <c r="EO171" s="30"/>
      <c r="EP171" s="30"/>
      <c r="EQ171" s="31"/>
      <c r="ER171" s="32"/>
      <c r="ES171" s="32"/>
      <c r="ET171" s="32"/>
      <c r="EU171" s="32"/>
      <c r="EV171" s="29"/>
      <c r="EW171" s="30"/>
      <c r="EX171" s="30"/>
      <c r="EY171" s="30"/>
      <c r="EZ171" s="30"/>
      <c r="FA171" s="31"/>
      <c r="FB171" s="32"/>
      <c r="FC171" s="32"/>
      <c r="FD171" s="32"/>
      <c r="FE171" s="32"/>
      <c r="FF171" s="29"/>
      <c r="FG171" s="30"/>
      <c r="FH171" s="30"/>
      <c r="FI171" s="30"/>
      <c r="FJ171" s="30"/>
      <c r="FK171" s="31"/>
      <c r="FL171" s="32"/>
      <c r="FM171" s="32"/>
      <c r="FN171" s="32"/>
      <c r="FO171" s="32"/>
      <c r="FP171" s="29"/>
      <c r="FQ171" s="30"/>
      <c r="FR171" s="30"/>
      <c r="FS171" s="30"/>
      <c r="FT171" s="30"/>
      <c r="FU171" s="31"/>
      <c r="FV171" s="32"/>
      <c r="FW171" s="32"/>
      <c r="FX171" s="32"/>
      <c r="FY171" s="32"/>
      <c r="FZ171" s="29"/>
      <c r="GA171" s="30"/>
      <c r="GB171" s="30"/>
      <c r="GC171" s="30"/>
      <c r="GD171" s="30"/>
    </row>
    <row r="172" spans="1:186" ht="48" x14ac:dyDescent="0.25">
      <c r="A172" s="156">
        <v>163</v>
      </c>
      <c r="B172" s="395">
        <f>'Tier 3 Intervention'!B659</f>
        <v>0</v>
      </c>
      <c r="C172" s="395"/>
      <c r="D172" s="395"/>
      <c r="E172" s="395"/>
      <c r="F172" s="395"/>
      <c r="G172" s="395"/>
      <c r="H172" s="761" t="e">
        <f>'Tier 3 Intervention'!AA659+30</f>
        <v>#VALUE!</v>
      </c>
      <c r="I172" s="761"/>
      <c r="J172" s="762" t="e">
        <f t="shared" si="3"/>
        <v>#VALUE!</v>
      </c>
      <c r="K172" s="395"/>
      <c r="L172" s="47" t="s">
        <v>949</v>
      </c>
      <c r="M172" s="46"/>
      <c r="N172" s="46"/>
      <c r="O172" s="46"/>
      <c r="P172" s="49"/>
      <c r="Q172" s="19"/>
      <c r="R172" s="20"/>
      <c r="S172" s="20"/>
      <c r="T172" s="20"/>
      <c r="U172" s="20"/>
      <c r="V172" s="21"/>
      <c r="W172" s="22"/>
      <c r="X172" s="22"/>
      <c r="Y172" s="22"/>
      <c r="Z172" s="22"/>
      <c r="AA172" s="19"/>
      <c r="AB172" s="20"/>
      <c r="AC172" s="20"/>
      <c r="AD172" s="20"/>
      <c r="AE172" s="20"/>
      <c r="AF172" s="21"/>
      <c r="AG172" s="22"/>
      <c r="AH172" s="22"/>
      <c r="AI172" s="22"/>
      <c r="AJ172" s="22"/>
      <c r="AK172" s="19"/>
      <c r="AL172" s="20"/>
      <c r="AM172" s="20"/>
      <c r="AN172" s="20"/>
      <c r="AO172" s="20"/>
      <c r="AP172" s="21"/>
      <c r="AQ172" s="22"/>
      <c r="AR172" s="22"/>
      <c r="AS172" s="22"/>
      <c r="AT172" s="22"/>
      <c r="AU172" s="19"/>
      <c r="AV172" s="20"/>
      <c r="AW172" s="20"/>
      <c r="AX172" s="20"/>
      <c r="AY172" s="20"/>
      <c r="AZ172" s="21"/>
      <c r="BA172" s="22"/>
      <c r="BB172" s="22"/>
      <c r="BC172" s="22"/>
      <c r="BD172" s="22"/>
      <c r="BE172" s="19"/>
      <c r="BF172" s="20"/>
      <c r="BG172" s="20"/>
      <c r="BH172" s="20"/>
      <c r="BI172" s="20"/>
      <c r="BJ172" s="21"/>
      <c r="BK172" s="22"/>
      <c r="BL172" s="22"/>
      <c r="BM172" s="22"/>
      <c r="BN172" s="22"/>
      <c r="BO172" s="19"/>
      <c r="BP172" s="20"/>
      <c r="BQ172" s="20"/>
      <c r="BR172" s="20"/>
      <c r="BS172" s="20"/>
      <c r="BT172" s="21"/>
      <c r="BU172" s="22"/>
      <c r="BV172" s="22"/>
      <c r="BW172" s="22"/>
      <c r="BX172" s="22"/>
      <c r="BY172" s="23"/>
      <c r="BZ172" s="24"/>
      <c r="CA172" s="24"/>
      <c r="CB172" s="24"/>
      <c r="CC172" s="24"/>
      <c r="CD172" s="25"/>
      <c r="CE172" s="26"/>
      <c r="CF172" s="26"/>
      <c r="CG172" s="26"/>
      <c r="CH172" s="26"/>
      <c r="CI172" s="27"/>
      <c r="CJ172" s="28"/>
      <c r="CK172" s="28"/>
      <c r="CL172" s="28"/>
      <c r="CM172" s="28"/>
      <c r="CN172" s="25"/>
      <c r="CO172" s="26"/>
      <c r="CP172" s="26"/>
      <c r="CQ172" s="26"/>
      <c r="CR172" s="26"/>
      <c r="CS172" s="27"/>
      <c r="CT172" s="28"/>
      <c r="CU172" s="28"/>
      <c r="CV172" s="28"/>
      <c r="CW172" s="28"/>
      <c r="CX172" s="25"/>
      <c r="CY172" s="26"/>
      <c r="CZ172" s="26"/>
      <c r="DA172" s="26"/>
      <c r="DB172" s="26"/>
      <c r="DC172" s="27"/>
      <c r="DD172" s="28"/>
      <c r="DE172" s="28"/>
      <c r="DF172" s="28"/>
      <c r="DG172" s="28"/>
      <c r="DH172" s="25"/>
      <c r="DI172" s="26"/>
      <c r="DJ172" s="26"/>
      <c r="DK172" s="26"/>
      <c r="DL172" s="26"/>
      <c r="DM172" s="27"/>
      <c r="DN172" s="28"/>
      <c r="DO172" s="28"/>
      <c r="DP172" s="28"/>
      <c r="DQ172" s="28"/>
      <c r="DR172" s="25"/>
      <c r="DS172" s="26"/>
      <c r="DT172" s="26"/>
      <c r="DU172" s="26"/>
      <c r="DV172" s="26"/>
      <c r="DW172" s="27"/>
      <c r="DX172" s="28"/>
      <c r="DY172" s="28"/>
      <c r="DZ172" s="28"/>
      <c r="EA172" s="28"/>
      <c r="EB172" s="29"/>
      <c r="EC172" s="30"/>
      <c r="ED172" s="30"/>
      <c r="EE172" s="30"/>
      <c r="EF172" s="30"/>
      <c r="EG172" s="31"/>
      <c r="EH172" s="32"/>
      <c r="EI172" s="32"/>
      <c r="EJ172" s="32"/>
      <c r="EK172" s="32"/>
      <c r="EL172" s="29"/>
      <c r="EM172" s="30"/>
      <c r="EN172" s="30"/>
      <c r="EO172" s="30"/>
      <c r="EP172" s="30"/>
      <c r="EQ172" s="31"/>
      <c r="ER172" s="32"/>
      <c r="ES172" s="32"/>
      <c r="ET172" s="32"/>
      <c r="EU172" s="32"/>
      <c r="EV172" s="29"/>
      <c r="EW172" s="30"/>
      <c r="EX172" s="30"/>
      <c r="EY172" s="30"/>
      <c r="EZ172" s="30"/>
      <c r="FA172" s="31"/>
      <c r="FB172" s="32"/>
      <c r="FC172" s="32"/>
      <c r="FD172" s="32"/>
      <c r="FE172" s="32"/>
      <c r="FF172" s="29"/>
      <c r="FG172" s="30"/>
      <c r="FH172" s="30"/>
      <c r="FI172" s="30"/>
      <c r="FJ172" s="30"/>
      <c r="FK172" s="31"/>
      <c r="FL172" s="32"/>
      <c r="FM172" s="32"/>
      <c r="FN172" s="32"/>
      <c r="FO172" s="32"/>
      <c r="FP172" s="29"/>
      <c r="FQ172" s="30"/>
      <c r="FR172" s="30"/>
      <c r="FS172" s="30"/>
      <c r="FT172" s="30"/>
      <c r="FU172" s="31"/>
      <c r="FV172" s="32"/>
      <c r="FW172" s="32"/>
      <c r="FX172" s="32"/>
      <c r="FY172" s="32"/>
      <c r="FZ172" s="29"/>
      <c r="GA172" s="30"/>
      <c r="GB172" s="30"/>
      <c r="GC172" s="30"/>
      <c r="GD172" s="30"/>
    </row>
    <row r="173" spans="1:186" ht="48" x14ac:dyDescent="0.25">
      <c r="A173" s="156">
        <v>164</v>
      </c>
      <c r="B173" s="395">
        <f>'Tier 3 Intervention'!B663</f>
        <v>0</v>
      </c>
      <c r="C173" s="395"/>
      <c r="D173" s="395"/>
      <c r="E173" s="395"/>
      <c r="F173" s="395"/>
      <c r="G173" s="395"/>
      <c r="H173" s="761" t="e">
        <f>'Tier 3 Intervention'!AA663+30</f>
        <v>#VALUE!</v>
      </c>
      <c r="I173" s="761"/>
      <c r="J173" s="762" t="e">
        <f t="shared" si="3"/>
        <v>#VALUE!</v>
      </c>
      <c r="K173" s="395"/>
      <c r="L173" s="47" t="s">
        <v>950</v>
      </c>
      <c r="M173" s="46"/>
      <c r="N173" s="46"/>
      <c r="O173" s="46"/>
      <c r="P173" s="49"/>
      <c r="Q173" s="19"/>
      <c r="R173" s="20"/>
      <c r="S173" s="20"/>
      <c r="T173" s="20"/>
      <c r="U173" s="20"/>
      <c r="V173" s="21"/>
      <c r="W173" s="22"/>
      <c r="X173" s="22"/>
      <c r="Y173" s="22"/>
      <c r="Z173" s="22"/>
      <c r="AA173" s="19"/>
      <c r="AB173" s="20"/>
      <c r="AC173" s="20"/>
      <c r="AD173" s="20"/>
      <c r="AE173" s="20"/>
      <c r="AF173" s="21"/>
      <c r="AG173" s="22"/>
      <c r="AH173" s="22"/>
      <c r="AI173" s="22"/>
      <c r="AJ173" s="22"/>
      <c r="AK173" s="19"/>
      <c r="AL173" s="20"/>
      <c r="AM173" s="20"/>
      <c r="AN173" s="20"/>
      <c r="AO173" s="20"/>
      <c r="AP173" s="21"/>
      <c r="AQ173" s="22"/>
      <c r="AR173" s="22"/>
      <c r="AS173" s="22"/>
      <c r="AT173" s="22"/>
      <c r="AU173" s="19"/>
      <c r="AV173" s="20"/>
      <c r="AW173" s="20"/>
      <c r="AX173" s="20"/>
      <c r="AY173" s="20"/>
      <c r="AZ173" s="21"/>
      <c r="BA173" s="22"/>
      <c r="BB173" s="22"/>
      <c r="BC173" s="22"/>
      <c r="BD173" s="22"/>
      <c r="BE173" s="19"/>
      <c r="BF173" s="20"/>
      <c r="BG173" s="20"/>
      <c r="BH173" s="20"/>
      <c r="BI173" s="20"/>
      <c r="BJ173" s="21"/>
      <c r="BK173" s="22"/>
      <c r="BL173" s="22"/>
      <c r="BM173" s="22"/>
      <c r="BN173" s="22"/>
      <c r="BO173" s="19"/>
      <c r="BP173" s="20"/>
      <c r="BQ173" s="20"/>
      <c r="BR173" s="20"/>
      <c r="BS173" s="20"/>
      <c r="BT173" s="21"/>
      <c r="BU173" s="22"/>
      <c r="BV173" s="22"/>
      <c r="BW173" s="22"/>
      <c r="BX173" s="22"/>
      <c r="BY173" s="23"/>
      <c r="BZ173" s="24"/>
      <c r="CA173" s="24"/>
      <c r="CB173" s="24"/>
      <c r="CC173" s="24"/>
      <c r="CD173" s="25"/>
      <c r="CE173" s="26"/>
      <c r="CF173" s="26"/>
      <c r="CG173" s="26"/>
      <c r="CH173" s="26"/>
      <c r="CI173" s="27"/>
      <c r="CJ173" s="28"/>
      <c r="CK173" s="28"/>
      <c r="CL173" s="28"/>
      <c r="CM173" s="28"/>
      <c r="CN173" s="25"/>
      <c r="CO173" s="26"/>
      <c r="CP173" s="26"/>
      <c r="CQ173" s="26"/>
      <c r="CR173" s="26"/>
      <c r="CS173" s="27"/>
      <c r="CT173" s="28"/>
      <c r="CU173" s="28"/>
      <c r="CV173" s="28"/>
      <c r="CW173" s="28"/>
      <c r="CX173" s="25"/>
      <c r="CY173" s="26"/>
      <c r="CZ173" s="26"/>
      <c r="DA173" s="26"/>
      <c r="DB173" s="26"/>
      <c r="DC173" s="27"/>
      <c r="DD173" s="28"/>
      <c r="DE173" s="28"/>
      <c r="DF173" s="28"/>
      <c r="DG173" s="28"/>
      <c r="DH173" s="25"/>
      <c r="DI173" s="26"/>
      <c r="DJ173" s="26"/>
      <c r="DK173" s="26"/>
      <c r="DL173" s="26"/>
      <c r="DM173" s="27"/>
      <c r="DN173" s="28"/>
      <c r="DO173" s="28"/>
      <c r="DP173" s="28"/>
      <c r="DQ173" s="28"/>
      <c r="DR173" s="25"/>
      <c r="DS173" s="26"/>
      <c r="DT173" s="26"/>
      <c r="DU173" s="26"/>
      <c r="DV173" s="26"/>
      <c r="DW173" s="27"/>
      <c r="DX173" s="28"/>
      <c r="DY173" s="28"/>
      <c r="DZ173" s="28"/>
      <c r="EA173" s="28"/>
      <c r="EB173" s="29"/>
      <c r="EC173" s="30"/>
      <c r="ED173" s="30"/>
      <c r="EE173" s="30"/>
      <c r="EF173" s="30"/>
      <c r="EG173" s="31"/>
      <c r="EH173" s="32"/>
      <c r="EI173" s="32"/>
      <c r="EJ173" s="32"/>
      <c r="EK173" s="32"/>
      <c r="EL173" s="29"/>
      <c r="EM173" s="30"/>
      <c r="EN173" s="30"/>
      <c r="EO173" s="30"/>
      <c r="EP173" s="30"/>
      <c r="EQ173" s="31"/>
      <c r="ER173" s="32"/>
      <c r="ES173" s="32"/>
      <c r="ET173" s="32"/>
      <c r="EU173" s="32"/>
      <c r="EV173" s="29"/>
      <c r="EW173" s="30"/>
      <c r="EX173" s="30"/>
      <c r="EY173" s="30"/>
      <c r="EZ173" s="30"/>
      <c r="FA173" s="31"/>
      <c r="FB173" s="32"/>
      <c r="FC173" s="32"/>
      <c r="FD173" s="32"/>
      <c r="FE173" s="32"/>
      <c r="FF173" s="29"/>
      <c r="FG173" s="30"/>
      <c r="FH173" s="30"/>
      <c r="FI173" s="30"/>
      <c r="FJ173" s="30"/>
      <c r="FK173" s="31"/>
      <c r="FL173" s="32"/>
      <c r="FM173" s="32"/>
      <c r="FN173" s="32"/>
      <c r="FO173" s="32"/>
      <c r="FP173" s="29"/>
      <c r="FQ173" s="30"/>
      <c r="FR173" s="30"/>
      <c r="FS173" s="30"/>
      <c r="FT173" s="30"/>
      <c r="FU173" s="31"/>
      <c r="FV173" s="32"/>
      <c r="FW173" s="32"/>
      <c r="FX173" s="32"/>
      <c r="FY173" s="32"/>
      <c r="FZ173" s="29"/>
      <c r="GA173" s="30"/>
      <c r="GB173" s="30"/>
      <c r="GC173" s="30"/>
      <c r="GD173" s="30"/>
    </row>
    <row r="174" spans="1:186" ht="48" x14ac:dyDescent="0.25">
      <c r="A174" s="156">
        <v>165</v>
      </c>
      <c r="B174" s="395">
        <f>'Tier 3 Intervention'!B667</f>
        <v>0</v>
      </c>
      <c r="C174" s="395"/>
      <c r="D174" s="395"/>
      <c r="E174" s="395"/>
      <c r="F174" s="395"/>
      <c r="G174" s="395"/>
      <c r="H174" s="761" t="e">
        <f>'Tier 3 Intervention'!AA667+30</f>
        <v>#VALUE!</v>
      </c>
      <c r="I174" s="761"/>
      <c r="J174" s="762" t="e">
        <f t="shared" si="3"/>
        <v>#VALUE!</v>
      </c>
      <c r="K174" s="395"/>
      <c r="L174" s="47" t="s">
        <v>951</v>
      </c>
      <c r="M174" s="46"/>
      <c r="N174" s="46"/>
      <c r="O174" s="46"/>
      <c r="P174" s="49"/>
      <c r="Q174" s="19"/>
      <c r="R174" s="20"/>
      <c r="S174" s="20"/>
      <c r="T174" s="20"/>
      <c r="U174" s="20"/>
      <c r="V174" s="21"/>
      <c r="W174" s="22"/>
      <c r="X174" s="22"/>
      <c r="Y174" s="22"/>
      <c r="Z174" s="22"/>
      <c r="AA174" s="19"/>
      <c r="AB174" s="20"/>
      <c r="AC174" s="20"/>
      <c r="AD174" s="20"/>
      <c r="AE174" s="20"/>
      <c r="AF174" s="21"/>
      <c r="AG174" s="22"/>
      <c r="AH174" s="22"/>
      <c r="AI174" s="22"/>
      <c r="AJ174" s="22"/>
      <c r="AK174" s="19"/>
      <c r="AL174" s="20"/>
      <c r="AM174" s="20"/>
      <c r="AN174" s="20"/>
      <c r="AO174" s="20"/>
      <c r="AP174" s="21"/>
      <c r="AQ174" s="22"/>
      <c r="AR174" s="22"/>
      <c r="AS174" s="22"/>
      <c r="AT174" s="22"/>
      <c r="AU174" s="19"/>
      <c r="AV174" s="20"/>
      <c r="AW174" s="20"/>
      <c r="AX174" s="20"/>
      <c r="AY174" s="20"/>
      <c r="AZ174" s="21"/>
      <c r="BA174" s="22"/>
      <c r="BB174" s="22"/>
      <c r="BC174" s="22"/>
      <c r="BD174" s="22"/>
      <c r="BE174" s="19"/>
      <c r="BF174" s="20"/>
      <c r="BG174" s="20"/>
      <c r="BH174" s="20"/>
      <c r="BI174" s="20"/>
      <c r="BJ174" s="21"/>
      <c r="BK174" s="22"/>
      <c r="BL174" s="22"/>
      <c r="BM174" s="22"/>
      <c r="BN174" s="22"/>
      <c r="BO174" s="19"/>
      <c r="BP174" s="20"/>
      <c r="BQ174" s="20"/>
      <c r="BR174" s="20"/>
      <c r="BS174" s="20"/>
      <c r="BT174" s="21"/>
      <c r="BU174" s="22"/>
      <c r="BV174" s="22"/>
      <c r="BW174" s="22"/>
      <c r="BX174" s="22"/>
      <c r="BY174" s="23"/>
      <c r="BZ174" s="24"/>
      <c r="CA174" s="24"/>
      <c r="CB174" s="24"/>
      <c r="CC174" s="24"/>
      <c r="CD174" s="25"/>
      <c r="CE174" s="26"/>
      <c r="CF174" s="26"/>
      <c r="CG174" s="26"/>
      <c r="CH174" s="26"/>
      <c r="CI174" s="27"/>
      <c r="CJ174" s="28"/>
      <c r="CK174" s="28"/>
      <c r="CL174" s="28"/>
      <c r="CM174" s="28"/>
      <c r="CN174" s="25"/>
      <c r="CO174" s="26"/>
      <c r="CP174" s="26"/>
      <c r="CQ174" s="26"/>
      <c r="CR174" s="26"/>
      <c r="CS174" s="27"/>
      <c r="CT174" s="28"/>
      <c r="CU174" s="28"/>
      <c r="CV174" s="28"/>
      <c r="CW174" s="28"/>
      <c r="CX174" s="25"/>
      <c r="CY174" s="26"/>
      <c r="CZ174" s="26"/>
      <c r="DA174" s="26"/>
      <c r="DB174" s="26"/>
      <c r="DC174" s="27"/>
      <c r="DD174" s="28"/>
      <c r="DE174" s="28"/>
      <c r="DF174" s="28"/>
      <c r="DG174" s="28"/>
      <c r="DH174" s="25"/>
      <c r="DI174" s="26"/>
      <c r="DJ174" s="26"/>
      <c r="DK174" s="26"/>
      <c r="DL174" s="26"/>
      <c r="DM174" s="27"/>
      <c r="DN174" s="28"/>
      <c r="DO174" s="28"/>
      <c r="DP174" s="28"/>
      <c r="DQ174" s="28"/>
      <c r="DR174" s="25"/>
      <c r="DS174" s="26"/>
      <c r="DT174" s="26"/>
      <c r="DU174" s="26"/>
      <c r="DV174" s="26"/>
      <c r="DW174" s="27"/>
      <c r="DX174" s="28"/>
      <c r="DY174" s="28"/>
      <c r="DZ174" s="28"/>
      <c r="EA174" s="28"/>
      <c r="EB174" s="29"/>
      <c r="EC174" s="30"/>
      <c r="ED174" s="30"/>
      <c r="EE174" s="30"/>
      <c r="EF174" s="30"/>
      <c r="EG174" s="31"/>
      <c r="EH174" s="32"/>
      <c r="EI174" s="32"/>
      <c r="EJ174" s="32"/>
      <c r="EK174" s="32"/>
      <c r="EL174" s="29"/>
      <c r="EM174" s="30"/>
      <c r="EN174" s="30"/>
      <c r="EO174" s="30"/>
      <c r="EP174" s="30"/>
      <c r="EQ174" s="31"/>
      <c r="ER174" s="32"/>
      <c r="ES174" s="32"/>
      <c r="ET174" s="32"/>
      <c r="EU174" s="32"/>
      <c r="EV174" s="29"/>
      <c r="EW174" s="30"/>
      <c r="EX174" s="30"/>
      <c r="EY174" s="30"/>
      <c r="EZ174" s="30"/>
      <c r="FA174" s="31"/>
      <c r="FB174" s="32"/>
      <c r="FC174" s="32"/>
      <c r="FD174" s="32"/>
      <c r="FE174" s="32"/>
      <c r="FF174" s="29"/>
      <c r="FG174" s="30"/>
      <c r="FH174" s="30"/>
      <c r="FI174" s="30"/>
      <c r="FJ174" s="30"/>
      <c r="FK174" s="31"/>
      <c r="FL174" s="32"/>
      <c r="FM174" s="32"/>
      <c r="FN174" s="32"/>
      <c r="FO174" s="32"/>
      <c r="FP174" s="29"/>
      <c r="FQ174" s="30"/>
      <c r="FR174" s="30"/>
      <c r="FS174" s="30"/>
      <c r="FT174" s="30"/>
      <c r="FU174" s="31"/>
      <c r="FV174" s="32"/>
      <c r="FW174" s="32"/>
      <c r="FX174" s="32"/>
      <c r="FY174" s="32"/>
      <c r="FZ174" s="29"/>
      <c r="GA174" s="30"/>
      <c r="GB174" s="30"/>
      <c r="GC174" s="30"/>
      <c r="GD174" s="30"/>
    </row>
    <row r="175" spans="1:186" ht="48" x14ac:dyDescent="0.25">
      <c r="A175" s="156">
        <v>166</v>
      </c>
      <c r="B175" s="395">
        <f>'Tier 3 Intervention'!B671</f>
        <v>0</v>
      </c>
      <c r="C175" s="395"/>
      <c r="D175" s="395"/>
      <c r="E175" s="395"/>
      <c r="F175" s="395"/>
      <c r="G175" s="395"/>
      <c r="H175" s="761" t="e">
        <f>'Tier 3 Intervention'!AA671+30</f>
        <v>#VALUE!</v>
      </c>
      <c r="I175" s="761"/>
      <c r="J175" s="762" t="e">
        <f t="shared" si="3"/>
        <v>#VALUE!</v>
      </c>
      <c r="K175" s="395"/>
      <c r="L175" s="47" t="s">
        <v>952</v>
      </c>
      <c r="M175" s="46"/>
      <c r="N175" s="46"/>
      <c r="O175" s="46"/>
      <c r="P175" s="49"/>
      <c r="Q175" s="19"/>
      <c r="R175" s="20"/>
      <c r="S175" s="20"/>
      <c r="T175" s="20"/>
      <c r="U175" s="20"/>
      <c r="V175" s="21"/>
      <c r="W175" s="22"/>
      <c r="X175" s="22"/>
      <c r="Y175" s="22"/>
      <c r="Z175" s="22"/>
      <c r="AA175" s="19"/>
      <c r="AB175" s="20"/>
      <c r="AC175" s="20"/>
      <c r="AD175" s="20"/>
      <c r="AE175" s="20"/>
      <c r="AF175" s="21"/>
      <c r="AG175" s="22"/>
      <c r="AH175" s="22"/>
      <c r="AI175" s="22"/>
      <c r="AJ175" s="22"/>
      <c r="AK175" s="19"/>
      <c r="AL175" s="20"/>
      <c r="AM175" s="20"/>
      <c r="AN175" s="20"/>
      <c r="AO175" s="20"/>
      <c r="AP175" s="21"/>
      <c r="AQ175" s="22"/>
      <c r="AR175" s="22"/>
      <c r="AS175" s="22"/>
      <c r="AT175" s="22"/>
      <c r="AU175" s="19"/>
      <c r="AV175" s="20"/>
      <c r="AW175" s="20"/>
      <c r="AX175" s="20"/>
      <c r="AY175" s="20"/>
      <c r="AZ175" s="21"/>
      <c r="BA175" s="22"/>
      <c r="BB175" s="22"/>
      <c r="BC175" s="22"/>
      <c r="BD175" s="22"/>
      <c r="BE175" s="19"/>
      <c r="BF175" s="20"/>
      <c r="BG175" s="20"/>
      <c r="BH175" s="20"/>
      <c r="BI175" s="20"/>
      <c r="BJ175" s="21"/>
      <c r="BK175" s="22"/>
      <c r="BL175" s="22"/>
      <c r="BM175" s="22"/>
      <c r="BN175" s="22"/>
      <c r="BO175" s="19"/>
      <c r="BP175" s="20"/>
      <c r="BQ175" s="20"/>
      <c r="BR175" s="20"/>
      <c r="BS175" s="20"/>
      <c r="BT175" s="21"/>
      <c r="BU175" s="22"/>
      <c r="BV175" s="22"/>
      <c r="BW175" s="22"/>
      <c r="BX175" s="22"/>
      <c r="BY175" s="23"/>
      <c r="BZ175" s="24"/>
      <c r="CA175" s="24"/>
      <c r="CB175" s="24"/>
      <c r="CC175" s="24"/>
      <c r="CD175" s="25"/>
      <c r="CE175" s="26"/>
      <c r="CF175" s="26"/>
      <c r="CG175" s="26"/>
      <c r="CH175" s="26"/>
      <c r="CI175" s="27"/>
      <c r="CJ175" s="28"/>
      <c r="CK175" s="28"/>
      <c r="CL175" s="28"/>
      <c r="CM175" s="28"/>
      <c r="CN175" s="25"/>
      <c r="CO175" s="26"/>
      <c r="CP175" s="26"/>
      <c r="CQ175" s="26"/>
      <c r="CR175" s="26"/>
      <c r="CS175" s="27"/>
      <c r="CT175" s="28"/>
      <c r="CU175" s="28"/>
      <c r="CV175" s="28"/>
      <c r="CW175" s="28"/>
      <c r="CX175" s="25"/>
      <c r="CY175" s="26"/>
      <c r="CZ175" s="26"/>
      <c r="DA175" s="26"/>
      <c r="DB175" s="26"/>
      <c r="DC175" s="27"/>
      <c r="DD175" s="28"/>
      <c r="DE175" s="28"/>
      <c r="DF175" s="28"/>
      <c r="DG175" s="28"/>
      <c r="DH175" s="25"/>
      <c r="DI175" s="26"/>
      <c r="DJ175" s="26"/>
      <c r="DK175" s="26"/>
      <c r="DL175" s="26"/>
      <c r="DM175" s="27"/>
      <c r="DN175" s="28"/>
      <c r="DO175" s="28"/>
      <c r="DP175" s="28"/>
      <c r="DQ175" s="28"/>
      <c r="DR175" s="25"/>
      <c r="DS175" s="26"/>
      <c r="DT175" s="26"/>
      <c r="DU175" s="26"/>
      <c r="DV175" s="26"/>
      <c r="DW175" s="27"/>
      <c r="DX175" s="28"/>
      <c r="DY175" s="28"/>
      <c r="DZ175" s="28"/>
      <c r="EA175" s="28"/>
      <c r="EB175" s="29"/>
      <c r="EC175" s="30"/>
      <c r="ED175" s="30"/>
      <c r="EE175" s="30"/>
      <c r="EF175" s="30"/>
      <c r="EG175" s="31"/>
      <c r="EH175" s="32"/>
      <c r="EI175" s="32"/>
      <c r="EJ175" s="32"/>
      <c r="EK175" s="32"/>
      <c r="EL175" s="29"/>
      <c r="EM175" s="30"/>
      <c r="EN175" s="30"/>
      <c r="EO175" s="30"/>
      <c r="EP175" s="30"/>
      <c r="EQ175" s="31"/>
      <c r="ER175" s="32"/>
      <c r="ES175" s="32"/>
      <c r="ET175" s="32"/>
      <c r="EU175" s="32"/>
      <c r="EV175" s="29"/>
      <c r="EW175" s="30"/>
      <c r="EX175" s="30"/>
      <c r="EY175" s="30"/>
      <c r="EZ175" s="30"/>
      <c r="FA175" s="31"/>
      <c r="FB175" s="32"/>
      <c r="FC175" s="32"/>
      <c r="FD175" s="32"/>
      <c r="FE175" s="32"/>
      <c r="FF175" s="29"/>
      <c r="FG175" s="30"/>
      <c r="FH175" s="30"/>
      <c r="FI175" s="30"/>
      <c r="FJ175" s="30"/>
      <c r="FK175" s="31"/>
      <c r="FL175" s="32"/>
      <c r="FM175" s="32"/>
      <c r="FN175" s="32"/>
      <c r="FO175" s="32"/>
      <c r="FP175" s="29"/>
      <c r="FQ175" s="30"/>
      <c r="FR175" s="30"/>
      <c r="FS175" s="30"/>
      <c r="FT175" s="30"/>
      <c r="FU175" s="31"/>
      <c r="FV175" s="32"/>
      <c r="FW175" s="32"/>
      <c r="FX175" s="32"/>
      <c r="FY175" s="32"/>
      <c r="FZ175" s="29"/>
      <c r="GA175" s="30"/>
      <c r="GB175" s="30"/>
      <c r="GC175" s="30"/>
      <c r="GD175" s="30"/>
    </row>
    <row r="176" spans="1:186" ht="48" x14ac:dyDescent="0.25">
      <c r="A176" s="156">
        <v>167</v>
      </c>
      <c r="B176" s="395">
        <f>'Tier 3 Intervention'!B675</f>
        <v>0</v>
      </c>
      <c r="C176" s="395"/>
      <c r="D176" s="395"/>
      <c r="E176" s="395"/>
      <c r="F176" s="395"/>
      <c r="G176" s="395"/>
      <c r="H176" s="761" t="e">
        <f>'Tier 3 Intervention'!AA675+30</f>
        <v>#VALUE!</v>
      </c>
      <c r="I176" s="761"/>
      <c r="J176" s="762" t="e">
        <f t="shared" si="3"/>
        <v>#VALUE!</v>
      </c>
      <c r="K176" s="395"/>
      <c r="L176" s="47" t="s">
        <v>953</v>
      </c>
      <c r="M176" s="46"/>
      <c r="N176" s="46"/>
      <c r="O176" s="46"/>
      <c r="P176" s="49"/>
      <c r="Q176" s="19"/>
      <c r="R176" s="20"/>
      <c r="S176" s="20"/>
      <c r="T176" s="20"/>
      <c r="U176" s="20"/>
      <c r="V176" s="21"/>
      <c r="W176" s="22"/>
      <c r="X176" s="22"/>
      <c r="Y176" s="22"/>
      <c r="Z176" s="22"/>
      <c r="AA176" s="19"/>
      <c r="AB176" s="20"/>
      <c r="AC176" s="20"/>
      <c r="AD176" s="20"/>
      <c r="AE176" s="20"/>
      <c r="AF176" s="21"/>
      <c r="AG176" s="22"/>
      <c r="AH176" s="22"/>
      <c r="AI176" s="22"/>
      <c r="AJ176" s="22"/>
      <c r="AK176" s="19"/>
      <c r="AL176" s="20"/>
      <c r="AM176" s="20"/>
      <c r="AN176" s="20"/>
      <c r="AO176" s="20"/>
      <c r="AP176" s="21"/>
      <c r="AQ176" s="22"/>
      <c r="AR176" s="22"/>
      <c r="AS176" s="22"/>
      <c r="AT176" s="22"/>
      <c r="AU176" s="19"/>
      <c r="AV176" s="20"/>
      <c r="AW176" s="20"/>
      <c r="AX176" s="20"/>
      <c r="AY176" s="20"/>
      <c r="AZ176" s="21"/>
      <c r="BA176" s="22"/>
      <c r="BB176" s="22"/>
      <c r="BC176" s="22"/>
      <c r="BD176" s="22"/>
      <c r="BE176" s="19"/>
      <c r="BF176" s="20"/>
      <c r="BG176" s="20"/>
      <c r="BH176" s="20"/>
      <c r="BI176" s="20"/>
      <c r="BJ176" s="21"/>
      <c r="BK176" s="22"/>
      <c r="BL176" s="22"/>
      <c r="BM176" s="22"/>
      <c r="BN176" s="22"/>
      <c r="BO176" s="19"/>
      <c r="BP176" s="20"/>
      <c r="BQ176" s="20"/>
      <c r="BR176" s="20"/>
      <c r="BS176" s="20"/>
      <c r="BT176" s="21"/>
      <c r="BU176" s="22"/>
      <c r="BV176" s="22"/>
      <c r="BW176" s="22"/>
      <c r="BX176" s="22"/>
      <c r="BY176" s="23"/>
      <c r="BZ176" s="24"/>
      <c r="CA176" s="24"/>
      <c r="CB176" s="24"/>
      <c r="CC176" s="24"/>
      <c r="CD176" s="25"/>
      <c r="CE176" s="26"/>
      <c r="CF176" s="26"/>
      <c r="CG176" s="26"/>
      <c r="CH176" s="26"/>
      <c r="CI176" s="27"/>
      <c r="CJ176" s="28"/>
      <c r="CK176" s="28"/>
      <c r="CL176" s="28"/>
      <c r="CM176" s="28"/>
      <c r="CN176" s="25"/>
      <c r="CO176" s="26"/>
      <c r="CP176" s="26"/>
      <c r="CQ176" s="26"/>
      <c r="CR176" s="26"/>
      <c r="CS176" s="27"/>
      <c r="CT176" s="28"/>
      <c r="CU176" s="28"/>
      <c r="CV176" s="28"/>
      <c r="CW176" s="28"/>
      <c r="CX176" s="25"/>
      <c r="CY176" s="26"/>
      <c r="CZ176" s="26"/>
      <c r="DA176" s="26"/>
      <c r="DB176" s="26"/>
      <c r="DC176" s="27"/>
      <c r="DD176" s="28"/>
      <c r="DE176" s="28"/>
      <c r="DF176" s="28"/>
      <c r="DG176" s="28"/>
      <c r="DH176" s="25"/>
      <c r="DI176" s="26"/>
      <c r="DJ176" s="26"/>
      <c r="DK176" s="26"/>
      <c r="DL176" s="26"/>
      <c r="DM176" s="27"/>
      <c r="DN176" s="28"/>
      <c r="DO176" s="28"/>
      <c r="DP176" s="28"/>
      <c r="DQ176" s="28"/>
      <c r="DR176" s="25"/>
      <c r="DS176" s="26"/>
      <c r="DT176" s="26"/>
      <c r="DU176" s="26"/>
      <c r="DV176" s="26"/>
      <c r="DW176" s="27"/>
      <c r="DX176" s="28"/>
      <c r="DY176" s="28"/>
      <c r="DZ176" s="28"/>
      <c r="EA176" s="28"/>
      <c r="EB176" s="29"/>
      <c r="EC176" s="30"/>
      <c r="ED176" s="30"/>
      <c r="EE176" s="30"/>
      <c r="EF176" s="30"/>
      <c r="EG176" s="31"/>
      <c r="EH176" s="32"/>
      <c r="EI176" s="32"/>
      <c r="EJ176" s="32"/>
      <c r="EK176" s="32"/>
      <c r="EL176" s="29"/>
      <c r="EM176" s="30"/>
      <c r="EN176" s="30"/>
      <c r="EO176" s="30"/>
      <c r="EP176" s="30"/>
      <c r="EQ176" s="31"/>
      <c r="ER176" s="32"/>
      <c r="ES176" s="32"/>
      <c r="ET176" s="32"/>
      <c r="EU176" s="32"/>
      <c r="EV176" s="29"/>
      <c r="EW176" s="30"/>
      <c r="EX176" s="30"/>
      <c r="EY176" s="30"/>
      <c r="EZ176" s="30"/>
      <c r="FA176" s="31"/>
      <c r="FB176" s="32"/>
      <c r="FC176" s="32"/>
      <c r="FD176" s="32"/>
      <c r="FE176" s="32"/>
      <c r="FF176" s="29"/>
      <c r="FG176" s="30"/>
      <c r="FH176" s="30"/>
      <c r="FI176" s="30"/>
      <c r="FJ176" s="30"/>
      <c r="FK176" s="31"/>
      <c r="FL176" s="32"/>
      <c r="FM176" s="32"/>
      <c r="FN176" s="32"/>
      <c r="FO176" s="32"/>
      <c r="FP176" s="29"/>
      <c r="FQ176" s="30"/>
      <c r="FR176" s="30"/>
      <c r="FS176" s="30"/>
      <c r="FT176" s="30"/>
      <c r="FU176" s="31"/>
      <c r="FV176" s="32"/>
      <c r="FW176" s="32"/>
      <c r="FX176" s="32"/>
      <c r="FY176" s="32"/>
      <c r="FZ176" s="29"/>
      <c r="GA176" s="30"/>
      <c r="GB176" s="30"/>
      <c r="GC176" s="30"/>
      <c r="GD176" s="30"/>
    </row>
    <row r="177" spans="1:186" ht="48" x14ac:dyDescent="0.25">
      <c r="A177" s="156">
        <v>168</v>
      </c>
      <c r="B177" s="395">
        <f>'Tier 3 Intervention'!B679</f>
        <v>0</v>
      </c>
      <c r="C177" s="395"/>
      <c r="D177" s="395"/>
      <c r="E177" s="395"/>
      <c r="F177" s="395"/>
      <c r="G177" s="395"/>
      <c r="H177" s="761" t="e">
        <f>'Tier 3 Intervention'!AA679+30</f>
        <v>#VALUE!</v>
      </c>
      <c r="I177" s="761"/>
      <c r="J177" s="762" t="e">
        <f t="shared" si="3"/>
        <v>#VALUE!</v>
      </c>
      <c r="K177" s="395"/>
      <c r="L177" s="47" t="s">
        <v>954</v>
      </c>
      <c r="M177" s="46"/>
      <c r="N177" s="46"/>
      <c r="O177" s="46"/>
      <c r="P177" s="49"/>
      <c r="Q177" s="19"/>
      <c r="R177" s="20"/>
      <c r="S177" s="20"/>
      <c r="T177" s="20"/>
      <c r="U177" s="20"/>
      <c r="V177" s="21"/>
      <c r="W177" s="22"/>
      <c r="X177" s="22"/>
      <c r="Y177" s="22"/>
      <c r="Z177" s="22"/>
      <c r="AA177" s="19"/>
      <c r="AB177" s="20"/>
      <c r="AC177" s="20"/>
      <c r="AD177" s="20"/>
      <c r="AE177" s="20"/>
      <c r="AF177" s="21"/>
      <c r="AG177" s="22"/>
      <c r="AH177" s="22"/>
      <c r="AI177" s="22"/>
      <c r="AJ177" s="22"/>
      <c r="AK177" s="19"/>
      <c r="AL177" s="20"/>
      <c r="AM177" s="20"/>
      <c r="AN177" s="20"/>
      <c r="AO177" s="20"/>
      <c r="AP177" s="21"/>
      <c r="AQ177" s="22"/>
      <c r="AR177" s="22"/>
      <c r="AS177" s="22"/>
      <c r="AT177" s="22"/>
      <c r="AU177" s="19"/>
      <c r="AV177" s="20"/>
      <c r="AW177" s="20"/>
      <c r="AX177" s="20"/>
      <c r="AY177" s="20"/>
      <c r="AZ177" s="21"/>
      <c r="BA177" s="22"/>
      <c r="BB177" s="22"/>
      <c r="BC177" s="22"/>
      <c r="BD177" s="22"/>
      <c r="BE177" s="19"/>
      <c r="BF177" s="20"/>
      <c r="BG177" s="20"/>
      <c r="BH177" s="20"/>
      <c r="BI177" s="20"/>
      <c r="BJ177" s="21"/>
      <c r="BK177" s="22"/>
      <c r="BL177" s="22"/>
      <c r="BM177" s="22"/>
      <c r="BN177" s="22"/>
      <c r="BO177" s="19"/>
      <c r="BP177" s="20"/>
      <c r="BQ177" s="20"/>
      <c r="BR177" s="20"/>
      <c r="BS177" s="20"/>
      <c r="BT177" s="21"/>
      <c r="BU177" s="22"/>
      <c r="BV177" s="22"/>
      <c r="BW177" s="22"/>
      <c r="BX177" s="22"/>
      <c r="BY177" s="23"/>
      <c r="BZ177" s="24"/>
      <c r="CA177" s="24"/>
      <c r="CB177" s="24"/>
      <c r="CC177" s="24"/>
      <c r="CD177" s="25"/>
      <c r="CE177" s="26"/>
      <c r="CF177" s="26"/>
      <c r="CG177" s="26"/>
      <c r="CH177" s="26"/>
      <c r="CI177" s="27"/>
      <c r="CJ177" s="28"/>
      <c r="CK177" s="28"/>
      <c r="CL177" s="28"/>
      <c r="CM177" s="28"/>
      <c r="CN177" s="25"/>
      <c r="CO177" s="26"/>
      <c r="CP177" s="26"/>
      <c r="CQ177" s="26"/>
      <c r="CR177" s="26"/>
      <c r="CS177" s="27"/>
      <c r="CT177" s="28"/>
      <c r="CU177" s="28"/>
      <c r="CV177" s="28"/>
      <c r="CW177" s="28"/>
      <c r="CX177" s="25"/>
      <c r="CY177" s="26"/>
      <c r="CZ177" s="26"/>
      <c r="DA177" s="26"/>
      <c r="DB177" s="26"/>
      <c r="DC177" s="27"/>
      <c r="DD177" s="28"/>
      <c r="DE177" s="28"/>
      <c r="DF177" s="28"/>
      <c r="DG177" s="28"/>
      <c r="DH177" s="25"/>
      <c r="DI177" s="26"/>
      <c r="DJ177" s="26"/>
      <c r="DK177" s="26"/>
      <c r="DL177" s="26"/>
      <c r="DM177" s="27"/>
      <c r="DN177" s="28"/>
      <c r="DO177" s="28"/>
      <c r="DP177" s="28"/>
      <c r="DQ177" s="28"/>
      <c r="DR177" s="25"/>
      <c r="DS177" s="26"/>
      <c r="DT177" s="26"/>
      <c r="DU177" s="26"/>
      <c r="DV177" s="26"/>
      <c r="DW177" s="27"/>
      <c r="DX177" s="28"/>
      <c r="DY177" s="28"/>
      <c r="DZ177" s="28"/>
      <c r="EA177" s="28"/>
      <c r="EB177" s="29"/>
      <c r="EC177" s="30"/>
      <c r="ED177" s="30"/>
      <c r="EE177" s="30"/>
      <c r="EF177" s="30"/>
      <c r="EG177" s="31"/>
      <c r="EH177" s="32"/>
      <c r="EI177" s="32"/>
      <c r="EJ177" s="32"/>
      <c r="EK177" s="32"/>
      <c r="EL177" s="29"/>
      <c r="EM177" s="30"/>
      <c r="EN177" s="30"/>
      <c r="EO177" s="30"/>
      <c r="EP177" s="30"/>
      <c r="EQ177" s="31"/>
      <c r="ER177" s="32"/>
      <c r="ES177" s="32"/>
      <c r="ET177" s="32"/>
      <c r="EU177" s="32"/>
      <c r="EV177" s="29"/>
      <c r="EW177" s="30"/>
      <c r="EX177" s="30"/>
      <c r="EY177" s="30"/>
      <c r="EZ177" s="30"/>
      <c r="FA177" s="31"/>
      <c r="FB177" s="32"/>
      <c r="FC177" s="32"/>
      <c r="FD177" s="32"/>
      <c r="FE177" s="32"/>
      <c r="FF177" s="29"/>
      <c r="FG177" s="30"/>
      <c r="FH177" s="30"/>
      <c r="FI177" s="30"/>
      <c r="FJ177" s="30"/>
      <c r="FK177" s="31"/>
      <c r="FL177" s="32"/>
      <c r="FM177" s="32"/>
      <c r="FN177" s="32"/>
      <c r="FO177" s="32"/>
      <c r="FP177" s="29"/>
      <c r="FQ177" s="30"/>
      <c r="FR177" s="30"/>
      <c r="FS177" s="30"/>
      <c r="FT177" s="30"/>
      <c r="FU177" s="31"/>
      <c r="FV177" s="32"/>
      <c r="FW177" s="32"/>
      <c r="FX177" s="32"/>
      <c r="FY177" s="32"/>
      <c r="FZ177" s="29"/>
      <c r="GA177" s="30"/>
      <c r="GB177" s="30"/>
      <c r="GC177" s="30"/>
      <c r="GD177" s="30"/>
    </row>
    <row r="178" spans="1:186" ht="48" x14ac:dyDescent="0.25">
      <c r="A178" s="156">
        <v>169</v>
      </c>
      <c r="B178" s="395">
        <f>'Tier 3 Intervention'!B683</f>
        <v>0</v>
      </c>
      <c r="C178" s="395"/>
      <c r="D178" s="395"/>
      <c r="E178" s="395"/>
      <c r="F178" s="395"/>
      <c r="G178" s="395"/>
      <c r="H178" s="761" t="e">
        <f>'Tier 3 Intervention'!AA683+30</f>
        <v>#VALUE!</v>
      </c>
      <c r="I178" s="761"/>
      <c r="J178" s="762" t="e">
        <f t="shared" si="3"/>
        <v>#VALUE!</v>
      </c>
      <c r="K178" s="395"/>
      <c r="L178" s="47" t="s">
        <v>955</v>
      </c>
      <c r="M178" s="46"/>
      <c r="N178" s="46"/>
      <c r="O178" s="46"/>
      <c r="P178" s="49"/>
      <c r="Q178" s="19"/>
      <c r="R178" s="20"/>
      <c r="S178" s="20"/>
      <c r="T178" s="20"/>
      <c r="U178" s="20"/>
      <c r="V178" s="21"/>
      <c r="W178" s="22"/>
      <c r="X178" s="22"/>
      <c r="Y178" s="22"/>
      <c r="Z178" s="22"/>
      <c r="AA178" s="19"/>
      <c r="AB178" s="20"/>
      <c r="AC178" s="20"/>
      <c r="AD178" s="20"/>
      <c r="AE178" s="20"/>
      <c r="AF178" s="21"/>
      <c r="AG178" s="22"/>
      <c r="AH178" s="22"/>
      <c r="AI178" s="22"/>
      <c r="AJ178" s="22"/>
      <c r="AK178" s="19"/>
      <c r="AL178" s="20"/>
      <c r="AM178" s="20"/>
      <c r="AN178" s="20"/>
      <c r="AO178" s="20"/>
      <c r="AP178" s="21"/>
      <c r="AQ178" s="22"/>
      <c r="AR178" s="22"/>
      <c r="AS178" s="22"/>
      <c r="AT178" s="22"/>
      <c r="AU178" s="19"/>
      <c r="AV178" s="20"/>
      <c r="AW178" s="20"/>
      <c r="AX178" s="20"/>
      <c r="AY178" s="20"/>
      <c r="AZ178" s="21"/>
      <c r="BA178" s="22"/>
      <c r="BB178" s="22"/>
      <c r="BC178" s="22"/>
      <c r="BD178" s="22"/>
      <c r="BE178" s="19"/>
      <c r="BF178" s="20"/>
      <c r="BG178" s="20"/>
      <c r="BH178" s="20"/>
      <c r="BI178" s="20"/>
      <c r="BJ178" s="21"/>
      <c r="BK178" s="22"/>
      <c r="BL178" s="22"/>
      <c r="BM178" s="22"/>
      <c r="BN178" s="22"/>
      <c r="BO178" s="19"/>
      <c r="BP178" s="20"/>
      <c r="BQ178" s="20"/>
      <c r="BR178" s="20"/>
      <c r="BS178" s="20"/>
      <c r="BT178" s="21"/>
      <c r="BU178" s="22"/>
      <c r="BV178" s="22"/>
      <c r="BW178" s="22"/>
      <c r="BX178" s="22"/>
      <c r="BY178" s="23"/>
      <c r="BZ178" s="24"/>
      <c r="CA178" s="24"/>
      <c r="CB178" s="24"/>
      <c r="CC178" s="24"/>
      <c r="CD178" s="25"/>
      <c r="CE178" s="26"/>
      <c r="CF178" s="26"/>
      <c r="CG178" s="26"/>
      <c r="CH178" s="26"/>
      <c r="CI178" s="27"/>
      <c r="CJ178" s="28"/>
      <c r="CK178" s="28"/>
      <c r="CL178" s="28"/>
      <c r="CM178" s="28"/>
      <c r="CN178" s="25"/>
      <c r="CO178" s="26"/>
      <c r="CP178" s="26"/>
      <c r="CQ178" s="26"/>
      <c r="CR178" s="26"/>
      <c r="CS178" s="27"/>
      <c r="CT178" s="28"/>
      <c r="CU178" s="28"/>
      <c r="CV178" s="28"/>
      <c r="CW178" s="28"/>
      <c r="CX178" s="25"/>
      <c r="CY178" s="26"/>
      <c r="CZ178" s="26"/>
      <c r="DA178" s="26"/>
      <c r="DB178" s="26"/>
      <c r="DC178" s="27"/>
      <c r="DD178" s="28"/>
      <c r="DE178" s="28"/>
      <c r="DF178" s="28"/>
      <c r="DG178" s="28"/>
      <c r="DH178" s="25"/>
      <c r="DI178" s="26"/>
      <c r="DJ178" s="26"/>
      <c r="DK178" s="26"/>
      <c r="DL178" s="26"/>
      <c r="DM178" s="27"/>
      <c r="DN178" s="28"/>
      <c r="DO178" s="28"/>
      <c r="DP178" s="28"/>
      <c r="DQ178" s="28"/>
      <c r="DR178" s="25"/>
      <c r="DS178" s="26"/>
      <c r="DT178" s="26"/>
      <c r="DU178" s="26"/>
      <c r="DV178" s="26"/>
      <c r="DW178" s="27"/>
      <c r="DX178" s="28"/>
      <c r="DY178" s="28"/>
      <c r="DZ178" s="28"/>
      <c r="EA178" s="28"/>
      <c r="EB178" s="29"/>
      <c r="EC178" s="30"/>
      <c r="ED178" s="30"/>
      <c r="EE178" s="30"/>
      <c r="EF178" s="30"/>
      <c r="EG178" s="31"/>
      <c r="EH178" s="32"/>
      <c r="EI178" s="32"/>
      <c r="EJ178" s="32"/>
      <c r="EK178" s="32"/>
      <c r="EL178" s="29"/>
      <c r="EM178" s="30"/>
      <c r="EN178" s="30"/>
      <c r="EO178" s="30"/>
      <c r="EP178" s="30"/>
      <c r="EQ178" s="31"/>
      <c r="ER178" s="32"/>
      <c r="ES178" s="32"/>
      <c r="ET178" s="32"/>
      <c r="EU178" s="32"/>
      <c r="EV178" s="29"/>
      <c r="EW178" s="30"/>
      <c r="EX178" s="30"/>
      <c r="EY178" s="30"/>
      <c r="EZ178" s="30"/>
      <c r="FA178" s="31"/>
      <c r="FB178" s="32"/>
      <c r="FC178" s="32"/>
      <c r="FD178" s="32"/>
      <c r="FE178" s="32"/>
      <c r="FF178" s="29"/>
      <c r="FG178" s="30"/>
      <c r="FH178" s="30"/>
      <c r="FI178" s="30"/>
      <c r="FJ178" s="30"/>
      <c r="FK178" s="31"/>
      <c r="FL178" s="32"/>
      <c r="FM178" s="32"/>
      <c r="FN178" s="32"/>
      <c r="FO178" s="32"/>
      <c r="FP178" s="29"/>
      <c r="FQ178" s="30"/>
      <c r="FR178" s="30"/>
      <c r="FS178" s="30"/>
      <c r="FT178" s="30"/>
      <c r="FU178" s="31"/>
      <c r="FV178" s="32"/>
      <c r="FW178" s="32"/>
      <c r="FX178" s="32"/>
      <c r="FY178" s="32"/>
      <c r="FZ178" s="29"/>
      <c r="GA178" s="30"/>
      <c r="GB178" s="30"/>
      <c r="GC178" s="30"/>
      <c r="GD178" s="30"/>
    </row>
    <row r="179" spans="1:186" ht="48" x14ac:dyDescent="0.25">
      <c r="A179" s="156">
        <v>170</v>
      </c>
      <c r="B179" s="395">
        <f>'Tier 3 Intervention'!B687</f>
        <v>0</v>
      </c>
      <c r="C179" s="395"/>
      <c r="D179" s="395"/>
      <c r="E179" s="395"/>
      <c r="F179" s="395"/>
      <c r="G179" s="395"/>
      <c r="H179" s="761" t="e">
        <f>'Tier 3 Intervention'!AA687+30</f>
        <v>#VALUE!</v>
      </c>
      <c r="I179" s="761"/>
      <c r="J179" s="762" t="e">
        <f t="shared" si="3"/>
        <v>#VALUE!</v>
      </c>
      <c r="K179" s="395"/>
      <c r="L179" s="47" t="s">
        <v>956</v>
      </c>
      <c r="M179" s="46"/>
      <c r="N179" s="46"/>
      <c r="O179" s="46"/>
      <c r="P179" s="49"/>
      <c r="Q179" s="19"/>
      <c r="R179" s="20"/>
      <c r="S179" s="20"/>
      <c r="T179" s="20"/>
      <c r="U179" s="20"/>
      <c r="V179" s="21"/>
      <c r="W179" s="22"/>
      <c r="X179" s="22"/>
      <c r="Y179" s="22"/>
      <c r="Z179" s="22"/>
      <c r="AA179" s="19"/>
      <c r="AB179" s="20"/>
      <c r="AC179" s="20"/>
      <c r="AD179" s="20"/>
      <c r="AE179" s="20"/>
      <c r="AF179" s="21"/>
      <c r="AG179" s="22"/>
      <c r="AH179" s="22"/>
      <c r="AI179" s="22"/>
      <c r="AJ179" s="22"/>
      <c r="AK179" s="19"/>
      <c r="AL179" s="20"/>
      <c r="AM179" s="20"/>
      <c r="AN179" s="20"/>
      <c r="AO179" s="20"/>
      <c r="AP179" s="21"/>
      <c r="AQ179" s="22"/>
      <c r="AR179" s="22"/>
      <c r="AS179" s="22"/>
      <c r="AT179" s="22"/>
      <c r="AU179" s="19"/>
      <c r="AV179" s="20"/>
      <c r="AW179" s="20"/>
      <c r="AX179" s="20"/>
      <c r="AY179" s="20"/>
      <c r="AZ179" s="21"/>
      <c r="BA179" s="22"/>
      <c r="BB179" s="22"/>
      <c r="BC179" s="22"/>
      <c r="BD179" s="22"/>
      <c r="BE179" s="19"/>
      <c r="BF179" s="20"/>
      <c r="BG179" s="20"/>
      <c r="BH179" s="20"/>
      <c r="BI179" s="20"/>
      <c r="BJ179" s="21"/>
      <c r="BK179" s="22"/>
      <c r="BL179" s="22"/>
      <c r="BM179" s="22"/>
      <c r="BN179" s="22"/>
      <c r="BO179" s="19"/>
      <c r="BP179" s="20"/>
      <c r="BQ179" s="20"/>
      <c r="BR179" s="20"/>
      <c r="BS179" s="20"/>
      <c r="BT179" s="21"/>
      <c r="BU179" s="22"/>
      <c r="BV179" s="22"/>
      <c r="BW179" s="22"/>
      <c r="BX179" s="22"/>
      <c r="BY179" s="23"/>
      <c r="BZ179" s="24"/>
      <c r="CA179" s="24"/>
      <c r="CB179" s="24"/>
      <c r="CC179" s="24"/>
      <c r="CD179" s="25"/>
      <c r="CE179" s="26"/>
      <c r="CF179" s="26"/>
      <c r="CG179" s="26"/>
      <c r="CH179" s="26"/>
      <c r="CI179" s="27"/>
      <c r="CJ179" s="28"/>
      <c r="CK179" s="28"/>
      <c r="CL179" s="28"/>
      <c r="CM179" s="28"/>
      <c r="CN179" s="25"/>
      <c r="CO179" s="26"/>
      <c r="CP179" s="26"/>
      <c r="CQ179" s="26"/>
      <c r="CR179" s="26"/>
      <c r="CS179" s="27"/>
      <c r="CT179" s="28"/>
      <c r="CU179" s="28"/>
      <c r="CV179" s="28"/>
      <c r="CW179" s="28"/>
      <c r="CX179" s="25"/>
      <c r="CY179" s="26"/>
      <c r="CZ179" s="26"/>
      <c r="DA179" s="26"/>
      <c r="DB179" s="26"/>
      <c r="DC179" s="27"/>
      <c r="DD179" s="28"/>
      <c r="DE179" s="28"/>
      <c r="DF179" s="28"/>
      <c r="DG179" s="28"/>
      <c r="DH179" s="25"/>
      <c r="DI179" s="26"/>
      <c r="DJ179" s="26"/>
      <c r="DK179" s="26"/>
      <c r="DL179" s="26"/>
      <c r="DM179" s="27"/>
      <c r="DN179" s="28"/>
      <c r="DO179" s="28"/>
      <c r="DP179" s="28"/>
      <c r="DQ179" s="28"/>
      <c r="DR179" s="25"/>
      <c r="DS179" s="26"/>
      <c r="DT179" s="26"/>
      <c r="DU179" s="26"/>
      <c r="DV179" s="26"/>
      <c r="DW179" s="27"/>
      <c r="DX179" s="28"/>
      <c r="DY179" s="28"/>
      <c r="DZ179" s="28"/>
      <c r="EA179" s="28"/>
      <c r="EB179" s="29"/>
      <c r="EC179" s="30"/>
      <c r="ED179" s="30"/>
      <c r="EE179" s="30"/>
      <c r="EF179" s="30"/>
      <c r="EG179" s="31"/>
      <c r="EH179" s="32"/>
      <c r="EI179" s="32"/>
      <c r="EJ179" s="32"/>
      <c r="EK179" s="32"/>
      <c r="EL179" s="29"/>
      <c r="EM179" s="30"/>
      <c r="EN179" s="30"/>
      <c r="EO179" s="30"/>
      <c r="EP179" s="30"/>
      <c r="EQ179" s="31"/>
      <c r="ER179" s="32"/>
      <c r="ES179" s="32"/>
      <c r="ET179" s="32"/>
      <c r="EU179" s="32"/>
      <c r="EV179" s="29"/>
      <c r="EW179" s="30"/>
      <c r="EX179" s="30"/>
      <c r="EY179" s="30"/>
      <c r="EZ179" s="30"/>
      <c r="FA179" s="31"/>
      <c r="FB179" s="32"/>
      <c r="FC179" s="32"/>
      <c r="FD179" s="32"/>
      <c r="FE179" s="32"/>
      <c r="FF179" s="29"/>
      <c r="FG179" s="30"/>
      <c r="FH179" s="30"/>
      <c r="FI179" s="30"/>
      <c r="FJ179" s="30"/>
      <c r="FK179" s="31"/>
      <c r="FL179" s="32"/>
      <c r="FM179" s="32"/>
      <c r="FN179" s="32"/>
      <c r="FO179" s="32"/>
      <c r="FP179" s="29"/>
      <c r="FQ179" s="30"/>
      <c r="FR179" s="30"/>
      <c r="FS179" s="30"/>
      <c r="FT179" s="30"/>
      <c r="FU179" s="31"/>
      <c r="FV179" s="32"/>
      <c r="FW179" s="32"/>
      <c r="FX179" s="32"/>
      <c r="FY179" s="32"/>
      <c r="FZ179" s="29"/>
      <c r="GA179" s="30"/>
      <c r="GB179" s="30"/>
      <c r="GC179" s="30"/>
      <c r="GD179" s="30"/>
    </row>
    <row r="180" spans="1:186" ht="48" x14ac:dyDescent="0.25">
      <c r="A180" s="156">
        <v>171</v>
      </c>
      <c r="B180" s="395">
        <f>'Tier 3 Intervention'!B691</f>
        <v>0</v>
      </c>
      <c r="C180" s="395"/>
      <c r="D180" s="395"/>
      <c r="E180" s="395"/>
      <c r="F180" s="395"/>
      <c r="G180" s="395"/>
      <c r="H180" s="761" t="e">
        <f>'Tier 3 Intervention'!AA691+30</f>
        <v>#VALUE!</v>
      </c>
      <c r="I180" s="761"/>
      <c r="J180" s="762" t="e">
        <f t="shared" si="3"/>
        <v>#VALUE!</v>
      </c>
      <c r="K180" s="395"/>
      <c r="L180" s="47" t="s">
        <v>957</v>
      </c>
      <c r="M180" s="46"/>
      <c r="N180" s="46"/>
      <c r="O180" s="46"/>
      <c r="P180" s="49"/>
      <c r="Q180" s="19"/>
      <c r="R180" s="20"/>
      <c r="S180" s="20"/>
      <c r="T180" s="20"/>
      <c r="U180" s="20"/>
      <c r="V180" s="21"/>
      <c r="W180" s="22"/>
      <c r="X180" s="22"/>
      <c r="Y180" s="22"/>
      <c r="Z180" s="22"/>
      <c r="AA180" s="19"/>
      <c r="AB180" s="20"/>
      <c r="AC180" s="20"/>
      <c r="AD180" s="20"/>
      <c r="AE180" s="20"/>
      <c r="AF180" s="21"/>
      <c r="AG180" s="22"/>
      <c r="AH180" s="22"/>
      <c r="AI180" s="22"/>
      <c r="AJ180" s="22"/>
      <c r="AK180" s="19"/>
      <c r="AL180" s="20"/>
      <c r="AM180" s="20"/>
      <c r="AN180" s="20"/>
      <c r="AO180" s="20"/>
      <c r="AP180" s="21"/>
      <c r="AQ180" s="22"/>
      <c r="AR180" s="22"/>
      <c r="AS180" s="22"/>
      <c r="AT180" s="22"/>
      <c r="AU180" s="19"/>
      <c r="AV180" s="20"/>
      <c r="AW180" s="20"/>
      <c r="AX180" s="20"/>
      <c r="AY180" s="20"/>
      <c r="AZ180" s="21"/>
      <c r="BA180" s="22"/>
      <c r="BB180" s="22"/>
      <c r="BC180" s="22"/>
      <c r="BD180" s="22"/>
      <c r="BE180" s="19"/>
      <c r="BF180" s="20"/>
      <c r="BG180" s="20"/>
      <c r="BH180" s="20"/>
      <c r="BI180" s="20"/>
      <c r="BJ180" s="21"/>
      <c r="BK180" s="22"/>
      <c r="BL180" s="22"/>
      <c r="BM180" s="22"/>
      <c r="BN180" s="22"/>
      <c r="BO180" s="19"/>
      <c r="BP180" s="20"/>
      <c r="BQ180" s="20"/>
      <c r="BR180" s="20"/>
      <c r="BS180" s="20"/>
      <c r="BT180" s="21"/>
      <c r="BU180" s="22"/>
      <c r="BV180" s="22"/>
      <c r="BW180" s="22"/>
      <c r="BX180" s="22"/>
      <c r="BY180" s="23"/>
      <c r="BZ180" s="24"/>
      <c r="CA180" s="24"/>
      <c r="CB180" s="24"/>
      <c r="CC180" s="24"/>
      <c r="CD180" s="25"/>
      <c r="CE180" s="26"/>
      <c r="CF180" s="26"/>
      <c r="CG180" s="26"/>
      <c r="CH180" s="26"/>
      <c r="CI180" s="27"/>
      <c r="CJ180" s="28"/>
      <c r="CK180" s="28"/>
      <c r="CL180" s="28"/>
      <c r="CM180" s="28"/>
      <c r="CN180" s="25"/>
      <c r="CO180" s="26"/>
      <c r="CP180" s="26"/>
      <c r="CQ180" s="26"/>
      <c r="CR180" s="26"/>
      <c r="CS180" s="27"/>
      <c r="CT180" s="28"/>
      <c r="CU180" s="28"/>
      <c r="CV180" s="28"/>
      <c r="CW180" s="28"/>
      <c r="CX180" s="25"/>
      <c r="CY180" s="26"/>
      <c r="CZ180" s="26"/>
      <c r="DA180" s="26"/>
      <c r="DB180" s="26"/>
      <c r="DC180" s="27"/>
      <c r="DD180" s="28"/>
      <c r="DE180" s="28"/>
      <c r="DF180" s="28"/>
      <c r="DG180" s="28"/>
      <c r="DH180" s="25"/>
      <c r="DI180" s="26"/>
      <c r="DJ180" s="26"/>
      <c r="DK180" s="26"/>
      <c r="DL180" s="26"/>
      <c r="DM180" s="27"/>
      <c r="DN180" s="28"/>
      <c r="DO180" s="28"/>
      <c r="DP180" s="28"/>
      <c r="DQ180" s="28"/>
      <c r="DR180" s="25"/>
      <c r="DS180" s="26"/>
      <c r="DT180" s="26"/>
      <c r="DU180" s="26"/>
      <c r="DV180" s="26"/>
      <c r="DW180" s="27"/>
      <c r="DX180" s="28"/>
      <c r="DY180" s="28"/>
      <c r="DZ180" s="28"/>
      <c r="EA180" s="28"/>
      <c r="EB180" s="29"/>
      <c r="EC180" s="30"/>
      <c r="ED180" s="30"/>
      <c r="EE180" s="30"/>
      <c r="EF180" s="30"/>
      <c r="EG180" s="31"/>
      <c r="EH180" s="32"/>
      <c r="EI180" s="32"/>
      <c r="EJ180" s="32"/>
      <c r="EK180" s="32"/>
      <c r="EL180" s="29"/>
      <c r="EM180" s="30"/>
      <c r="EN180" s="30"/>
      <c r="EO180" s="30"/>
      <c r="EP180" s="30"/>
      <c r="EQ180" s="31"/>
      <c r="ER180" s="32"/>
      <c r="ES180" s="32"/>
      <c r="ET180" s="32"/>
      <c r="EU180" s="32"/>
      <c r="EV180" s="29"/>
      <c r="EW180" s="30"/>
      <c r="EX180" s="30"/>
      <c r="EY180" s="30"/>
      <c r="EZ180" s="30"/>
      <c r="FA180" s="31"/>
      <c r="FB180" s="32"/>
      <c r="FC180" s="32"/>
      <c r="FD180" s="32"/>
      <c r="FE180" s="32"/>
      <c r="FF180" s="29"/>
      <c r="FG180" s="30"/>
      <c r="FH180" s="30"/>
      <c r="FI180" s="30"/>
      <c r="FJ180" s="30"/>
      <c r="FK180" s="31"/>
      <c r="FL180" s="32"/>
      <c r="FM180" s="32"/>
      <c r="FN180" s="32"/>
      <c r="FO180" s="32"/>
      <c r="FP180" s="29"/>
      <c r="FQ180" s="30"/>
      <c r="FR180" s="30"/>
      <c r="FS180" s="30"/>
      <c r="FT180" s="30"/>
      <c r="FU180" s="31"/>
      <c r="FV180" s="32"/>
      <c r="FW180" s="32"/>
      <c r="FX180" s="32"/>
      <c r="FY180" s="32"/>
      <c r="FZ180" s="29"/>
      <c r="GA180" s="30"/>
      <c r="GB180" s="30"/>
      <c r="GC180" s="30"/>
      <c r="GD180" s="30"/>
    </row>
    <row r="181" spans="1:186" ht="48" x14ac:dyDescent="0.25">
      <c r="A181" s="156">
        <v>172</v>
      </c>
      <c r="B181" s="395">
        <f>'Tier 3 Intervention'!B695</f>
        <v>0</v>
      </c>
      <c r="C181" s="395"/>
      <c r="D181" s="395"/>
      <c r="E181" s="395"/>
      <c r="F181" s="395"/>
      <c r="G181" s="395"/>
      <c r="H181" s="761" t="e">
        <f>'Tier 3 Intervention'!AA695+30</f>
        <v>#VALUE!</v>
      </c>
      <c r="I181" s="761"/>
      <c r="J181" s="762" t="e">
        <f t="shared" si="3"/>
        <v>#VALUE!</v>
      </c>
      <c r="K181" s="395"/>
      <c r="L181" s="47" t="s">
        <v>958</v>
      </c>
      <c r="M181" s="46"/>
      <c r="N181" s="46"/>
      <c r="O181" s="46"/>
      <c r="P181" s="49"/>
      <c r="Q181" s="19"/>
      <c r="R181" s="20"/>
      <c r="S181" s="20"/>
      <c r="T181" s="20"/>
      <c r="U181" s="20"/>
      <c r="V181" s="21"/>
      <c r="W181" s="22"/>
      <c r="X181" s="22"/>
      <c r="Y181" s="22"/>
      <c r="Z181" s="22"/>
      <c r="AA181" s="19"/>
      <c r="AB181" s="20"/>
      <c r="AC181" s="20"/>
      <c r="AD181" s="20"/>
      <c r="AE181" s="20"/>
      <c r="AF181" s="21"/>
      <c r="AG181" s="22"/>
      <c r="AH181" s="22"/>
      <c r="AI181" s="22"/>
      <c r="AJ181" s="22"/>
      <c r="AK181" s="19"/>
      <c r="AL181" s="20"/>
      <c r="AM181" s="20"/>
      <c r="AN181" s="20"/>
      <c r="AO181" s="20"/>
      <c r="AP181" s="21"/>
      <c r="AQ181" s="22"/>
      <c r="AR181" s="22"/>
      <c r="AS181" s="22"/>
      <c r="AT181" s="22"/>
      <c r="AU181" s="19"/>
      <c r="AV181" s="20"/>
      <c r="AW181" s="20"/>
      <c r="AX181" s="20"/>
      <c r="AY181" s="20"/>
      <c r="AZ181" s="21"/>
      <c r="BA181" s="22"/>
      <c r="BB181" s="22"/>
      <c r="BC181" s="22"/>
      <c r="BD181" s="22"/>
      <c r="BE181" s="19"/>
      <c r="BF181" s="20"/>
      <c r="BG181" s="20"/>
      <c r="BH181" s="20"/>
      <c r="BI181" s="20"/>
      <c r="BJ181" s="21"/>
      <c r="BK181" s="22"/>
      <c r="BL181" s="22"/>
      <c r="BM181" s="22"/>
      <c r="BN181" s="22"/>
      <c r="BO181" s="19"/>
      <c r="BP181" s="20"/>
      <c r="BQ181" s="20"/>
      <c r="BR181" s="20"/>
      <c r="BS181" s="20"/>
      <c r="BT181" s="21"/>
      <c r="BU181" s="22"/>
      <c r="BV181" s="22"/>
      <c r="BW181" s="22"/>
      <c r="BX181" s="22"/>
      <c r="BY181" s="23"/>
      <c r="BZ181" s="24"/>
      <c r="CA181" s="24"/>
      <c r="CB181" s="24"/>
      <c r="CC181" s="24"/>
      <c r="CD181" s="25"/>
      <c r="CE181" s="26"/>
      <c r="CF181" s="26"/>
      <c r="CG181" s="26"/>
      <c r="CH181" s="26"/>
      <c r="CI181" s="27"/>
      <c r="CJ181" s="28"/>
      <c r="CK181" s="28"/>
      <c r="CL181" s="28"/>
      <c r="CM181" s="28"/>
      <c r="CN181" s="25"/>
      <c r="CO181" s="26"/>
      <c r="CP181" s="26"/>
      <c r="CQ181" s="26"/>
      <c r="CR181" s="26"/>
      <c r="CS181" s="27"/>
      <c r="CT181" s="28"/>
      <c r="CU181" s="28"/>
      <c r="CV181" s="28"/>
      <c r="CW181" s="28"/>
      <c r="CX181" s="25"/>
      <c r="CY181" s="26"/>
      <c r="CZ181" s="26"/>
      <c r="DA181" s="26"/>
      <c r="DB181" s="26"/>
      <c r="DC181" s="27"/>
      <c r="DD181" s="28"/>
      <c r="DE181" s="28"/>
      <c r="DF181" s="28"/>
      <c r="DG181" s="28"/>
      <c r="DH181" s="25"/>
      <c r="DI181" s="26"/>
      <c r="DJ181" s="26"/>
      <c r="DK181" s="26"/>
      <c r="DL181" s="26"/>
      <c r="DM181" s="27"/>
      <c r="DN181" s="28"/>
      <c r="DO181" s="28"/>
      <c r="DP181" s="28"/>
      <c r="DQ181" s="28"/>
      <c r="DR181" s="25"/>
      <c r="DS181" s="26"/>
      <c r="DT181" s="26"/>
      <c r="DU181" s="26"/>
      <c r="DV181" s="26"/>
      <c r="DW181" s="27"/>
      <c r="DX181" s="28"/>
      <c r="DY181" s="28"/>
      <c r="DZ181" s="28"/>
      <c r="EA181" s="28"/>
      <c r="EB181" s="29"/>
      <c r="EC181" s="30"/>
      <c r="ED181" s="30"/>
      <c r="EE181" s="30"/>
      <c r="EF181" s="30"/>
      <c r="EG181" s="31"/>
      <c r="EH181" s="32"/>
      <c r="EI181" s="32"/>
      <c r="EJ181" s="32"/>
      <c r="EK181" s="32"/>
      <c r="EL181" s="29"/>
      <c r="EM181" s="30"/>
      <c r="EN181" s="30"/>
      <c r="EO181" s="30"/>
      <c r="EP181" s="30"/>
      <c r="EQ181" s="31"/>
      <c r="ER181" s="32"/>
      <c r="ES181" s="32"/>
      <c r="ET181" s="32"/>
      <c r="EU181" s="32"/>
      <c r="EV181" s="29"/>
      <c r="EW181" s="30"/>
      <c r="EX181" s="30"/>
      <c r="EY181" s="30"/>
      <c r="EZ181" s="30"/>
      <c r="FA181" s="31"/>
      <c r="FB181" s="32"/>
      <c r="FC181" s="32"/>
      <c r="FD181" s="32"/>
      <c r="FE181" s="32"/>
      <c r="FF181" s="29"/>
      <c r="FG181" s="30"/>
      <c r="FH181" s="30"/>
      <c r="FI181" s="30"/>
      <c r="FJ181" s="30"/>
      <c r="FK181" s="31"/>
      <c r="FL181" s="32"/>
      <c r="FM181" s="32"/>
      <c r="FN181" s="32"/>
      <c r="FO181" s="32"/>
      <c r="FP181" s="29"/>
      <c r="FQ181" s="30"/>
      <c r="FR181" s="30"/>
      <c r="FS181" s="30"/>
      <c r="FT181" s="30"/>
      <c r="FU181" s="31"/>
      <c r="FV181" s="32"/>
      <c r="FW181" s="32"/>
      <c r="FX181" s="32"/>
      <c r="FY181" s="32"/>
      <c r="FZ181" s="29"/>
      <c r="GA181" s="30"/>
      <c r="GB181" s="30"/>
      <c r="GC181" s="30"/>
      <c r="GD181" s="30"/>
    </row>
    <row r="182" spans="1:186" ht="48" x14ac:dyDescent="0.25">
      <c r="A182" s="156">
        <v>173</v>
      </c>
      <c r="B182" s="395">
        <f>'Tier 3 Intervention'!B699</f>
        <v>0</v>
      </c>
      <c r="C182" s="395"/>
      <c r="D182" s="395"/>
      <c r="E182" s="395"/>
      <c r="F182" s="395"/>
      <c r="G182" s="395"/>
      <c r="H182" s="761" t="e">
        <f>'Tier 3 Intervention'!AA699+30</f>
        <v>#VALUE!</v>
      </c>
      <c r="I182" s="761"/>
      <c r="J182" s="762" t="e">
        <f t="shared" si="3"/>
        <v>#VALUE!</v>
      </c>
      <c r="K182" s="395"/>
      <c r="L182" s="47" t="s">
        <v>959</v>
      </c>
      <c r="M182" s="46"/>
      <c r="N182" s="46"/>
      <c r="O182" s="46"/>
      <c r="P182" s="49"/>
      <c r="Q182" s="19"/>
      <c r="R182" s="20"/>
      <c r="S182" s="20"/>
      <c r="T182" s="20"/>
      <c r="U182" s="20"/>
      <c r="V182" s="21"/>
      <c r="W182" s="22"/>
      <c r="X182" s="22"/>
      <c r="Y182" s="22"/>
      <c r="Z182" s="22"/>
      <c r="AA182" s="19"/>
      <c r="AB182" s="20"/>
      <c r="AC182" s="20"/>
      <c r="AD182" s="20"/>
      <c r="AE182" s="20"/>
      <c r="AF182" s="21"/>
      <c r="AG182" s="22"/>
      <c r="AH182" s="22"/>
      <c r="AI182" s="22"/>
      <c r="AJ182" s="22"/>
      <c r="AK182" s="19"/>
      <c r="AL182" s="20"/>
      <c r="AM182" s="20"/>
      <c r="AN182" s="20"/>
      <c r="AO182" s="20"/>
      <c r="AP182" s="21"/>
      <c r="AQ182" s="22"/>
      <c r="AR182" s="22"/>
      <c r="AS182" s="22"/>
      <c r="AT182" s="22"/>
      <c r="AU182" s="19"/>
      <c r="AV182" s="20"/>
      <c r="AW182" s="20"/>
      <c r="AX182" s="20"/>
      <c r="AY182" s="20"/>
      <c r="AZ182" s="21"/>
      <c r="BA182" s="22"/>
      <c r="BB182" s="22"/>
      <c r="BC182" s="22"/>
      <c r="BD182" s="22"/>
      <c r="BE182" s="19"/>
      <c r="BF182" s="20"/>
      <c r="BG182" s="20"/>
      <c r="BH182" s="20"/>
      <c r="BI182" s="20"/>
      <c r="BJ182" s="21"/>
      <c r="BK182" s="22"/>
      <c r="BL182" s="22"/>
      <c r="BM182" s="22"/>
      <c r="BN182" s="22"/>
      <c r="BO182" s="19"/>
      <c r="BP182" s="20"/>
      <c r="BQ182" s="20"/>
      <c r="BR182" s="20"/>
      <c r="BS182" s="20"/>
      <c r="BT182" s="21"/>
      <c r="BU182" s="22"/>
      <c r="BV182" s="22"/>
      <c r="BW182" s="22"/>
      <c r="BX182" s="22"/>
      <c r="BY182" s="23"/>
      <c r="BZ182" s="24"/>
      <c r="CA182" s="24"/>
      <c r="CB182" s="24"/>
      <c r="CC182" s="24"/>
      <c r="CD182" s="25"/>
      <c r="CE182" s="26"/>
      <c r="CF182" s="26"/>
      <c r="CG182" s="26"/>
      <c r="CH182" s="26"/>
      <c r="CI182" s="27"/>
      <c r="CJ182" s="28"/>
      <c r="CK182" s="28"/>
      <c r="CL182" s="28"/>
      <c r="CM182" s="28"/>
      <c r="CN182" s="25"/>
      <c r="CO182" s="26"/>
      <c r="CP182" s="26"/>
      <c r="CQ182" s="26"/>
      <c r="CR182" s="26"/>
      <c r="CS182" s="27"/>
      <c r="CT182" s="28"/>
      <c r="CU182" s="28"/>
      <c r="CV182" s="28"/>
      <c r="CW182" s="28"/>
      <c r="CX182" s="25"/>
      <c r="CY182" s="26"/>
      <c r="CZ182" s="26"/>
      <c r="DA182" s="26"/>
      <c r="DB182" s="26"/>
      <c r="DC182" s="27"/>
      <c r="DD182" s="28"/>
      <c r="DE182" s="28"/>
      <c r="DF182" s="28"/>
      <c r="DG182" s="28"/>
      <c r="DH182" s="25"/>
      <c r="DI182" s="26"/>
      <c r="DJ182" s="26"/>
      <c r="DK182" s="26"/>
      <c r="DL182" s="26"/>
      <c r="DM182" s="27"/>
      <c r="DN182" s="28"/>
      <c r="DO182" s="28"/>
      <c r="DP182" s="28"/>
      <c r="DQ182" s="28"/>
      <c r="DR182" s="25"/>
      <c r="DS182" s="26"/>
      <c r="DT182" s="26"/>
      <c r="DU182" s="26"/>
      <c r="DV182" s="26"/>
      <c r="DW182" s="27"/>
      <c r="DX182" s="28"/>
      <c r="DY182" s="28"/>
      <c r="DZ182" s="28"/>
      <c r="EA182" s="28"/>
      <c r="EB182" s="29"/>
      <c r="EC182" s="30"/>
      <c r="ED182" s="30"/>
      <c r="EE182" s="30"/>
      <c r="EF182" s="30"/>
      <c r="EG182" s="31"/>
      <c r="EH182" s="32"/>
      <c r="EI182" s="32"/>
      <c r="EJ182" s="32"/>
      <c r="EK182" s="32"/>
      <c r="EL182" s="29"/>
      <c r="EM182" s="30"/>
      <c r="EN182" s="30"/>
      <c r="EO182" s="30"/>
      <c r="EP182" s="30"/>
      <c r="EQ182" s="31"/>
      <c r="ER182" s="32"/>
      <c r="ES182" s="32"/>
      <c r="ET182" s="32"/>
      <c r="EU182" s="32"/>
      <c r="EV182" s="29"/>
      <c r="EW182" s="30"/>
      <c r="EX182" s="30"/>
      <c r="EY182" s="30"/>
      <c r="EZ182" s="30"/>
      <c r="FA182" s="31"/>
      <c r="FB182" s="32"/>
      <c r="FC182" s="32"/>
      <c r="FD182" s="32"/>
      <c r="FE182" s="32"/>
      <c r="FF182" s="29"/>
      <c r="FG182" s="30"/>
      <c r="FH182" s="30"/>
      <c r="FI182" s="30"/>
      <c r="FJ182" s="30"/>
      <c r="FK182" s="31"/>
      <c r="FL182" s="32"/>
      <c r="FM182" s="32"/>
      <c r="FN182" s="32"/>
      <c r="FO182" s="32"/>
      <c r="FP182" s="29"/>
      <c r="FQ182" s="30"/>
      <c r="FR182" s="30"/>
      <c r="FS182" s="30"/>
      <c r="FT182" s="30"/>
      <c r="FU182" s="31"/>
      <c r="FV182" s="32"/>
      <c r="FW182" s="32"/>
      <c r="FX182" s="32"/>
      <c r="FY182" s="32"/>
      <c r="FZ182" s="29"/>
      <c r="GA182" s="30"/>
      <c r="GB182" s="30"/>
      <c r="GC182" s="30"/>
      <c r="GD182" s="30"/>
    </row>
    <row r="183" spans="1:186" ht="48" x14ac:dyDescent="0.25">
      <c r="A183" s="156">
        <v>174</v>
      </c>
      <c r="B183" s="395">
        <f>'Tier 3 Intervention'!B703</f>
        <v>0</v>
      </c>
      <c r="C183" s="395"/>
      <c r="D183" s="395"/>
      <c r="E183" s="395"/>
      <c r="F183" s="395"/>
      <c r="G183" s="395"/>
      <c r="H183" s="761" t="e">
        <f>'Tier 3 Intervention'!AA703+30</f>
        <v>#VALUE!</v>
      </c>
      <c r="I183" s="761"/>
      <c r="J183" s="762" t="e">
        <f t="shared" si="3"/>
        <v>#VALUE!</v>
      </c>
      <c r="K183" s="395"/>
      <c r="L183" s="47" t="s">
        <v>960</v>
      </c>
      <c r="M183" s="46"/>
      <c r="N183" s="46"/>
      <c r="O183" s="46"/>
      <c r="P183" s="49"/>
      <c r="Q183" s="19"/>
      <c r="R183" s="20"/>
      <c r="S183" s="20"/>
      <c r="T183" s="20"/>
      <c r="U183" s="20"/>
      <c r="V183" s="21"/>
      <c r="W183" s="22"/>
      <c r="X183" s="22"/>
      <c r="Y183" s="22"/>
      <c r="Z183" s="22"/>
      <c r="AA183" s="19"/>
      <c r="AB183" s="20"/>
      <c r="AC183" s="20"/>
      <c r="AD183" s="20"/>
      <c r="AE183" s="20"/>
      <c r="AF183" s="21"/>
      <c r="AG183" s="22"/>
      <c r="AH183" s="22"/>
      <c r="AI183" s="22"/>
      <c r="AJ183" s="22"/>
      <c r="AK183" s="19"/>
      <c r="AL183" s="20"/>
      <c r="AM183" s="20"/>
      <c r="AN183" s="20"/>
      <c r="AO183" s="20"/>
      <c r="AP183" s="21"/>
      <c r="AQ183" s="22"/>
      <c r="AR183" s="22"/>
      <c r="AS183" s="22"/>
      <c r="AT183" s="22"/>
      <c r="AU183" s="19"/>
      <c r="AV183" s="20"/>
      <c r="AW183" s="20"/>
      <c r="AX183" s="20"/>
      <c r="AY183" s="20"/>
      <c r="AZ183" s="21"/>
      <c r="BA183" s="22"/>
      <c r="BB183" s="22"/>
      <c r="BC183" s="22"/>
      <c r="BD183" s="22"/>
      <c r="BE183" s="19"/>
      <c r="BF183" s="20"/>
      <c r="BG183" s="20"/>
      <c r="BH183" s="20"/>
      <c r="BI183" s="20"/>
      <c r="BJ183" s="21"/>
      <c r="BK183" s="22"/>
      <c r="BL183" s="22"/>
      <c r="BM183" s="22"/>
      <c r="BN183" s="22"/>
      <c r="BO183" s="19"/>
      <c r="BP183" s="20"/>
      <c r="BQ183" s="20"/>
      <c r="BR183" s="20"/>
      <c r="BS183" s="20"/>
      <c r="BT183" s="21"/>
      <c r="BU183" s="22"/>
      <c r="BV183" s="22"/>
      <c r="BW183" s="22"/>
      <c r="BX183" s="22"/>
      <c r="BY183" s="23"/>
      <c r="BZ183" s="24"/>
      <c r="CA183" s="24"/>
      <c r="CB183" s="24"/>
      <c r="CC183" s="24"/>
      <c r="CD183" s="25"/>
      <c r="CE183" s="26"/>
      <c r="CF183" s="26"/>
      <c r="CG183" s="26"/>
      <c r="CH183" s="26"/>
      <c r="CI183" s="27"/>
      <c r="CJ183" s="28"/>
      <c r="CK183" s="28"/>
      <c r="CL183" s="28"/>
      <c r="CM183" s="28"/>
      <c r="CN183" s="25"/>
      <c r="CO183" s="26"/>
      <c r="CP183" s="26"/>
      <c r="CQ183" s="26"/>
      <c r="CR183" s="26"/>
      <c r="CS183" s="27"/>
      <c r="CT183" s="28"/>
      <c r="CU183" s="28"/>
      <c r="CV183" s="28"/>
      <c r="CW183" s="28"/>
      <c r="CX183" s="25"/>
      <c r="CY183" s="26"/>
      <c r="CZ183" s="26"/>
      <c r="DA183" s="26"/>
      <c r="DB183" s="26"/>
      <c r="DC183" s="27"/>
      <c r="DD183" s="28"/>
      <c r="DE183" s="28"/>
      <c r="DF183" s="28"/>
      <c r="DG183" s="28"/>
      <c r="DH183" s="25"/>
      <c r="DI183" s="26"/>
      <c r="DJ183" s="26"/>
      <c r="DK183" s="26"/>
      <c r="DL183" s="26"/>
      <c r="DM183" s="27"/>
      <c r="DN183" s="28"/>
      <c r="DO183" s="28"/>
      <c r="DP183" s="28"/>
      <c r="DQ183" s="28"/>
      <c r="DR183" s="25"/>
      <c r="DS183" s="26"/>
      <c r="DT183" s="26"/>
      <c r="DU183" s="26"/>
      <c r="DV183" s="26"/>
      <c r="DW183" s="27"/>
      <c r="DX183" s="28"/>
      <c r="DY183" s="28"/>
      <c r="DZ183" s="28"/>
      <c r="EA183" s="28"/>
      <c r="EB183" s="29"/>
      <c r="EC183" s="30"/>
      <c r="ED183" s="30"/>
      <c r="EE183" s="30"/>
      <c r="EF183" s="30"/>
      <c r="EG183" s="31"/>
      <c r="EH183" s="32"/>
      <c r="EI183" s="32"/>
      <c r="EJ183" s="32"/>
      <c r="EK183" s="32"/>
      <c r="EL183" s="29"/>
      <c r="EM183" s="30"/>
      <c r="EN183" s="30"/>
      <c r="EO183" s="30"/>
      <c r="EP183" s="30"/>
      <c r="EQ183" s="31"/>
      <c r="ER183" s="32"/>
      <c r="ES183" s="32"/>
      <c r="ET183" s="32"/>
      <c r="EU183" s="32"/>
      <c r="EV183" s="29"/>
      <c r="EW183" s="30"/>
      <c r="EX183" s="30"/>
      <c r="EY183" s="30"/>
      <c r="EZ183" s="30"/>
      <c r="FA183" s="31"/>
      <c r="FB183" s="32"/>
      <c r="FC183" s="32"/>
      <c r="FD183" s="32"/>
      <c r="FE183" s="32"/>
      <c r="FF183" s="29"/>
      <c r="FG183" s="30"/>
      <c r="FH183" s="30"/>
      <c r="FI183" s="30"/>
      <c r="FJ183" s="30"/>
      <c r="FK183" s="31"/>
      <c r="FL183" s="32"/>
      <c r="FM183" s="32"/>
      <c r="FN183" s="32"/>
      <c r="FO183" s="32"/>
      <c r="FP183" s="29"/>
      <c r="FQ183" s="30"/>
      <c r="FR183" s="30"/>
      <c r="FS183" s="30"/>
      <c r="FT183" s="30"/>
      <c r="FU183" s="31"/>
      <c r="FV183" s="32"/>
      <c r="FW183" s="32"/>
      <c r="FX183" s="32"/>
      <c r="FY183" s="32"/>
      <c r="FZ183" s="29"/>
      <c r="GA183" s="30"/>
      <c r="GB183" s="30"/>
      <c r="GC183" s="30"/>
      <c r="GD183" s="30"/>
    </row>
    <row r="184" spans="1:186" ht="48" x14ac:dyDescent="0.25">
      <c r="A184" s="156">
        <v>175</v>
      </c>
      <c r="B184" s="395">
        <f>'Tier 3 Intervention'!B707</f>
        <v>0</v>
      </c>
      <c r="C184" s="395"/>
      <c r="D184" s="395"/>
      <c r="E184" s="395"/>
      <c r="F184" s="395"/>
      <c r="G184" s="395"/>
      <c r="H184" s="761" t="e">
        <f>'Tier 3 Intervention'!AA707+30</f>
        <v>#VALUE!</v>
      </c>
      <c r="I184" s="761"/>
      <c r="J184" s="762" t="e">
        <f t="shared" si="3"/>
        <v>#VALUE!</v>
      </c>
      <c r="K184" s="395"/>
      <c r="L184" s="47" t="s">
        <v>961</v>
      </c>
      <c r="M184" s="46"/>
      <c r="N184" s="46"/>
      <c r="O184" s="46"/>
      <c r="P184" s="49"/>
      <c r="Q184" s="19"/>
      <c r="R184" s="20"/>
      <c r="S184" s="20"/>
      <c r="T184" s="20"/>
      <c r="U184" s="20"/>
      <c r="V184" s="21"/>
      <c r="W184" s="22"/>
      <c r="X184" s="22"/>
      <c r="Y184" s="22"/>
      <c r="Z184" s="22"/>
      <c r="AA184" s="19"/>
      <c r="AB184" s="20"/>
      <c r="AC184" s="20"/>
      <c r="AD184" s="20"/>
      <c r="AE184" s="20"/>
      <c r="AF184" s="21"/>
      <c r="AG184" s="22"/>
      <c r="AH184" s="22"/>
      <c r="AI184" s="22"/>
      <c r="AJ184" s="22"/>
      <c r="AK184" s="19"/>
      <c r="AL184" s="20"/>
      <c r="AM184" s="20"/>
      <c r="AN184" s="20"/>
      <c r="AO184" s="20"/>
      <c r="AP184" s="21"/>
      <c r="AQ184" s="22"/>
      <c r="AR184" s="22"/>
      <c r="AS184" s="22"/>
      <c r="AT184" s="22"/>
      <c r="AU184" s="19"/>
      <c r="AV184" s="20"/>
      <c r="AW184" s="20"/>
      <c r="AX184" s="20"/>
      <c r="AY184" s="20"/>
      <c r="AZ184" s="21"/>
      <c r="BA184" s="22"/>
      <c r="BB184" s="22"/>
      <c r="BC184" s="22"/>
      <c r="BD184" s="22"/>
      <c r="BE184" s="19"/>
      <c r="BF184" s="20"/>
      <c r="BG184" s="20"/>
      <c r="BH184" s="20"/>
      <c r="BI184" s="20"/>
      <c r="BJ184" s="21"/>
      <c r="BK184" s="22"/>
      <c r="BL184" s="22"/>
      <c r="BM184" s="22"/>
      <c r="BN184" s="22"/>
      <c r="BO184" s="19"/>
      <c r="BP184" s="20"/>
      <c r="BQ184" s="20"/>
      <c r="BR184" s="20"/>
      <c r="BS184" s="20"/>
      <c r="BT184" s="21"/>
      <c r="BU184" s="22"/>
      <c r="BV184" s="22"/>
      <c r="BW184" s="22"/>
      <c r="BX184" s="22"/>
      <c r="BY184" s="23"/>
      <c r="BZ184" s="24"/>
      <c r="CA184" s="24"/>
      <c r="CB184" s="24"/>
      <c r="CC184" s="24"/>
      <c r="CD184" s="25"/>
      <c r="CE184" s="26"/>
      <c r="CF184" s="26"/>
      <c r="CG184" s="26"/>
      <c r="CH184" s="26"/>
      <c r="CI184" s="27"/>
      <c r="CJ184" s="28"/>
      <c r="CK184" s="28"/>
      <c r="CL184" s="28"/>
      <c r="CM184" s="28"/>
      <c r="CN184" s="25"/>
      <c r="CO184" s="26"/>
      <c r="CP184" s="26"/>
      <c r="CQ184" s="26"/>
      <c r="CR184" s="26"/>
      <c r="CS184" s="27"/>
      <c r="CT184" s="28"/>
      <c r="CU184" s="28"/>
      <c r="CV184" s="28"/>
      <c r="CW184" s="28"/>
      <c r="CX184" s="25"/>
      <c r="CY184" s="26"/>
      <c r="CZ184" s="26"/>
      <c r="DA184" s="26"/>
      <c r="DB184" s="26"/>
      <c r="DC184" s="27"/>
      <c r="DD184" s="28"/>
      <c r="DE184" s="28"/>
      <c r="DF184" s="28"/>
      <c r="DG184" s="28"/>
      <c r="DH184" s="25"/>
      <c r="DI184" s="26"/>
      <c r="DJ184" s="26"/>
      <c r="DK184" s="26"/>
      <c r="DL184" s="26"/>
      <c r="DM184" s="27"/>
      <c r="DN184" s="28"/>
      <c r="DO184" s="28"/>
      <c r="DP184" s="28"/>
      <c r="DQ184" s="28"/>
      <c r="DR184" s="25"/>
      <c r="DS184" s="26"/>
      <c r="DT184" s="26"/>
      <c r="DU184" s="26"/>
      <c r="DV184" s="26"/>
      <c r="DW184" s="27"/>
      <c r="DX184" s="28"/>
      <c r="DY184" s="28"/>
      <c r="DZ184" s="28"/>
      <c r="EA184" s="28"/>
      <c r="EB184" s="29"/>
      <c r="EC184" s="30"/>
      <c r="ED184" s="30"/>
      <c r="EE184" s="30"/>
      <c r="EF184" s="30"/>
      <c r="EG184" s="31"/>
      <c r="EH184" s="32"/>
      <c r="EI184" s="32"/>
      <c r="EJ184" s="32"/>
      <c r="EK184" s="32"/>
      <c r="EL184" s="29"/>
      <c r="EM184" s="30"/>
      <c r="EN184" s="30"/>
      <c r="EO184" s="30"/>
      <c r="EP184" s="30"/>
      <c r="EQ184" s="31"/>
      <c r="ER184" s="32"/>
      <c r="ES184" s="32"/>
      <c r="ET184" s="32"/>
      <c r="EU184" s="32"/>
      <c r="EV184" s="29"/>
      <c r="EW184" s="30"/>
      <c r="EX184" s="30"/>
      <c r="EY184" s="30"/>
      <c r="EZ184" s="30"/>
      <c r="FA184" s="31"/>
      <c r="FB184" s="32"/>
      <c r="FC184" s="32"/>
      <c r="FD184" s="32"/>
      <c r="FE184" s="32"/>
      <c r="FF184" s="29"/>
      <c r="FG184" s="30"/>
      <c r="FH184" s="30"/>
      <c r="FI184" s="30"/>
      <c r="FJ184" s="30"/>
      <c r="FK184" s="31"/>
      <c r="FL184" s="32"/>
      <c r="FM184" s="32"/>
      <c r="FN184" s="32"/>
      <c r="FO184" s="32"/>
      <c r="FP184" s="29"/>
      <c r="FQ184" s="30"/>
      <c r="FR184" s="30"/>
      <c r="FS184" s="30"/>
      <c r="FT184" s="30"/>
      <c r="FU184" s="31"/>
      <c r="FV184" s="32"/>
      <c r="FW184" s="32"/>
      <c r="FX184" s="32"/>
      <c r="FY184" s="32"/>
      <c r="FZ184" s="29"/>
      <c r="GA184" s="30"/>
      <c r="GB184" s="30"/>
      <c r="GC184" s="30"/>
      <c r="GD184" s="30"/>
    </row>
    <row r="185" spans="1:186" ht="48" x14ac:dyDescent="0.25">
      <c r="A185" s="156">
        <v>176</v>
      </c>
      <c r="B185" s="395">
        <f>'Tier 3 Intervention'!B711</f>
        <v>0</v>
      </c>
      <c r="C185" s="395"/>
      <c r="D185" s="395"/>
      <c r="E185" s="395"/>
      <c r="F185" s="395"/>
      <c r="G185" s="395"/>
      <c r="H185" s="761" t="e">
        <f>'Tier 3 Intervention'!AA711+30</f>
        <v>#VALUE!</v>
      </c>
      <c r="I185" s="761"/>
      <c r="J185" s="762" t="e">
        <f t="shared" si="3"/>
        <v>#VALUE!</v>
      </c>
      <c r="K185" s="395"/>
      <c r="L185" s="47" t="s">
        <v>962</v>
      </c>
      <c r="M185" s="46"/>
      <c r="N185" s="46"/>
      <c r="O185" s="46"/>
      <c r="P185" s="49"/>
      <c r="Q185" s="19"/>
      <c r="R185" s="20"/>
      <c r="S185" s="20"/>
      <c r="T185" s="20"/>
      <c r="U185" s="20"/>
      <c r="V185" s="21"/>
      <c r="W185" s="22"/>
      <c r="X185" s="22"/>
      <c r="Y185" s="22"/>
      <c r="Z185" s="22"/>
      <c r="AA185" s="19"/>
      <c r="AB185" s="20"/>
      <c r="AC185" s="20"/>
      <c r="AD185" s="20"/>
      <c r="AE185" s="20"/>
      <c r="AF185" s="21"/>
      <c r="AG185" s="22"/>
      <c r="AH185" s="22"/>
      <c r="AI185" s="22"/>
      <c r="AJ185" s="22"/>
      <c r="AK185" s="19"/>
      <c r="AL185" s="20"/>
      <c r="AM185" s="20"/>
      <c r="AN185" s="20"/>
      <c r="AO185" s="20"/>
      <c r="AP185" s="21"/>
      <c r="AQ185" s="22"/>
      <c r="AR185" s="22"/>
      <c r="AS185" s="22"/>
      <c r="AT185" s="22"/>
      <c r="AU185" s="19"/>
      <c r="AV185" s="20"/>
      <c r="AW185" s="20"/>
      <c r="AX185" s="20"/>
      <c r="AY185" s="20"/>
      <c r="AZ185" s="21"/>
      <c r="BA185" s="22"/>
      <c r="BB185" s="22"/>
      <c r="BC185" s="22"/>
      <c r="BD185" s="22"/>
      <c r="BE185" s="19"/>
      <c r="BF185" s="20"/>
      <c r="BG185" s="20"/>
      <c r="BH185" s="20"/>
      <c r="BI185" s="20"/>
      <c r="BJ185" s="21"/>
      <c r="BK185" s="22"/>
      <c r="BL185" s="22"/>
      <c r="BM185" s="22"/>
      <c r="BN185" s="22"/>
      <c r="BO185" s="19"/>
      <c r="BP185" s="20"/>
      <c r="BQ185" s="20"/>
      <c r="BR185" s="20"/>
      <c r="BS185" s="20"/>
      <c r="BT185" s="21"/>
      <c r="BU185" s="22"/>
      <c r="BV185" s="22"/>
      <c r="BW185" s="22"/>
      <c r="BX185" s="22"/>
      <c r="BY185" s="23"/>
      <c r="BZ185" s="24"/>
      <c r="CA185" s="24"/>
      <c r="CB185" s="24"/>
      <c r="CC185" s="24"/>
      <c r="CD185" s="25"/>
      <c r="CE185" s="26"/>
      <c r="CF185" s="26"/>
      <c r="CG185" s="26"/>
      <c r="CH185" s="26"/>
      <c r="CI185" s="27"/>
      <c r="CJ185" s="28"/>
      <c r="CK185" s="28"/>
      <c r="CL185" s="28"/>
      <c r="CM185" s="28"/>
      <c r="CN185" s="25"/>
      <c r="CO185" s="26"/>
      <c r="CP185" s="26"/>
      <c r="CQ185" s="26"/>
      <c r="CR185" s="26"/>
      <c r="CS185" s="27"/>
      <c r="CT185" s="28"/>
      <c r="CU185" s="28"/>
      <c r="CV185" s="28"/>
      <c r="CW185" s="28"/>
      <c r="CX185" s="25"/>
      <c r="CY185" s="26"/>
      <c r="CZ185" s="26"/>
      <c r="DA185" s="26"/>
      <c r="DB185" s="26"/>
      <c r="DC185" s="27"/>
      <c r="DD185" s="28"/>
      <c r="DE185" s="28"/>
      <c r="DF185" s="28"/>
      <c r="DG185" s="28"/>
      <c r="DH185" s="25"/>
      <c r="DI185" s="26"/>
      <c r="DJ185" s="26"/>
      <c r="DK185" s="26"/>
      <c r="DL185" s="26"/>
      <c r="DM185" s="27"/>
      <c r="DN185" s="28"/>
      <c r="DO185" s="28"/>
      <c r="DP185" s="28"/>
      <c r="DQ185" s="28"/>
      <c r="DR185" s="25"/>
      <c r="DS185" s="26"/>
      <c r="DT185" s="26"/>
      <c r="DU185" s="26"/>
      <c r="DV185" s="26"/>
      <c r="DW185" s="27"/>
      <c r="DX185" s="28"/>
      <c r="DY185" s="28"/>
      <c r="DZ185" s="28"/>
      <c r="EA185" s="28"/>
      <c r="EB185" s="29"/>
      <c r="EC185" s="30"/>
      <c r="ED185" s="30"/>
      <c r="EE185" s="30"/>
      <c r="EF185" s="30"/>
      <c r="EG185" s="31"/>
      <c r="EH185" s="32"/>
      <c r="EI185" s="32"/>
      <c r="EJ185" s="32"/>
      <c r="EK185" s="32"/>
      <c r="EL185" s="29"/>
      <c r="EM185" s="30"/>
      <c r="EN185" s="30"/>
      <c r="EO185" s="30"/>
      <c r="EP185" s="30"/>
      <c r="EQ185" s="31"/>
      <c r="ER185" s="32"/>
      <c r="ES185" s="32"/>
      <c r="ET185" s="32"/>
      <c r="EU185" s="32"/>
      <c r="EV185" s="29"/>
      <c r="EW185" s="30"/>
      <c r="EX185" s="30"/>
      <c r="EY185" s="30"/>
      <c r="EZ185" s="30"/>
      <c r="FA185" s="31"/>
      <c r="FB185" s="32"/>
      <c r="FC185" s="32"/>
      <c r="FD185" s="32"/>
      <c r="FE185" s="32"/>
      <c r="FF185" s="29"/>
      <c r="FG185" s="30"/>
      <c r="FH185" s="30"/>
      <c r="FI185" s="30"/>
      <c r="FJ185" s="30"/>
      <c r="FK185" s="31"/>
      <c r="FL185" s="32"/>
      <c r="FM185" s="32"/>
      <c r="FN185" s="32"/>
      <c r="FO185" s="32"/>
      <c r="FP185" s="29"/>
      <c r="FQ185" s="30"/>
      <c r="FR185" s="30"/>
      <c r="FS185" s="30"/>
      <c r="FT185" s="30"/>
      <c r="FU185" s="31"/>
      <c r="FV185" s="32"/>
      <c r="FW185" s="32"/>
      <c r="FX185" s="32"/>
      <c r="FY185" s="32"/>
      <c r="FZ185" s="29"/>
      <c r="GA185" s="30"/>
      <c r="GB185" s="30"/>
      <c r="GC185" s="30"/>
      <c r="GD185" s="30"/>
    </row>
    <row r="186" spans="1:186" ht="48" x14ac:dyDescent="0.25">
      <c r="A186" s="156">
        <v>177</v>
      </c>
      <c r="B186" s="395">
        <f>'Tier 3 Intervention'!B715</f>
        <v>0</v>
      </c>
      <c r="C186" s="395"/>
      <c r="D186" s="395"/>
      <c r="E186" s="395"/>
      <c r="F186" s="395"/>
      <c r="G186" s="395"/>
      <c r="H186" s="761" t="e">
        <f>'Tier 3 Intervention'!AA715+30</f>
        <v>#VALUE!</v>
      </c>
      <c r="I186" s="761"/>
      <c r="J186" s="762" t="e">
        <f t="shared" si="3"/>
        <v>#VALUE!</v>
      </c>
      <c r="K186" s="395"/>
      <c r="L186" s="47" t="s">
        <v>963</v>
      </c>
      <c r="M186" s="46"/>
      <c r="N186" s="46"/>
      <c r="O186" s="46"/>
      <c r="P186" s="49"/>
      <c r="Q186" s="19"/>
      <c r="R186" s="20"/>
      <c r="S186" s="20"/>
      <c r="T186" s="20"/>
      <c r="U186" s="20"/>
      <c r="V186" s="21"/>
      <c r="W186" s="22"/>
      <c r="X186" s="22"/>
      <c r="Y186" s="22"/>
      <c r="Z186" s="22"/>
      <c r="AA186" s="19"/>
      <c r="AB186" s="20"/>
      <c r="AC186" s="20"/>
      <c r="AD186" s="20"/>
      <c r="AE186" s="20"/>
      <c r="AF186" s="21"/>
      <c r="AG186" s="22"/>
      <c r="AH186" s="22"/>
      <c r="AI186" s="22"/>
      <c r="AJ186" s="22"/>
      <c r="AK186" s="19"/>
      <c r="AL186" s="20"/>
      <c r="AM186" s="20"/>
      <c r="AN186" s="20"/>
      <c r="AO186" s="20"/>
      <c r="AP186" s="21"/>
      <c r="AQ186" s="22"/>
      <c r="AR186" s="22"/>
      <c r="AS186" s="22"/>
      <c r="AT186" s="22"/>
      <c r="AU186" s="19"/>
      <c r="AV186" s="20"/>
      <c r="AW186" s="20"/>
      <c r="AX186" s="20"/>
      <c r="AY186" s="20"/>
      <c r="AZ186" s="21"/>
      <c r="BA186" s="22"/>
      <c r="BB186" s="22"/>
      <c r="BC186" s="22"/>
      <c r="BD186" s="22"/>
      <c r="BE186" s="19"/>
      <c r="BF186" s="20"/>
      <c r="BG186" s="20"/>
      <c r="BH186" s="20"/>
      <c r="BI186" s="20"/>
      <c r="BJ186" s="21"/>
      <c r="BK186" s="22"/>
      <c r="BL186" s="22"/>
      <c r="BM186" s="22"/>
      <c r="BN186" s="22"/>
      <c r="BO186" s="19"/>
      <c r="BP186" s="20"/>
      <c r="BQ186" s="20"/>
      <c r="BR186" s="20"/>
      <c r="BS186" s="20"/>
      <c r="BT186" s="21"/>
      <c r="BU186" s="22"/>
      <c r="BV186" s="22"/>
      <c r="BW186" s="22"/>
      <c r="BX186" s="22"/>
      <c r="BY186" s="23"/>
      <c r="BZ186" s="24"/>
      <c r="CA186" s="24"/>
      <c r="CB186" s="24"/>
      <c r="CC186" s="24"/>
      <c r="CD186" s="25"/>
      <c r="CE186" s="26"/>
      <c r="CF186" s="26"/>
      <c r="CG186" s="26"/>
      <c r="CH186" s="26"/>
      <c r="CI186" s="27"/>
      <c r="CJ186" s="28"/>
      <c r="CK186" s="28"/>
      <c r="CL186" s="28"/>
      <c r="CM186" s="28"/>
      <c r="CN186" s="25"/>
      <c r="CO186" s="26"/>
      <c r="CP186" s="26"/>
      <c r="CQ186" s="26"/>
      <c r="CR186" s="26"/>
      <c r="CS186" s="27"/>
      <c r="CT186" s="28"/>
      <c r="CU186" s="28"/>
      <c r="CV186" s="28"/>
      <c r="CW186" s="28"/>
      <c r="CX186" s="25"/>
      <c r="CY186" s="26"/>
      <c r="CZ186" s="26"/>
      <c r="DA186" s="26"/>
      <c r="DB186" s="26"/>
      <c r="DC186" s="27"/>
      <c r="DD186" s="28"/>
      <c r="DE186" s="28"/>
      <c r="DF186" s="28"/>
      <c r="DG186" s="28"/>
      <c r="DH186" s="25"/>
      <c r="DI186" s="26"/>
      <c r="DJ186" s="26"/>
      <c r="DK186" s="26"/>
      <c r="DL186" s="26"/>
      <c r="DM186" s="27"/>
      <c r="DN186" s="28"/>
      <c r="DO186" s="28"/>
      <c r="DP186" s="28"/>
      <c r="DQ186" s="28"/>
      <c r="DR186" s="25"/>
      <c r="DS186" s="26"/>
      <c r="DT186" s="26"/>
      <c r="DU186" s="26"/>
      <c r="DV186" s="26"/>
      <c r="DW186" s="27"/>
      <c r="DX186" s="28"/>
      <c r="DY186" s="28"/>
      <c r="DZ186" s="28"/>
      <c r="EA186" s="28"/>
      <c r="EB186" s="29"/>
      <c r="EC186" s="30"/>
      <c r="ED186" s="30"/>
      <c r="EE186" s="30"/>
      <c r="EF186" s="30"/>
      <c r="EG186" s="31"/>
      <c r="EH186" s="32"/>
      <c r="EI186" s="32"/>
      <c r="EJ186" s="32"/>
      <c r="EK186" s="32"/>
      <c r="EL186" s="29"/>
      <c r="EM186" s="30"/>
      <c r="EN186" s="30"/>
      <c r="EO186" s="30"/>
      <c r="EP186" s="30"/>
      <c r="EQ186" s="31"/>
      <c r="ER186" s="32"/>
      <c r="ES186" s="32"/>
      <c r="ET186" s="32"/>
      <c r="EU186" s="32"/>
      <c r="EV186" s="29"/>
      <c r="EW186" s="30"/>
      <c r="EX186" s="30"/>
      <c r="EY186" s="30"/>
      <c r="EZ186" s="30"/>
      <c r="FA186" s="31"/>
      <c r="FB186" s="32"/>
      <c r="FC186" s="32"/>
      <c r="FD186" s="32"/>
      <c r="FE186" s="32"/>
      <c r="FF186" s="29"/>
      <c r="FG186" s="30"/>
      <c r="FH186" s="30"/>
      <c r="FI186" s="30"/>
      <c r="FJ186" s="30"/>
      <c r="FK186" s="31"/>
      <c r="FL186" s="32"/>
      <c r="FM186" s="32"/>
      <c r="FN186" s="32"/>
      <c r="FO186" s="32"/>
      <c r="FP186" s="29"/>
      <c r="FQ186" s="30"/>
      <c r="FR186" s="30"/>
      <c r="FS186" s="30"/>
      <c r="FT186" s="30"/>
      <c r="FU186" s="31"/>
      <c r="FV186" s="32"/>
      <c r="FW186" s="32"/>
      <c r="FX186" s="32"/>
      <c r="FY186" s="32"/>
      <c r="FZ186" s="29"/>
      <c r="GA186" s="30"/>
      <c r="GB186" s="30"/>
      <c r="GC186" s="30"/>
      <c r="GD186" s="30"/>
    </row>
    <row r="187" spans="1:186" ht="48" x14ac:dyDescent="0.25">
      <c r="A187" s="156">
        <v>178</v>
      </c>
      <c r="B187" s="395">
        <f>'Tier 3 Intervention'!B719</f>
        <v>0</v>
      </c>
      <c r="C187" s="395"/>
      <c r="D187" s="395"/>
      <c r="E187" s="395"/>
      <c r="F187" s="395"/>
      <c r="G187" s="395"/>
      <c r="H187" s="761" t="e">
        <f>'Tier 3 Intervention'!AA719+30</f>
        <v>#VALUE!</v>
      </c>
      <c r="I187" s="761"/>
      <c r="J187" s="762" t="e">
        <f t="shared" si="3"/>
        <v>#VALUE!</v>
      </c>
      <c r="K187" s="395"/>
      <c r="L187" s="47" t="s">
        <v>964</v>
      </c>
      <c r="M187" s="46"/>
      <c r="N187" s="46"/>
      <c r="O187" s="46"/>
      <c r="P187" s="49"/>
      <c r="Q187" s="19"/>
      <c r="R187" s="20"/>
      <c r="S187" s="20"/>
      <c r="T187" s="20"/>
      <c r="U187" s="20"/>
      <c r="V187" s="21"/>
      <c r="W187" s="22"/>
      <c r="X187" s="22"/>
      <c r="Y187" s="22"/>
      <c r="Z187" s="22"/>
      <c r="AA187" s="19"/>
      <c r="AB187" s="20"/>
      <c r="AC187" s="20"/>
      <c r="AD187" s="20"/>
      <c r="AE187" s="20"/>
      <c r="AF187" s="21"/>
      <c r="AG187" s="22"/>
      <c r="AH187" s="22"/>
      <c r="AI187" s="22"/>
      <c r="AJ187" s="22"/>
      <c r="AK187" s="19"/>
      <c r="AL187" s="20"/>
      <c r="AM187" s="20"/>
      <c r="AN187" s="20"/>
      <c r="AO187" s="20"/>
      <c r="AP187" s="21"/>
      <c r="AQ187" s="22"/>
      <c r="AR187" s="22"/>
      <c r="AS187" s="22"/>
      <c r="AT187" s="22"/>
      <c r="AU187" s="19"/>
      <c r="AV187" s="20"/>
      <c r="AW187" s="20"/>
      <c r="AX187" s="20"/>
      <c r="AY187" s="20"/>
      <c r="AZ187" s="21"/>
      <c r="BA187" s="22"/>
      <c r="BB187" s="22"/>
      <c r="BC187" s="22"/>
      <c r="BD187" s="22"/>
      <c r="BE187" s="19"/>
      <c r="BF187" s="20"/>
      <c r="BG187" s="20"/>
      <c r="BH187" s="20"/>
      <c r="BI187" s="20"/>
      <c r="BJ187" s="21"/>
      <c r="BK187" s="22"/>
      <c r="BL187" s="22"/>
      <c r="BM187" s="22"/>
      <c r="BN187" s="22"/>
      <c r="BO187" s="19"/>
      <c r="BP187" s="20"/>
      <c r="BQ187" s="20"/>
      <c r="BR187" s="20"/>
      <c r="BS187" s="20"/>
      <c r="BT187" s="21"/>
      <c r="BU187" s="22"/>
      <c r="BV187" s="22"/>
      <c r="BW187" s="22"/>
      <c r="BX187" s="22"/>
      <c r="BY187" s="23"/>
      <c r="BZ187" s="24"/>
      <c r="CA187" s="24"/>
      <c r="CB187" s="24"/>
      <c r="CC187" s="24"/>
      <c r="CD187" s="25"/>
      <c r="CE187" s="26"/>
      <c r="CF187" s="26"/>
      <c r="CG187" s="26"/>
      <c r="CH187" s="26"/>
      <c r="CI187" s="27"/>
      <c r="CJ187" s="28"/>
      <c r="CK187" s="28"/>
      <c r="CL187" s="28"/>
      <c r="CM187" s="28"/>
      <c r="CN187" s="25"/>
      <c r="CO187" s="26"/>
      <c r="CP187" s="26"/>
      <c r="CQ187" s="26"/>
      <c r="CR187" s="26"/>
      <c r="CS187" s="27"/>
      <c r="CT187" s="28"/>
      <c r="CU187" s="28"/>
      <c r="CV187" s="28"/>
      <c r="CW187" s="28"/>
      <c r="CX187" s="25"/>
      <c r="CY187" s="26"/>
      <c r="CZ187" s="26"/>
      <c r="DA187" s="26"/>
      <c r="DB187" s="26"/>
      <c r="DC187" s="27"/>
      <c r="DD187" s="28"/>
      <c r="DE187" s="28"/>
      <c r="DF187" s="28"/>
      <c r="DG187" s="28"/>
      <c r="DH187" s="25"/>
      <c r="DI187" s="26"/>
      <c r="DJ187" s="26"/>
      <c r="DK187" s="26"/>
      <c r="DL187" s="26"/>
      <c r="DM187" s="27"/>
      <c r="DN187" s="28"/>
      <c r="DO187" s="28"/>
      <c r="DP187" s="28"/>
      <c r="DQ187" s="28"/>
      <c r="DR187" s="25"/>
      <c r="DS187" s="26"/>
      <c r="DT187" s="26"/>
      <c r="DU187" s="26"/>
      <c r="DV187" s="26"/>
      <c r="DW187" s="27"/>
      <c r="DX187" s="28"/>
      <c r="DY187" s="28"/>
      <c r="DZ187" s="28"/>
      <c r="EA187" s="28"/>
      <c r="EB187" s="29"/>
      <c r="EC187" s="30"/>
      <c r="ED187" s="30"/>
      <c r="EE187" s="30"/>
      <c r="EF187" s="30"/>
      <c r="EG187" s="31"/>
      <c r="EH187" s="32"/>
      <c r="EI187" s="32"/>
      <c r="EJ187" s="32"/>
      <c r="EK187" s="32"/>
      <c r="EL187" s="29"/>
      <c r="EM187" s="30"/>
      <c r="EN187" s="30"/>
      <c r="EO187" s="30"/>
      <c r="EP187" s="30"/>
      <c r="EQ187" s="31"/>
      <c r="ER187" s="32"/>
      <c r="ES187" s="32"/>
      <c r="ET187" s="32"/>
      <c r="EU187" s="32"/>
      <c r="EV187" s="29"/>
      <c r="EW187" s="30"/>
      <c r="EX187" s="30"/>
      <c r="EY187" s="30"/>
      <c r="EZ187" s="30"/>
      <c r="FA187" s="31"/>
      <c r="FB187" s="32"/>
      <c r="FC187" s="32"/>
      <c r="FD187" s="32"/>
      <c r="FE187" s="32"/>
      <c r="FF187" s="29"/>
      <c r="FG187" s="30"/>
      <c r="FH187" s="30"/>
      <c r="FI187" s="30"/>
      <c r="FJ187" s="30"/>
      <c r="FK187" s="31"/>
      <c r="FL187" s="32"/>
      <c r="FM187" s="32"/>
      <c r="FN187" s="32"/>
      <c r="FO187" s="32"/>
      <c r="FP187" s="29"/>
      <c r="FQ187" s="30"/>
      <c r="FR187" s="30"/>
      <c r="FS187" s="30"/>
      <c r="FT187" s="30"/>
      <c r="FU187" s="31"/>
      <c r="FV187" s="32"/>
      <c r="FW187" s="32"/>
      <c r="FX187" s="32"/>
      <c r="FY187" s="32"/>
      <c r="FZ187" s="29"/>
      <c r="GA187" s="30"/>
      <c r="GB187" s="30"/>
      <c r="GC187" s="30"/>
      <c r="GD187" s="30"/>
    </row>
    <row r="188" spans="1:186" ht="48" x14ac:dyDescent="0.25">
      <c r="A188" s="156">
        <v>179</v>
      </c>
      <c r="B188" s="395">
        <f>'Tier 3 Intervention'!B723</f>
        <v>0</v>
      </c>
      <c r="C188" s="395"/>
      <c r="D188" s="395"/>
      <c r="E188" s="395"/>
      <c r="F188" s="395"/>
      <c r="G188" s="395"/>
      <c r="H188" s="761" t="e">
        <f>'Tier 3 Intervention'!AA723+30</f>
        <v>#VALUE!</v>
      </c>
      <c r="I188" s="761"/>
      <c r="J188" s="762" t="e">
        <f t="shared" si="3"/>
        <v>#VALUE!</v>
      </c>
      <c r="K188" s="395"/>
      <c r="L188" s="47" t="s">
        <v>965</v>
      </c>
      <c r="M188" s="46"/>
      <c r="N188" s="46"/>
      <c r="O188" s="46"/>
      <c r="P188" s="49"/>
      <c r="Q188" s="19"/>
      <c r="R188" s="20"/>
      <c r="S188" s="20"/>
      <c r="T188" s="20"/>
      <c r="U188" s="20"/>
      <c r="V188" s="21"/>
      <c r="W188" s="22"/>
      <c r="X188" s="22"/>
      <c r="Y188" s="22"/>
      <c r="Z188" s="22"/>
      <c r="AA188" s="19"/>
      <c r="AB188" s="20"/>
      <c r="AC188" s="20"/>
      <c r="AD188" s="20"/>
      <c r="AE188" s="20"/>
      <c r="AF188" s="21"/>
      <c r="AG188" s="22"/>
      <c r="AH188" s="22"/>
      <c r="AI188" s="22"/>
      <c r="AJ188" s="22"/>
      <c r="AK188" s="19"/>
      <c r="AL188" s="20"/>
      <c r="AM188" s="20"/>
      <c r="AN188" s="20"/>
      <c r="AO188" s="20"/>
      <c r="AP188" s="21"/>
      <c r="AQ188" s="22"/>
      <c r="AR188" s="22"/>
      <c r="AS188" s="22"/>
      <c r="AT188" s="22"/>
      <c r="AU188" s="19"/>
      <c r="AV188" s="20"/>
      <c r="AW188" s="20"/>
      <c r="AX188" s="20"/>
      <c r="AY188" s="20"/>
      <c r="AZ188" s="21"/>
      <c r="BA188" s="22"/>
      <c r="BB188" s="22"/>
      <c r="BC188" s="22"/>
      <c r="BD188" s="22"/>
      <c r="BE188" s="19"/>
      <c r="BF188" s="20"/>
      <c r="BG188" s="20"/>
      <c r="BH188" s="20"/>
      <c r="BI188" s="20"/>
      <c r="BJ188" s="21"/>
      <c r="BK188" s="22"/>
      <c r="BL188" s="22"/>
      <c r="BM188" s="22"/>
      <c r="BN188" s="22"/>
      <c r="BO188" s="19"/>
      <c r="BP188" s="20"/>
      <c r="BQ188" s="20"/>
      <c r="BR188" s="20"/>
      <c r="BS188" s="20"/>
      <c r="BT188" s="21"/>
      <c r="BU188" s="22"/>
      <c r="BV188" s="22"/>
      <c r="BW188" s="22"/>
      <c r="BX188" s="22"/>
      <c r="BY188" s="23"/>
      <c r="BZ188" s="24"/>
      <c r="CA188" s="24"/>
      <c r="CB188" s="24"/>
      <c r="CC188" s="24"/>
      <c r="CD188" s="25"/>
      <c r="CE188" s="26"/>
      <c r="CF188" s="26"/>
      <c r="CG188" s="26"/>
      <c r="CH188" s="26"/>
      <c r="CI188" s="27"/>
      <c r="CJ188" s="28"/>
      <c r="CK188" s="28"/>
      <c r="CL188" s="28"/>
      <c r="CM188" s="28"/>
      <c r="CN188" s="25"/>
      <c r="CO188" s="26"/>
      <c r="CP188" s="26"/>
      <c r="CQ188" s="26"/>
      <c r="CR188" s="26"/>
      <c r="CS188" s="27"/>
      <c r="CT188" s="28"/>
      <c r="CU188" s="28"/>
      <c r="CV188" s="28"/>
      <c r="CW188" s="28"/>
      <c r="CX188" s="25"/>
      <c r="CY188" s="26"/>
      <c r="CZ188" s="26"/>
      <c r="DA188" s="26"/>
      <c r="DB188" s="26"/>
      <c r="DC188" s="27"/>
      <c r="DD188" s="28"/>
      <c r="DE188" s="28"/>
      <c r="DF188" s="28"/>
      <c r="DG188" s="28"/>
      <c r="DH188" s="25"/>
      <c r="DI188" s="26"/>
      <c r="DJ188" s="26"/>
      <c r="DK188" s="26"/>
      <c r="DL188" s="26"/>
      <c r="DM188" s="27"/>
      <c r="DN188" s="28"/>
      <c r="DO188" s="28"/>
      <c r="DP188" s="28"/>
      <c r="DQ188" s="28"/>
      <c r="DR188" s="25"/>
      <c r="DS188" s="26"/>
      <c r="DT188" s="26"/>
      <c r="DU188" s="26"/>
      <c r="DV188" s="26"/>
      <c r="DW188" s="27"/>
      <c r="DX188" s="28"/>
      <c r="DY188" s="28"/>
      <c r="DZ188" s="28"/>
      <c r="EA188" s="28"/>
      <c r="EB188" s="29"/>
      <c r="EC188" s="30"/>
      <c r="ED188" s="30"/>
      <c r="EE188" s="30"/>
      <c r="EF188" s="30"/>
      <c r="EG188" s="31"/>
      <c r="EH188" s="32"/>
      <c r="EI188" s="32"/>
      <c r="EJ188" s="32"/>
      <c r="EK188" s="32"/>
      <c r="EL188" s="29"/>
      <c r="EM188" s="30"/>
      <c r="EN188" s="30"/>
      <c r="EO188" s="30"/>
      <c r="EP188" s="30"/>
      <c r="EQ188" s="31"/>
      <c r="ER188" s="32"/>
      <c r="ES188" s="32"/>
      <c r="ET188" s="32"/>
      <c r="EU188" s="32"/>
      <c r="EV188" s="29"/>
      <c r="EW188" s="30"/>
      <c r="EX188" s="30"/>
      <c r="EY188" s="30"/>
      <c r="EZ188" s="30"/>
      <c r="FA188" s="31"/>
      <c r="FB188" s="32"/>
      <c r="FC188" s="32"/>
      <c r="FD188" s="32"/>
      <c r="FE188" s="32"/>
      <c r="FF188" s="29"/>
      <c r="FG188" s="30"/>
      <c r="FH188" s="30"/>
      <c r="FI188" s="30"/>
      <c r="FJ188" s="30"/>
      <c r="FK188" s="31"/>
      <c r="FL188" s="32"/>
      <c r="FM188" s="32"/>
      <c r="FN188" s="32"/>
      <c r="FO188" s="32"/>
      <c r="FP188" s="29"/>
      <c r="FQ188" s="30"/>
      <c r="FR188" s="30"/>
      <c r="FS188" s="30"/>
      <c r="FT188" s="30"/>
      <c r="FU188" s="31"/>
      <c r="FV188" s="32"/>
      <c r="FW188" s="32"/>
      <c r="FX188" s="32"/>
      <c r="FY188" s="32"/>
      <c r="FZ188" s="29"/>
      <c r="GA188" s="30"/>
      <c r="GB188" s="30"/>
      <c r="GC188" s="30"/>
      <c r="GD188" s="30"/>
    </row>
    <row r="189" spans="1:186" ht="48" x14ac:dyDescent="0.25">
      <c r="A189" s="156">
        <v>180</v>
      </c>
      <c r="B189" s="395">
        <f>'Tier 3 Intervention'!B727</f>
        <v>0</v>
      </c>
      <c r="C189" s="395"/>
      <c r="D189" s="395"/>
      <c r="E189" s="395"/>
      <c r="F189" s="395"/>
      <c r="G189" s="395"/>
      <c r="H189" s="761" t="e">
        <f>'Tier 3 Intervention'!AA727+30</f>
        <v>#VALUE!</v>
      </c>
      <c r="I189" s="761"/>
      <c r="J189" s="762" t="e">
        <f t="shared" si="3"/>
        <v>#VALUE!</v>
      </c>
      <c r="K189" s="395"/>
      <c r="L189" s="47" t="s">
        <v>966</v>
      </c>
      <c r="M189" s="46"/>
      <c r="N189" s="46"/>
      <c r="O189" s="46"/>
      <c r="P189" s="49"/>
      <c r="Q189" s="19"/>
      <c r="R189" s="20"/>
      <c r="S189" s="20"/>
      <c r="T189" s="20"/>
      <c r="U189" s="20"/>
      <c r="V189" s="21"/>
      <c r="W189" s="22"/>
      <c r="X189" s="22"/>
      <c r="Y189" s="22"/>
      <c r="Z189" s="22"/>
      <c r="AA189" s="19"/>
      <c r="AB189" s="20"/>
      <c r="AC189" s="20"/>
      <c r="AD189" s="20"/>
      <c r="AE189" s="20"/>
      <c r="AF189" s="21"/>
      <c r="AG189" s="22"/>
      <c r="AH189" s="22"/>
      <c r="AI189" s="22"/>
      <c r="AJ189" s="22"/>
      <c r="AK189" s="19"/>
      <c r="AL189" s="20"/>
      <c r="AM189" s="20"/>
      <c r="AN189" s="20"/>
      <c r="AO189" s="20"/>
      <c r="AP189" s="21"/>
      <c r="AQ189" s="22"/>
      <c r="AR189" s="22"/>
      <c r="AS189" s="22"/>
      <c r="AT189" s="22"/>
      <c r="AU189" s="19"/>
      <c r="AV189" s="20"/>
      <c r="AW189" s="20"/>
      <c r="AX189" s="20"/>
      <c r="AY189" s="20"/>
      <c r="AZ189" s="21"/>
      <c r="BA189" s="22"/>
      <c r="BB189" s="22"/>
      <c r="BC189" s="22"/>
      <c r="BD189" s="22"/>
      <c r="BE189" s="19"/>
      <c r="BF189" s="20"/>
      <c r="BG189" s="20"/>
      <c r="BH189" s="20"/>
      <c r="BI189" s="20"/>
      <c r="BJ189" s="21"/>
      <c r="BK189" s="22"/>
      <c r="BL189" s="22"/>
      <c r="BM189" s="22"/>
      <c r="BN189" s="22"/>
      <c r="BO189" s="19"/>
      <c r="BP189" s="20"/>
      <c r="BQ189" s="20"/>
      <c r="BR189" s="20"/>
      <c r="BS189" s="20"/>
      <c r="BT189" s="21"/>
      <c r="BU189" s="22"/>
      <c r="BV189" s="22"/>
      <c r="BW189" s="22"/>
      <c r="BX189" s="22"/>
      <c r="BY189" s="23"/>
      <c r="BZ189" s="24"/>
      <c r="CA189" s="24"/>
      <c r="CB189" s="24"/>
      <c r="CC189" s="24"/>
      <c r="CD189" s="25"/>
      <c r="CE189" s="26"/>
      <c r="CF189" s="26"/>
      <c r="CG189" s="26"/>
      <c r="CH189" s="26"/>
      <c r="CI189" s="27"/>
      <c r="CJ189" s="28"/>
      <c r="CK189" s="28"/>
      <c r="CL189" s="28"/>
      <c r="CM189" s="28"/>
      <c r="CN189" s="25"/>
      <c r="CO189" s="26"/>
      <c r="CP189" s="26"/>
      <c r="CQ189" s="26"/>
      <c r="CR189" s="26"/>
      <c r="CS189" s="27"/>
      <c r="CT189" s="28"/>
      <c r="CU189" s="28"/>
      <c r="CV189" s="28"/>
      <c r="CW189" s="28"/>
      <c r="CX189" s="25"/>
      <c r="CY189" s="26"/>
      <c r="CZ189" s="26"/>
      <c r="DA189" s="26"/>
      <c r="DB189" s="26"/>
      <c r="DC189" s="27"/>
      <c r="DD189" s="28"/>
      <c r="DE189" s="28"/>
      <c r="DF189" s="28"/>
      <c r="DG189" s="28"/>
      <c r="DH189" s="25"/>
      <c r="DI189" s="26"/>
      <c r="DJ189" s="26"/>
      <c r="DK189" s="26"/>
      <c r="DL189" s="26"/>
      <c r="DM189" s="27"/>
      <c r="DN189" s="28"/>
      <c r="DO189" s="28"/>
      <c r="DP189" s="28"/>
      <c r="DQ189" s="28"/>
      <c r="DR189" s="25"/>
      <c r="DS189" s="26"/>
      <c r="DT189" s="26"/>
      <c r="DU189" s="26"/>
      <c r="DV189" s="26"/>
      <c r="DW189" s="27"/>
      <c r="DX189" s="28"/>
      <c r="DY189" s="28"/>
      <c r="DZ189" s="28"/>
      <c r="EA189" s="28"/>
      <c r="EB189" s="29"/>
      <c r="EC189" s="30"/>
      <c r="ED189" s="30"/>
      <c r="EE189" s="30"/>
      <c r="EF189" s="30"/>
      <c r="EG189" s="31"/>
      <c r="EH189" s="32"/>
      <c r="EI189" s="32"/>
      <c r="EJ189" s="32"/>
      <c r="EK189" s="32"/>
      <c r="EL189" s="29"/>
      <c r="EM189" s="30"/>
      <c r="EN189" s="30"/>
      <c r="EO189" s="30"/>
      <c r="EP189" s="30"/>
      <c r="EQ189" s="31"/>
      <c r="ER189" s="32"/>
      <c r="ES189" s="32"/>
      <c r="ET189" s="32"/>
      <c r="EU189" s="32"/>
      <c r="EV189" s="29"/>
      <c r="EW189" s="30"/>
      <c r="EX189" s="30"/>
      <c r="EY189" s="30"/>
      <c r="EZ189" s="30"/>
      <c r="FA189" s="31"/>
      <c r="FB189" s="32"/>
      <c r="FC189" s="32"/>
      <c r="FD189" s="32"/>
      <c r="FE189" s="32"/>
      <c r="FF189" s="29"/>
      <c r="FG189" s="30"/>
      <c r="FH189" s="30"/>
      <c r="FI189" s="30"/>
      <c r="FJ189" s="30"/>
      <c r="FK189" s="31"/>
      <c r="FL189" s="32"/>
      <c r="FM189" s="32"/>
      <c r="FN189" s="32"/>
      <c r="FO189" s="32"/>
      <c r="FP189" s="29"/>
      <c r="FQ189" s="30"/>
      <c r="FR189" s="30"/>
      <c r="FS189" s="30"/>
      <c r="FT189" s="30"/>
      <c r="FU189" s="31"/>
      <c r="FV189" s="32"/>
      <c r="FW189" s="32"/>
      <c r="FX189" s="32"/>
      <c r="FY189" s="32"/>
      <c r="FZ189" s="29"/>
      <c r="GA189" s="30"/>
      <c r="GB189" s="30"/>
      <c r="GC189" s="30"/>
      <c r="GD189" s="30"/>
    </row>
    <row r="190" spans="1:186" ht="48" x14ac:dyDescent="0.25">
      <c r="A190" s="156">
        <v>181</v>
      </c>
      <c r="B190" s="395">
        <f>'Tier 3 Intervention'!B731</f>
        <v>0</v>
      </c>
      <c r="C190" s="395"/>
      <c r="D190" s="395"/>
      <c r="E190" s="395"/>
      <c r="F190" s="395"/>
      <c r="G190" s="395"/>
      <c r="H190" s="761" t="e">
        <f>'Tier 3 Intervention'!AA731+30</f>
        <v>#VALUE!</v>
      </c>
      <c r="I190" s="761"/>
      <c r="J190" s="762" t="e">
        <f t="shared" si="3"/>
        <v>#VALUE!</v>
      </c>
      <c r="K190" s="395"/>
      <c r="L190" s="47" t="s">
        <v>967</v>
      </c>
      <c r="M190" s="46"/>
      <c r="N190" s="46"/>
      <c r="O190" s="46"/>
      <c r="P190" s="49"/>
      <c r="Q190" s="19"/>
      <c r="R190" s="20"/>
      <c r="S190" s="20"/>
      <c r="T190" s="20"/>
      <c r="U190" s="20"/>
      <c r="V190" s="21"/>
      <c r="W190" s="22"/>
      <c r="X190" s="22"/>
      <c r="Y190" s="22"/>
      <c r="Z190" s="22"/>
      <c r="AA190" s="19"/>
      <c r="AB190" s="20"/>
      <c r="AC190" s="20"/>
      <c r="AD190" s="20"/>
      <c r="AE190" s="20"/>
      <c r="AF190" s="21"/>
      <c r="AG190" s="22"/>
      <c r="AH190" s="22"/>
      <c r="AI190" s="22"/>
      <c r="AJ190" s="22"/>
      <c r="AK190" s="19"/>
      <c r="AL190" s="20"/>
      <c r="AM190" s="20"/>
      <c r="AN190" s="20"/>
      <c r="AO190" s="20"/>
      <c r="AP190" s="21"/>
      <c r="AQ190" s="22"/>
      <c r="AR190" s="22"/>
      <c r="AS190" s="22"/>
      <c r="AT190" s="22"/>
      <c r="AU190" s="19"/>
      <c r="AV190" s="20"/>
      <c r="AW190" s="20"/>
      <c r="AX190" s="20"/>
      <c r="AY190" s="20"/>
      <c r="AZ190" s="21"/>
      <c r="BA190" s="22"/>
      <c r="BB190" s="22"/>
      <c r="BC190" s="22"/>
      <c r="BD190" s="22"/>
      <c r="BE190" s="19"/>
      <c r="BF190" s="20"/>
      <c r="BG190" s="20"/>
      <c r="BH190" s="20"/>
      <c r="BI190" s="20"/>
      <c r="BJ190" s="21"/>
      <c r="BK190" s="22"/>
      <c r="BL190" s="22"/>
      <c r="BM190" s="22"/>
      <c r="BN190" s="22"/>
      <c r="BO190" s="19"/>
      <c r="BP190" s="20"/>
      <c r="BQ190" s="20"/>
      <c r="BR190" s="20"/>
      <c r="BS190" s="20"/>
      <c r="BT190" s="21"/>
      <c r="BU190" s="22"/>
      <c r="BV190" s="22"/>
      <c r="BW190" s="22"/>
      <c r="BX190" s="22"/>
      <c r="BY190" s="23"/>
      <c r="BZ190" s="24"/>
      <c r="CA190" s="24"/>
      <c r="CB190" s="24"/>
      <c r="CC190" s="24"/>
      <c r="CD190" s="25"/>
      <c r="CE190" s="26"/>
      <c r="CF190" s="26"/>
      <c r="CG190" s="26"/>
      <c r="CH190" s="26"/>
      <c r="CI190" s="27"/>
      <c r="CJ190" s="28"/>
      <c r="CK190" s="28"/>
      <c r="CL190" s="28"/>
      <c r="CM190" s="28"/>
      <c r="CN190" s="25"/>
      <c r="CO190" s="26"/>
      <c r="CP190" s="26"/>
      <c r="CQ190" s="26"/>
      <c r="CR190" s="26"/>
      <c r="CS190" s="27"/>
      <c r="CT190" s="28"/>
      <c r="CU190" s="28"/>
      <c r="CV190" s="28"/>
      <c r="CW190" s="28"/>
      <c r="CX190" s="25"/>
      <c r="CY190" s="26"/>
      <c r="CZ190" s="26"/>
      <c r="DA190" s="26"/>
      <c r="DB190" s="26"/>
      <c r="DC190" s="27"/>
      <c r="DD190" s="28"/>
      <c r="DE190" s="28"/>
      <c r="DF190" s="28"/>
      <c r="DG190" s="28"/>
      <c r="DH190" s="25"/>
      <c r="DI190" s="26"/>
      <c r="DJ190" s="26"/>
      <c r="DK190" s="26"/>
      <c r="DL190" s="26"/>
      <c r="DM190" s="27"/>
      <c r="DN190" s="28"/>
      <c r="DO190" s="28"/>
      <c r="DP190" s="28"/>
      <c r="DQ190" s="28"/>
      <c r="DR190" s="25"/>
      <c r="DS190" s="26"/>
      <c r="DT190" s="26"/>
      <c r="DU190" s="26"/>
      <c r="DV190" s="26"/>
      <c r="DW190" s="27"/>
      <c r="DX190" s="28"/>
      <c r="DY190" s="28"/>
      <c r="DZ190" s="28"/>
      <c r="EA190" s="28"/>
      <c r="EB190" s="29"/>
      <c r="EC190" s="30"/>
      <c r="ED190" s="30"/>
      <c r="EE190" s="30"/>
      <c r="EF190" s="30"/>
      <c r="EG190" s="31"/>
      <c r="EH190" s="32"/>
      <c r="EI190" s="32"/>
      <c r="EJ190" s="32"/>
      <c r="EK190" s="32"/>
      <c r="EL190" s="29"/>
      <c r="EM190" s="30"/>
      <c r="EN190" s="30"/>
      <c r="EO190" s="30"/>
      <c r="EP190" s="30"/>
      <c r="EQ190" s="31"/>
      <c r="ER190" s="32"/>
      <c r="ES190" s="32"/>
      <c r="ET190" s="32"/>
      <c r="EU190" s="32"/>
      <c r="EV190" s="29"/>
      <c r="EW190" s="30"/>
      <c r="EX190" s="30"/>
      <c r="EY190" s="30"/>
      <c r="EZ190" s="30"/>
      <c r="FA190" s="31"/>
      <c r="FB190" s="32"/>
      <c r="FC190" s="32"/>
      <c r="FD190" s="32"/>
      <c r="FE190" s="32"/>
      <c r="FF190" s="29"/>
      <c r="FG190" s="30"/>
      <c r="FH190" s="30"/>
      <c r="FI190" s="30"/>
      <c r="FJ190" s="30"/>
      <c r="FK190" s="31"/>
      <c r="FL190" s="32"/>
      <c r="FM190" s="32"/>
      <c r="FN190" s="32"/>
      <c r="FO190" s="32"/>
      <c r="FP190" s="29"/>
      <c r="FQ190" s="30"/>
      <c r="FR190" s="30"/>
      <c r="FS190" s="30"/>
      <c r="FT190" s="30"/>
      <c r="FU190" s="31"/>
      <c r="FV190" s="32"/>
      <c r="FW190" s="32"/>
      <c r="FX190" s="32"/>
      <c r="FY190" s="32"/>
      <c r="FZ190" s="29"/>
      <c r="GA190" s="30"/>
      <c r="GB190" s="30"/>
      <c r="GC190" s="30"/>
      <c r="GD190" s="30"/>
    </row>
    <row r="191" spans="1:186" ht="48" x14ac:dyDescent="0.25">
      <c r="A191" s="156">
        <v>182</v>
      </c>
      <c r="B191" s="395">
        <f>'Tier 3 Intervention'!B735</f>
        <v>0</v>
      </c>
      <c r="C191" s="395"/>
      <c r="D191" s="395"/>
      <c r="E191" s="395"/>
      <c r="F191" s="395"/>
      <c r="G191" s="395"/>
      <c r="H191" s="761" t="e">
        <f>'Tier 3 Intervention'!AA735+30</f>
        <v>#VALUE!</v>
      </c>
      <c r="I191" s="761"/>
      <c r="J191" s="762" t="e">
        <f t="shared" si="3"/>
        <v>#VALUE!</v>
      </c>
      <c r="K191" s="395"/>
      <c r="L191" s="47" t="s">
        <v>968</v>
      </c>
      <c r="M191" s="46"/>
      <c r="N191" s="46"/>
      <c r="O191" s="46"/>
      <c r="P191" s="49"/>
      <c r="Q191" s="19"/>
      <c r="R191" s="20"/>
      <c r="S191" s="20"/>
      <c r="T191" s="20"/>
      <c r="U191" s="20"/>
      <c r="V191" s="21"/>
      <c r="W191" s="22"/>
      <c r="X191" s="22"/>
      <c r="Y191" s="22"/>
      <c r="Z191" s="22"/>
      <c r="AA191" s="19"/>
      <c r="AB191" s="20"/>
      <c r="AC191" s="20"/>
      <c r="AD191" s="20"/>
      <c r="AE191" s="20"/>
      <c r="AF191" s="21"/>
      <c r="AG191" s="22"/>
      <c r="AH191" s="22"/>
      <c r="AI191" s="22"/>
      <c r="AJ191" s="22"/>
      <c r="AK191" s="19"/>
      <c r="AL191" s="20"/>
      <c r="AM191" s="20"/>
      <c r="AN191" s="20"/>
      <c r="AO191" s="20"/>
      <c r="AP191" s="21"/>
      <c r="AQ191" s="22"/>
      <c r="AR191" s="22"/>
      <c r="AS191" s="22"/>
      <c r="AT191" s="22"/>
      <c r="AU191" s="19"/>
      <c r="AV191" s="20"/>
      <c r="AW191" s="20"/>
      <c r="AX191" s="20"/>
      <c r="AY191" s="20"/>
      <c r="AZ191" s="21"/>
      <c r="BA191" s="22"/>
      <c r="BB191" s="22"/>
      <c r="BC191" s="22"/>
      <c r="BD191" s="22"/>
      <c r="BE191" s="19"/>
      <c r="BF191" s="20"/>
      <c r="BG191" s="20"/>
      <c r="BH191" s="20"/>
      <c r="BI191" s="20"/>
      <c r="BJ191" s="21"/>
      <c r="BK191" s="22"/>
      <c r="BL191" s="22"/>
      <c r="BM191" s="22"/>
      <c r="BN191" s="22"/>
      <c r="BO191" s="19"/>
      <c r="BP191" s="20"/>
      <c r="BQ191" s="20"/>
      <c r="BR191" s="20"/>
      <c r="BS191" s="20"/>
      <c r="BT191" s="21"/>
      <c r="BU191" s="22"/>
      <c r="BV191" s="22"/>
      <c r="BW191" s="22"/>
      <c r="BX191" s="22"/>
      <c r="BY191" s="23"/>
      <c r="BZ191" s="24"/>
      <c r="CA191" s="24"/>
      <c r="CB191" s="24"/>
      <c r="CC191" s="24"/>
      <c r="CD191" s="25"/>
      <c r="CE191" s="26"/>
      <c r="CF191" s="26"/>
      <c r="CG191" s="26"/>
      <c r="CH191" s="26"/>
      <c r="CI191" s="27"/>
      <c r="CJ191" s="28"/>
      <c r="CK191" s="28"/>
      <c r="CL191" s="28"/>
      <c r="CM191" s="28"/>
      <c r="CN191" s="25"/>
      <c r="CO191" s="26"/>
      <c r="CP191" s="26"/>
      <c r="CQ191" s="26"/>
      <c r="CR191" s="26"/>
      <c r="CS191" s="27"/>
      <c r="CT191" s="28"/>
      <c r="CU191" s="28"/>
      <c r="CV191" s="28"/>
      <c r="CW191" s="28"/>
      <c r="CX191" s="25"/>
      <c r="CY191" s="26"/>
      <c r="CZ191" s="26"/>
      <c r="DA191" s="26"/>
      <c r="DB191" s="26"/>
      <c r="DC191" s="27"/>
      <c r="DD191" s="28"/>
      <c r="DE191" s="28"/>
      <c r="DF191" s="28"/>
      <c r="DG191" s="28"/>
      <c r="DH191" s="25"/>
      <c r="DI191" s="26"/>
      <c r="DJ191" s="26"/>
      <c r="DK191" s="26"/>
      <c r="DL191" s="26"/>
      <c r="DM191" s="27"/>
      <c r="DN191" s="28"/>
      <c r="DO191" s="28"/>
      <c r="DP191" s="28"/>
      <c r="DQ191" s="28"/>
      <c r="DR191" s="25"/>
      <c r="DS191" s="26"/>
      <c r="DT191" s="26"/>
      <c r="DU191" s="26"/>
      <c r="DV191" s="26"/>
      <c r="DW191" s="27"/>
      <c r="DX191" s="28"/>
      <c r="DY191" s="28"/>
      <c r="DZ191" s="28"/>
      <c r="EA191" s="28"/>
      <c r="EB191" s="29"/>
      <c r="EC191" s="30"/>
      <c r="ED191" s="30"/>
      <c r="EE191" s="30"/>
      <c r="EF191" s="30"/>
      <c r="EG191" s="31"/>
      <c r="EH191" s="32"/>
      <c r="EI191" s="32"/>
      <c r="EJ191" s="32"/>
      <c r="EK191" s="32"/>
      <c r="EL191" s="29"/>
      <c r="EM191" s="30"/>
      <c r="EN191" s="30"/>
      <c r="EO191" s="30"/>
      <c r="EP191" s="30"/>
      <c r="EQ191" s="31"/>
      <c r="ER191" s="32"/>
      <c r="ES191" s="32"/>
      <c r="ET191" s="32"/>
      <c r="EU191" s="32"/>
      <c r="EV191" s="29"/>
      <c r="EW191" s="30"/>
      <c r="EX191" s="30"/>
      <c r="EY191" s="30"/>
      <c r="EZ191" s="30"/>
      <c r="FA191" s="31"/>
      <c r="FB191" s="32"/>
      <c r="FC191" s="32"/>
      <c r="FD191" s="32"/>
      <c r="FE191" s="32"/>
      <c r="FF191" s="29"/>
      <c r="FG191" s="30"/>
      <c r="FH191" s="30"/>
      <c r="FI191" s="30"/>
      <c r="FJ191" s="30"/>
      <c r="FK191" s="31"/>
      <c r="FL191" s="32"/>
      <c r="FM191" s="32"/>
      <c r="FN191" s="32"/>
      <c r="FO191" s="32"/>
      <c r="FP191" s="29"/>
      <c r="FQ191" s="30"/>
      <c r="FR191" s="30"/>
      <c r="FS191" s="30"/>
      <c r="FT191" s="30"/>
      <c r="FU191" s="31"/>
      <c r="FV191" s="32"/>
      <c r="FW191" s="32"/>
      <c r="FX191" s="32"/>
      <c r="FY191" s="32"/>
      <c r="FZ191" s="29"/>
      <c r="GA191" s="30"/>
      <c r="GB191" s="30"/>
      <c r="GC191" s="30"/>
      <c r="GD191" s="30"/>
    </row>
    <row r="192" spans="1:186" ht="48" x14ac:dyDescent="0.25">
      <c r="A192" s="156">
        <v>183</v>
      </c>
      <c r="B192" s="395">
        <f>'Tier 3 Intervention'!B739</f>
        <v>0</v>
      </c>
      <c r="C192" s="395"/>
      <c r="D192" s="395"/>
      <c r="E192" s="395"/>
      <c r="F192" s="395"/>
      <c r="G192" s="395"/>
      <c r="H192" s="761" t="e">
        <f>'Tier 3 Intervention'!AA739+30</f>
        <v>#VALUE!</v>
      </c>
      <c r="I192" s="761"/>
      <c r="J192" s="762" t="e">
        <f t="shared" si="3"/>
        <v>#VALUE!</v>
      </c>
      <c r="K192" s="395"/>
      <c r="L192" s="47" t="s">
        <v>969</v>
      </c>
      <c r="M192" s="46"/>
      <c r="N192" s="46"/>
      <c r="O192" s="46"/>
      <c r="P192" s="49"/>
      <c r="Q192" s="19"/>
      <c r="R192" s="20"/>
      <c r="S192" s="20"/>
      <c r="T192" s="20"/>
      <c r="U192" s="20"/>
      <c r="V192" s="21"/>
      <c r="W192" s="22"/>
      <c r="X192" s="22"/>
      <c r="Y192" s="22"/>
      <c r="Z192" s="22"/>
      <c r="AA192" s="19"/>
      <c r="AB192" s="20"/>
      <c r="AC192" s="20"/>
      <c r="AD192" s="20"/>
      <c r="AE192" s="20"/>
      <c r="AF192" s="21"/>
      <c r="AG192" s="22"/>
      <c r="AH192" s="22"/>
      <c r="AI192" s="22"/>
      <c r="AJ192" s="22"/>
      <c r="AK192" s="19"/>
      <c r="AL192" s="20"/>
      <c r="AM192" s="20"/>
      <c r="AN192" s="20"/>
      <c r="AO192" s="20"/>
      <c r="AP192" s="21"/>
      <c r="AQ192" s="22"/>
      <c r="AR192" s="22"/>
      <c r="AS192" s="22"/>
      <c r="AT192" s="22"/>
      <c r="AU192" s="19"/>
      <c r="AV192" s="20"/>
      <c r="AW192" s="20"/>
      <c r="AX192" s="20"/>
      <c r="AY192" s="20"/>
      <c r="AZ192" s="21"/>
      <c r="BA192" s="22"/>
      <c r="BB192" s="22"/>
      <c r="BC192" s="22"/>
      <c r="BD192" s="22"/>
      <c r="BE192" s="19"/>
      <c r="BF192" s="20"/>
      <c r="BG192" s="20"/>
      <c r="BH192" s="20"/>
      <c r="BI192" s="20"/>
      <c r="BJ192" s="21"/>
      <c r="BK192" s="22"/>
      <c r="BL192" s="22"/>
      <c r="BM192" s="22"/>
      <c r="BN192" s="22"/>
      <c r="BO192" s="19"/>
      <c r="BP192" s="20"/>
      <c r="BQ192" s="20"/>
      <c r="BR192" s="20"/>
      <c r="BS192" s="20"/>
      <c r="BT192" s="21"/>
      <c r="BU192" s="22"/>
      <c r="BV192" s="22"/>
      <c r="BW192" s="22"/>
      <c r="BX192" s="22"/>
      <c r="BY192" s="23"/>
      <c r="BZ192" s="24"/>
      <c r="CA192" s="24"/>
      <c r="CB192" s="24"/>
      <c r="CC192" s="24"/>
      <c r="CD192" s="25"/>
      <c r="CE192" s="26"/>
      <c r="CF192" s="26"/>
      <c r="CG192" s="26"/>
      <c r="CH192" s="26"/>
      <c r="CI192" s="27"/>
      <c r="CJ192" s="28"/>
      <c r="CK192" s="28"/>
      <c r="CL192" s="28"/>
      <c r="CM192" s="28"/>
      <c r="CN192" s="25"/>
      <c r="CO192" s="26"/>
      <c r="CP192" s="26"/>
      <c r="CQ192" s="26"/>
      <c r="CR192" s="26"/>
      <c r="CS192" s="27"/>
      <c r="CT192" s="28"/>
      <c r="CU192" s="28"/>
      <c r="CV192" s="28"/>
      <c r="CW192" s="28"/>
      <c r="CX192" s="25"/>
      <c r="CY192" s="26"/>
      <c r="CZ192" s="26"/>
      <c r="DA192" s="26"/>
      <c r="DB192" s="26"/>
      <c r="DC192" s="27"/>
      <c r="DD192" s="28"/>
      <c r="DE192" s="28"/>
      <c r="DF192" s="28"/>
      <c r="DG192" s="28"/>
      <c r="DH192" s="25"/>
      <c r="DI192" s="26"/>
      <c r="DJ192" s="26"/>
      <c r="DK192" s="26"/>
      <c r="DL192" s="26"/>
      <c r="DM192" s="27"/>
      <c r="DN192" s="28"/>
      <c r="DO192" s="28"/>
      <c r="DP192" s="28"/>
      <c r="DQ192" s="28"/>
      <c r="DR192" s="25"/>
      <c r="DS192" s="26"/>
      <c r="DT192" s="26"/>
      <c r="DU192" s="26"/>
      <c r="DV192" s="26"/>
      <c r="DW192" s="27"/>
      <c r="DX192" s="28"/>
      <c r="DY192" s="28"/>
      <c r="DZ192" s="28"/>
      <c r="EA192" s="28"/>
      <c r="EB192" s="29"/>
      <c r="EC192" s="30"/>
      <c r="ED192" s="30"/>
      <c r="EE192" s="30"/>
      <c r="EF192" s="30"/>
      <c r="EG192" s="31"/>
      <c r="EH192" s="32"/>
      <c r="EI192" s="32"/>
      <c r="EJ192" s="32"/>
      <c r="EK192" s="32"/>
      <c r="EL192" s="29"/>
      <c r="EM192" s="30"/>
      <c r="EN192" s="30"/>
      <c r="EO192" s="30"/>
      <c r="EP192" s="30"/>
      <c r="EQ192" s="31"/>
      <c r="ER192" s="32"/>
      <c r="ES192" s="32"/>
      <c r="ET192" s="32"/>
      <c r="EU192" s="32"/>
      <c r="EV192" s="29"/>
      <c r="EW192" s="30"/>
      <c r="EX192" s="30"/>
      <c r="EY192" s="30"/>
      <c r="EZ192" s="30"/>
      <c r="FA192" s="31"/>
      <c r="FB192" s="32"/>
      <c r="FC192" s="32"/>
      <c r="FD192" s="32"/>
      <c r="FE192" s="32"/>
      <c r="FF192" s="29"/>
      <c r="FG192" s="30"/>
      <c r="FH192" s="30"/>
      <c r="FI192" s="30"/>
      <c r="FJ192" s="30"/>
      <c r="FK192" s="31"/>
      <c r="FL192" s="32"/>
      <c r="FM192" s="32"/>
      <c r="FN192" s="32"/>
      <c r="FO192" s="32"/>
      <c r="FP192" s="29"/>
      <c r="FQ192" s="30"/>
      <c r="FR192" s="30"/>
      <c r="FS192" s="30"/>
      <c r="FT192" s="30"/>
      <c r="FU192" s="31"/>
      <c r="FV192" s="32"/>
      <c r="FW192" s="32"/>
      <c r="FX192" s="32"/>
      <c r="FY192" s="32"/>
      <c r="FZ192" s="29"/>
      <c r="GA192" s="30"/>
      <c r="GB192" s="30"/>
      <c r="GC192" s="30"/>
      <c r="GD192" s="30"/>
    </row>
    <row r="193" spans="1:186" ht="48" x14ac:dyDescent="0.25">
      <c r="A193" s="156">
        <v>184</v>
      </c>
      <c r="B193" s="395">
        <f>'Tier 3 Intervention'!B743</f>
        <v>0</v>
      </c>
      <c r="C193" s="395"/>
      <c r="D193" s="395"/>
      <c r="E193" s="395"/>
      <c r="F193" s="395"/>
      <c r="G193" s="395"/>
      <c r="H193" s="761" t="e">
        <f>'Tier 3 Intervention'!AA743+30</f>
        <v>#VALUE!</v>
      </c>
      <c r="I193" s="761"/>
      <c r="J193" s="762" t="e">
        <f t="shared" si="3"/>
        <v>#VALUE!</v>
      </c>
      <c r="K193" s="395"/>
      <c r="L193" s="47" t="s">
        <v>970</v>
      </c>
      <c r="M193" s="46"/>
      <c r="N193" s="46"/>
      <c r="O193" s="46"/>
      <c r="P193" s="49"/>
      <c r="Q193" s="19"/>
      <c r="R193" s="20"/>
      <c r="S193" s="20"/>
      <c r="T193" s="20"/>
      <c r="U193" s="20"/>
      <c r="V193" s="21"/>
      <c r="W193" s="22"/>
      <c r="X193" s="22"/>
      <c r="Y193" s="22"/>
      <c r="Z193" s="22"/>
      <c r="AA193" s="19"/>
      <c r="AB193" s="20"/>
      <c r="AC193" s="20"/>
      <c r="AD193" s="20"/>
      <c r="AE193" s="20"/>
      <c r="AF193" s="21"/>
      <c r="AG193" s="22"/>
      <c r="AH193" s="22"/>
      <c r="AI193" s="22"/>
      <c r="AJ193" s="22"/>
      <c r="AK193" s="19"/>
      <c r="AL193" s="20"/>
      <c r="AM193" s="20"/>
      <c r="AN193" s="20"/>
      <c r="AO193" s="20"/>
      <c r="AP193" s="21"/>
      <c r="AQ193" s="22"/>
      <c r="AR193" s="22"/>
      <c r="AS193" s="22"/>
      <c r="AT193" s="22"/>
      <c r="AU193" s="19"/>
      <c r="AV193" s="20"/>
      <c r="AW193" s="20"/>
      <c r="AX193" s="20"/>
      <c r="AY193" s="20"/>
      <c r="AZ193" s="21"/>
      <c r="BA193" s="22"/>
      <c r="BB193" s="22"/>
      <c r="BC193" s="22"/>
      <c r="BD193" s="22"/>
      <c r="BE193" s="19"/>
      <c r="BF193" s="20"/>
      <c r="BG193" s="20"/>
      <c r="BH193" s="20"/>
      <c r="BI193" s="20"/>
      <c r="BJ193" s="21"/>
      <c r="BK193" s="22"/>
      <c r="BL193" s="22"/>
      <c r="BM193" s="22"/>
      <c r="BN193" s="22"/>
      <c r="BO193" s="19"/>
      <c r="BP193" s="20"/>
      <c r="BQ193" s="20"/>
      <c r="BR193" s="20"/>
      <c r="BS193" s="20"/>
      <c r="BT193" s="21"/>
      <c r="BU193" s="22"/>
      <c r="BV193" s="22"/>
      <c r="BW193" s="22"/>
      <c r="BX193" s="22"/>
      <c r="BY193" s="23"/>
      <c r="BZ193" s="24"/>
      <c r="CA193" s="24"/>
      <c r="CB193" s="24"/>
      <c r="CC193" s="24"/>
      <c r="CD193" s="25"/>
      <c r="CE193" s="26"/>
      <c r="CF193" s="26"/>
      <c r="CG193" s="26"/>
      <c r="CH193" s="26"/>
      <c r="CI193" s="27"/>
      <c r="CJ193" s="28"/>
      <c r="CK193" s="28"/>
      <c r="CL193" s="28"/>
      <c r="CM193" s="28"/>
      <c r="CN193" s="25"/>
      <c r="CO193" s="26"/>
      <c r="CP193" s="26"/>
      <c r="CQ193" s="26"/>
      <c r="CR193" s="26"/>
      <c r="CS193" s="27"/>
      <c r="CT193" s="28"/>
      <c r="CU193" s="28"/>
      <c r="CV193" s="28"/>
      <c r="CW193" s="28"/>
      <c r="CX193" s="25"/>
      <c r="CY193" s="26"/>
      <c r="CZ193" s="26"/>
      <c r="DA193" s="26"/>
      <c r="DB193" s="26"/>
      <c r="DC193" s="27"/>
      <c r="DD193" s="28"/>
      <c r="DE193" s="28"/>
      <c r="DF193" s="28"/>
      <c r="DG193" s="28"/>
      <c r="DH193" s="25"/>
      <c r="DI193" s="26"/>
      <c r="DJ193" s="26"/>
      <c r="DK193" s="26"/>
      <c r="DL193" s="26"/>
      <c r="DM193" s="27"/>
      <c r="DN193" s="28"/>
      <c r="DO193" s="28"/>
      <c r="DP193" s="28"/>
      <c r="DQ193" s="28"/>
      <c r="DR193" s="25"/>
      <c r="DS193" s="26"/>
      <c r="DT193" s="26"/>
      <c r="DU193" s="26"/>
      <c r="DV193" s="26"/>
      <c r="DW193" s="27"/>
      <c r="DX193" s="28"/>
      <c r="DY193" s="28"/>
      <c r="DZ193" s="28"/>
      <c r="EA193" s="28"/>
      <c r="EB193" s="29"/>
      <c r="EC193" s="30"/>
      <c r="ED193" s="30"/>
      <c r="EE193" s="30"/>
      <c r="EF193" s="30"/>
      <c r="EG193" s="31"/>
      <c r="EH193" s="32"/>
      <c r="EI193" s="32"/>
      <c r="EJ193" s="32"/>
      <c r="EK193" s="32"/>
      <c r="EL193" s="29"/>
      <c r="EM193" s="30"/>
      <c r="EN193" s="30"/>
      <c r="EO193" s="30"/>
      <c r="EP193" s="30"/>
      <c r="EQ193" s="31"/>
      <c r="ER193" s="32"/>
      <c r="ES193" s="32"/>
      <c r="ET193" s="32"/>
      <c r="EU193" s="32"/>
      <c r="EV193" s="29"/>
      <c r="EW193" s="30"/>
      <c r="EX193" s="30"/>
      <c r="EY193" s="30"/>
      <c r="EZ193" s="30"/>
      <c r="FA193" s="31"/>
      <c r="FB193" s="32"/>
      <c r="FC193" s="32"/>
      <c r="FD193" s="32"/>
      <c r="FE193" s="32"/>
      <c r="FF193" s="29"/>
      <c r="FG193" s="30"/>
      <c r="FH193" s="30"/>
      <c r="FI193" s="30"/>
      <c r="FJ193" s="30"/>
      <c r="FK193" s="31"/>
      <c r="FL193" s="32"/>
      <c r="FM193" s="32"/>
      <c r="FN193" s="32"/>
      <c r="FO193" s="32"/>
      <c r="FP193" s="29"/>
      <c r="FQ193" s="30"/>
      <c r="FR193" s="30"/>
      <c r="FS193" s="30"/>
      <c r="FT193" s="30"/>
      <c r="FU193" s="31"/>
      <c r="FV193" s="32"/>
      <c r="FW193" s="32"/>
      <c r="FX193" s="32"/>
      <c r="FY193" s="32"/>
      <c r="FZ193" s="29"/>
      <c r="GA193" s="30"/>
      <c r="GB193" s="30"/>
      <c r="GC193" s="30"/>
      <c r="GD193" s="30"/>
    </row>
    <row r="194" spans="1:186" ht="48" x14ac:dyDescent="0.25">
      <c r="A194" s="156">
        <v>185</v>
      </c>
      <c r="B194" s="395">
        <f>'Tier 3 Intervention'!B747</f>
        <v>0</v>
      </c>
      <c r="C194" s="395"/>
      <c r="D194" s="395"/>
      <c r="E194" s="395"/>
      <c r="F194" s="395"/>
      <c r="G194" s="395"/>
      <c r="H194" s="761" t="e">
        <f>'Tier 3 Intervention'!AA747+30</f>
        <v>#VALUE!</v>
      </c>
      <c r="I194" s="761"/>
      <c r="J194" s="762" t="e">
        <f t="shared" si="3"/>
        <v>#VALUE!</v>
      </c>
      <c r="K194" s="395"/>
      <c r="L194" s="47" t="s">
        <v>971</v>
      </c>
      <c r="M194" s="46"/>
      <c r="N194" s="46"/>
      <c r="O194" s="46"/>
      <c r="P194" s="49"/>
      <c r="Q194" s="19"/>
      <c r="R194" s="20"/>
      <c r="S194" s="20"/>
      <c r="T194" s="20"/>
      <c r="U194" s="20"/>
      <c r="V194" s="21"/>
      <c r="W194" s="22"/>
      <c r="X194" s="22"/>
      <c r="Y194" s="22"/>
      <c r="Z194" s="22"/>
      <c r="AA194" s="19"/>
      <c r="AB194" s="20"/>
      <c r="AC194" s="20"/>
      <c r="AD194" s="20"/>
      <c r="AE194" s="20"/>
      <c r="AF194" s="21"/>
      <c r="AG194" s="22"/>
      <c r="AH194" s="22"/>
      <c r="AI194" s="22"/>
      <c r="AJ194" s="22"/>
      <c r="AK194" s="19"/>
      <c r="AL194" s="20"/>
      <c r="AM194" s="20"/>
      <c r="AN194" s="20"/>
      <c r="AO194" s="20"/>
      <c r="AP194" s="21"/>
      <c r="AQ194" s="22"/>
      <c r="AR194" s="22"/>
      <c r="AS194" s="22"/>
      <c r="AT194" s="22"/>
      <c r="AU194" s="19"/>
      <c r="AV194" s="20"/>
      <c r="AW194" s="20"/>
      <c r="AX194" s="20"/>
      <c r="AY194" s="20"/>
      <c r="AZ194" s="21"/>
      <c r="BA194" s="22"/>
      <c r="BB194" s="22"/>
      <c r="BC194" s="22"/>
      <c r="BD194" s="22"/>
      <c r="BE194" s="19"/>
      <c r="BF194" s="20"/>
      <c r="BG194" s="20"/>
      <c r="BH194" s="20"/>
      <c r="BI194" s="20"/>
      <c r="BJ194" s="21"/>
      <c r="BK194" s="22"/>
      <c r="BL194" s="22"/>
      <c r="BM194" s="22"/>
      <c r="BN194" s="22"/>
      <c r="BO194" s="19"/>
      <c r="BP194" s="20"/>
      <c r="BQ194" s="20"/>
      <c r="BR194" s="20"/>
      <c r="BS194" s="20"/>
      <c r="BT194" s="21"/>
      <c r="BU194" s="22"/>
      <c r="BV194" s="22"/>
      <c r="BW194" s="22"/>
      <c r="BX194" s="22"/>
      <c r="BY194" s="23"/>
      <c r="BZ194" s="24"/>
      <c r="CA194" s="24"/>
      <c r="CB194" s="24"/>
      <c r="CC194" s="24"/>
      <c r="CD194" s="25"/>
      <c r="CE194" s="26"/>
      <c r="CF194" s="26"/>
      <c r="CG194" s="26"/>
      <c r="CH194" s="26"/>
      <c r="CI194" s="27"/>
      <c r="CJ194" s="28"/>
      <c r="CK194" s="28"/>
      <c r="CL194" s="28"/>
      <c r="CM194" s="28"/>
      <c r="CN194" s="25"/>
      <c r="CO194" s="26"/>
      <c r="CP194" s="26"/>
      <c r="CQ194" s="26"/>
      <c r="CR194" s="26"/>
      <c r="CS194" s="27"/>
      <c r="CT194" s="28"/>
      <c r="CU194" s="28"/>
      <c r="CV194" s="28"/>
      <c r="CW194" s="28"/>
      <c r="CX194" s="25"/>
      <c r="CY194" s="26"/>
      <c r="CZ194" s="26"/>
      <c r="DA194" s="26"/>
      <c r="DB194" s="26"/>
      <c r="DC194" s="27"/>
      <c r="DD194" s="28"/>
      <c r="DE194" s="28"/>
      <c r="DF194" s="28"/>
      <c r="DG194" s="28"/>
      <c r="DH194" s="25"/>
      <c r="DI194" s="26"/>
      <c r="DJ194" s="26"/>
      <c r="DK194" s="26"/>
      <c r="DL194" s="26"/>
      <c r="DM194" s="27"/>
      <c r="DN194" s="28"/>
      <c r="DO194" s="28"/>
      <c r="DP194" s="28"/>
      <c r="DQ194" s="28"/>
      <c r="DR194" s="25"/>
      <c r="DS194" s="26"/>
      <c r="DT194" s="26"/>
      <c r="DU194" s="26"/>
      <c r="DV194" s="26"/>
      <c r="DW194" s="27"/>
      <c r="DX194" s="28"/>
      <c r="DY194" s="28"/>
      <c r="DZ194" s="28"/>
      <c r="EA194" s="28"/>
      <c r="EB194" s="29"/>
      <c r="EC194" s="30"/>
      <c r="ED194" s="30"/>
      <c r="EE194" s="30"/>
      <c r="EF194" s="30"/>
      <c r="EG194" s="31"/>
      <c r="EH194" s="32"/>
      <c r="EI194" s="32"/>
      <c r="EJ194" s="32"/>
      <c r="EK194" s="32"/>
      <c r="EL194" s="29"/>
      <c r="EM194" s="30"/>
      <c r="EN194" s="30"/>
      <c r="EO194" s="30"/>
      <c r="EP194" s="30"/>
      <c r="EQ194" s="31"/>
      <c r="ER194" s="32"/>
      <c r="ES194" s="32"/>
      <c r="ET194" s="32"/>
      <c r="EU194" s="32"/>
      <c r="EV194" s="29"/>
      <c r="EW194" s="30"/>
      <c r="EX194" s="30"/>
      <c r="EY194" s="30"/>
      <c r="EZ194" s="30"/>
      <c r="FA194" s="31"/>
      <c r="FB194" s="32"/>
      <c r="FC194" s="32"/>
      <c r="FD194" s="32"/>
      <c r="FE194" s="32"/>
      <c r="FF194" s="29"/>
      <c r="FG194" s="30"/>
      <c r="FH194" s="30"/>
      <c r="FI194" s="30"/>
      <c r="FJ194" s="30"/>
      <c r="FK194" s="31"/>
      <c r="FL194" s="32"/>
      <c r="FM194" s="32"/>
      <c r="FN194" s="32"/>
      <c r="FO194" s="32"/>
      <c r="FP194" s="29"/>
      <c r="FQ194" s="30"/>
      <c r="FR194" s="30"/>
      <c r="FS194" s="30"/>
      <c r="FT194" s="30"/>
      <c r="FU194" s="31"/>
      <c r="FV194" s="32"/>
      <c r="FW194" s="32"/>
      <c r="FX194" s="32"/>
      <c r="FY194" s="32"/>
      <c r="FZ194" s="29"/>
      <c r="GA194" s="30"/>
      <c r="GB194" s="30"/>
      <c r="GC194" s="30"/>
      <c r="GD194" s="30"/>
    </row>
    <row r="195" spans="1:186" ht="48" x14ac:dyDescent="0.25">
      <c r="A195" s="156">
        <v>186</v>
      </c>
      <c r="B195" s="395">
        <f>'Tier 3 Intervention'!B751</f>
        <v>0</v>
      </c>
      <c r="C195" s="395"/>
      <c r="D195" s="395"/>
      <c r="E195" s="395"/>
      <c r="F195" s="395"/>
      <c r="G195" s="395"/>
      <c r="H195" s="761" t="e">
        <f>'Tier 3 Intervention'!AA751+30</f>
        <v>#VALUE!</v>
      </c>
      <c r="I195" s="761"/>
      <c r="J195" s="762" t="e">
        <f t="shared" si="3"/>
        <v>#VALUE!</v>
      </c>
      <c r="K195" s="395"/>
      <c r="L195" s="47" t="s">
        <v>972</v>
      </c>
      <c r="M195" s="46"/>
      <c r="N195" s="46"/>
      <c r="O195" s="46"/>
      <c r="P195" s="49"/>
      <c r="Q195" s="19"/>
      <c r="R195" s="20"/>
      <c r="S195" s="20"/>
      <c r="T195" s="20"/>
      <c r="U195" s="20"/>
      <c r="V195" s="21"/>
      <c r="W195" s="22"/>
      <c r="X195" s="22"/>
      <c r="Y195" s="22"/>
      <c r="Z195" s="22"/>
      <c r="AA195" s="19"/>
      <c r="AB195" s="20"/>
      <c r="AC195" s="20"/>
      <c r="AD195" s="20"/>
      <c r="AE195" s="20"/>
      <c r="AF195" s="21"/>
      <c r="AG195" s="22"/>
      <c r="AH195" s="22"/>
      <c r="AI195" s="22"/>
      <c r="AJ195" s="22"/>
      <c r="AK195" s="19"/>
      <c r="AL195" s="20"/>
      <c r="AM195" s="20"/>
      <c r="AN195" s="20"/>
      <c r="AO195" s="20"/>
      <c r="AP195" s="21"/>
      <c r="AQ195" s="22"/>
      <c r="AR195" s="22"/>
      <c r="AS195" s="22"/>
      <c r="AT195" s="22"/>
      <c r="AU195" s="19"/>
      <c r="AV195" s="20"/>
      <c r="AW195" s="20"/>
      <c r="AX195" s="20"/>
      <c r="AY195" s="20"/>
      <c r="AZ195" s="21"/>
      <c r="BA195" s="22"/>
      <c r="BB195" s="22"/>
      <c r="BC195" s="22"/>
      <c r="BD195" s="22"/>
      <c r="BE195" s="19"/>
      <c r="BF195" s="20"/>
      <c r="BG195" s="20"/>
      <c r="BH195" s="20"/>
      <c r="BI195" s="20"/>
      <c r="BJ195" s="21"/>
      <c r="BK195" s="22"/>
      <c r="BL195" s="22"/>
      <c r="BM195" s="22"/>
      <c r="BN195" s="22"/>
      <c r="BO195" s="19"/>
      <c r="BP195" s="20"/>
      <c r="BQ195" s="20"/>
      <c r="BR195" s="20"/>
      <c r="BS195" s="20"/>
      <c r="BT195" s="21"/>
      <c r="BU195" s="22"/>
      <c r="BV195" s="22"/>
      <c r="BW195" s="22"/>
      <c r="BX195" s="22"/>
      <c r="BY195" s="23"/>
      <c r="BZ195" s="24"/>
      <c r="CA195" s="24"/>
      <c r="CB195" s="24"/>
      <c r="CC195" s="24"/>
      <c r="CD195" s="25"/>
      <c r="CE195" s="26"/>
      <c r="CF195" s="26"/>
      <c r="CG195" s="26"/>
      <c r="CH195" s="26"/>
      <c r="CI195" s="27"/>
      <c r="CJ195" s="28"/>
      <c r="CK195" s="28"/>
      <c r="CL195" s="28"/>
      <c r="CM195" s="28"/>
      <c r="CN195" s="25"/>
      <c r="CO195" s="26"/>
      <c r="CP195" s="26"/>
      <c r="CQ195" s="26"/>
      <c r="CR195" s="26"/>
      <c r="CS195" s="27"/>
      <c r="CT195" s="28"/>
      <c r="CU195" s="28"/>
      <c r="CV195" s="28"/>
      <c r="CW195" s="28"/>
      <c r="CX195" s="25"/>
      <c r="CY195" s="26"/>
      <c r="CZ195" s="26"/>
      <c r="DA195" s="26"/>
      <c r="DB195" s="26"/>
      <c r="DC195" s="27"/>
      <c r="DD195" s="28"/>
      <c r="DE195" s="28"/>
      <c r="DF195" s="28"/>
      <c r="DG195" s="28"/>
      <c r="DH195" s="25"/>
      <c r="DI195" s="26"/>
      <c r="DJ195" s="26"/>
      <c r="DK195" s="26"/>
      <c r="DL195" s="26"/>
      <c r="DM195" s="27"/>
      <c r="DN195" s="28"/>
      <c r="DO195" s="28"/>
      <c r="DP195" s="28"/>
      <c r="DQ195" s="28"/>
      <c r="DR195" s="25"/>
      <c r="DS195" s="26"/>
      <c r="DT195" s="26"/>
      <c r="DU195" s="26"/>
      <c r="DV195" s="26"/>
      <c r="DW195" s="27"/>
      <c r="DX195" s="28"/>
      <c r="DY195" s="28"/>
      <c r="DZ195" s="28"/>
      <c r="EA195" s="28"/>
      <c r="EB195" s="29"/>
      <c r="EC195" s="30"/>
      <c r="ED195" s="30"/>
      <c r="EE195" s="30"/>
      <c r="EF195" s="30"/>
      <c r="EG195" s="31"/>
      <c r="EH195" s="32"/>
      <c r="EI195" s="32"/>
      <c r="EJ195" s="32"/>
      <c r="EK195" s="32"/>
      <c r="EL195" s="29"/>
      <c r="EM195" s="30"/>
      <c r="EN195" s="30"/>
      <c r="EO195" s="30"/>
      <c r="EP195" s="30"/>
      <c r="EQ195" s="31"/>
      <c r="ER195" s="32"/>
      <c r="ES195" s="32"/>
      <c r="ET195" s="32"/>
      <c r="EU195" s="32"/>
      <c r="EV195" s="29"/>
      <c r="EW195" s="30"/>
      <c r="EX195" s="30"/>
      <c r="EY195" s="30"/>
      <c r="EZ195" s="30"/>
      <c r="FA195" s="31"/>
      <c r="FB195" s="32"/>
      <c r="FC195" s="32"/>
      <c r="FD195" s="32"/>
      <c r="FE195" s="32"/>
      <c r="FF195" s="29"/>
      <c r="FG195" s="30"/>
      <c r="FH195" s="30"/>
      <c r="FI195" s="30"/>
      <c r="FJ195" s="30"/>
      <c r="FK195" s="31"/>
      <c r="FL195" s="32"/>
      <c r="FM195" s="32"/>
      <c r="FN195" s="32"/>
      <c r="FO195" s="32"/>
      <c r="FP195" s="29"/>
      <c r="FQ195" s="30"/>
      <c r="FR195" s="30"/>
      <c r="FS195" s="30"/>
      <c r="FT195" s="30"/>
      <c r="FU195" s="31"/>
      <c r="FV195" s="32"/>
      <c r="FW195" s="32"/>
      <c r="FX195" s="32"/>
      <c r="FY195" s="32"/>
      <c r="FZ195" s="29"/>
      <c r="GA195" s="30"/>
      <c r="GB195" s="30"/>
      <c r="GC195" s="30"/>
      <c r="GD195" s="30"/>
    </row>
    <row r="196" spans="1:186" ht="48" x14ac:dyDescent="0.25">
      <c r="A196" s="156">
        <v>187</v>
      </c>
      <c r="B196" s="395">
        <f>'Tier 3 Intervention'!B755</f>
        <v>0</v>
      </c>
      <c r="C196" s="395"/>
      <c r="D196" s="395"/>
      <c r="E196" s="395"/>
      <c r="F196" s="395"/>
      <c r="G196" s="395"/>
      <c r="H196" s="761" t="e">
        <f>'Tier 3 Intervention'!AA755+30</f>
        <v>#VALUE!</v>
      </c>
      <c r="I196" s="761"/>
      <c r="J196" s="762" t="e">
        <f t="shared" si="3"/>
        <v>#VALUE!</v>
      </c>
      <c r="K196" s="395"/>
      <c r="L196" s="47" t="s">
        <v>973</v>
      </c>
      <c r="M196" s="46"/>
      <c r="N196" s="46"/>
      <c r="O196" s="46"/>
      <c r="P196" s="49"/>
      <c r="Q196" s="19"/>
      <c r="R196" s="20"/>
      <c r="S196" s="20"/>
      <c r="T196" s="20"/>
      <c r="U196" s="20"/>
      <c r="V196" s="21"/>
      <c r="W196" s="22"/>
      <c r="X196" s="22"/>
      <c r="Y196" s="22"/>
      <c r="Z196" s="22"/>
      <c r="AA196" s="19"/>
      <c r="AB196" s="20"/>
      <c r="AC196" s="20"/>
      <c r="AD196" s="20"/>
      <c r="AE196" s="20"/>
      <c r="AF196" s="21"/>
      <c r="AG196" s="22"/>
      <c r="AH196" s="22"/>
      <c r="AI196" s="22"/>
      <c r="AJ196" s="22"/>
      <c r="AK196" s="19"/>
      <c r="AL196" s="20"/>
      <c r="AM196" s="20"/>
      <c r="AN196" s="20"/>
      <c r="AO196" s="20"/>
      <c r="AP196" s="21"/>
      <c r="AQ196" s="22"/>
      <c r="AR196" s="22"/>
      <c r="AS196" s="22"/>
      <c r="AT196" s="22"/>
      <c r="AU196" s="19"/>
      <c r="AV196" s="20"/>
      <c r="AW196" s="20"/>
      <c r="AX196" s="20"/>
      <c r="AY196" s="20"/>
      <c r="AZ196" s="21"/>
      <c r="BA196" s="22"/>
      <c r="BB196" s="22"/>
      <c r="BC196" s="22"/>
      <c r="BD196" s="22"/>
      <c r="BE196" s="19"/>
      <c r="BF196" s="20"/>
      <c r="BG196" s="20"/>
      <c r="BH196" s="20"/>
      <c r="BI196" s="20"/>
      <c r="BJ196" s="21"/>
      <c r="BK196" s="22"/>
      <c r="BL196" s="22"/>
      <c r="BM196" s="22"/>
      <c r="BN196" s="22"/>
      <c r="BO196" s="19"/>
      <c r="BP196" s="20"/>
      <c r="BQ196" s="20"/>
      <c r="BR196" s="20"/>
      <c r="BS196" s="20"/>
      <c r="BT196" s="21"/>
      <c r="BU196" s="22"/>
      <c r="BV196" s="22"/>
      <c r="BW196" s="22"/>
      <c r="BX196" s="22"/>
      <c r="BY196" s="23"/>
      <c r="BZ196" s="24"/>
      <c r="CA196" s="24"/>
      <c r="CB196" s="24"/>
      <c r="CC196" s="24"/>
      <c r="CD196" s="25"/>
      <c r="CE196" s="26"/>
      <c r="CF196" s="26"/>
      <c r="CG196" s="26"/>
      <c r="CH196" s="26"/>
      <c r="CI196" s="27"/>
      <c r="CJ196" s="28"/>
      <c r="CK196" s="28"/>
      <c r="CL196" s="28"/>
      <c r="CM196" s="28"/>
      <c r="CN196" s="25"/>
      <c r="CO196" s="26"/>
      <c r="CP196" s="26"/>
      <c r="CQ196" s="26"/>
      <c r="CR196" s="26"/>
      <c r="CS196" s="27"/>
      <c r="CT196" s="28"/>
      <c r="CU196" s="28"/>
      <c r="CV196" s="28"/>
      <c r="CW196" s="28"/>
      <c r="CX196" s="25"/>
      <c r="CY196" s="26"/>
      <c r="CZ196" s="26"/>
      <c r="DA196" s="26"/>
      <c r="DB196" s="26"/>
      <c r="DC196" s="27"/>
      <c r="DD196" s="28"/>
      <c r="DE196" s="28"/>
      <c r="DF196" s="28"/>
      <c r="DG196" s="28"/>
      <c r="DH196" s="25"/>
      <c r="DI196" s="26"/>
      <c r="DJ196" s="26"/>
      <c r="DK196" s="26"/>
      <c r="DL196" s="26"/>
      <c r="DM196" s="27"/>
      <c r="DN196" s="28"/>
      <c r="DO196" s="28"/>
      <c r="DP196" s="28"/>
      <c r="DQ196" s="28"/>
      <c r="DR196" s="25"/>
      <c r="DS196" s="26"/>
      <c r="DT196" s="26"/>
      <c r="DU196" s="26"/>
      <c r="DV196" s="26"/>
      <c r="DW196" s="27"/>
      <c r="DX196" s="28"/>
      <c r="DY196" s="28"/>
      <c r="DZ196" s="28"/>
      <c r="EA196" s="28"/>
      <c r="EB196" s="29"/>
      <c r="EC196" s="30"/>
      <c r="ED196" s="30"/>
      <c r="EE196" s="30"/>
      <c r="EF196" s="30"/>
      <c r="EG196" s="31"/>
      <c r="EH196" s="32"/>
      <c r="EI196" s="32"/>
      <c r="EJ196" s="32"/>
      <c r="EK196" s="32"/>
      <c r="EL196" s="29"/>
      <c r="EM196" s="30"/>
      <c r="EN196" s="30"/>
      <c r="EO196" s="30"/>
      <c r="EP196" s="30"/>
      <c r="EQ196" s="31"/>
      <c r="ER196" s="32"/>
      <c r="ES196" s="32"/>
      <c r="ET196" s="32"/>
      <c r="EU196" s="32"/>
      <c r="EV196" s="29"/>
      <c r="EW196" s="30"/>
      <c r="EX196" s="30"/>
      <c r="EY196" s="30"/>
      <c r="EZ196" s="30"/>
      <c r="FA196" s="31"/>
      <c r="FB196" s="32"/>
      <c r="FC196" s="32"/>
      <c r="FD196" s="32"/>
      <c r="FE196" s="32"/>
      <c r="FF196" s="29"/>
      <c r="FG196" s="30"/>
      <c r="FH196" s="30"/>
      <c r="FI196" s="30"/>
      <c r="FJ196" s="30"/>
      <c r="FK196" s="31"/>
      <c r="FL196" s="32"/>
      <c r="FM196" s="32"/>
      <c r="FN196" s="32"/>
      <c r="FO196" s="32"/>
      <c r="FP196" s="29"/>
      <c r="FQ196" s="30"/>
      <c r="FR196" s="30"/>
      <c r="FS196" s="30"/>
      <c r="FT196" s="30"/>
      <c r="FU196" s="31"/>
      <c r="FV196" s="32"/>
      <c r="FW196" s="32"/>
      <c r="FX196" s="32"/>
      <c r="FY196" s="32"/>
      <c r="FZ196" s="29"/>
      <c r="GA196" s="30"/>
      <c r="GB196" s="30"/>
      <c r="GC196" s="30"/>
      <c r="GD196" s="30"/>
    </row>
    <row r="197" spans="1:186" ht="48" x14ac:dyDescent="0.25">
      <c r="A197" s="156">
        <v>188</v>
      </c>
      <c r="B197" s="395">
        <f>'Tier 3 Intervention'!B759</f>
        <v>0</v>
      </c>
      <c r="C197" s="395"/>
      <c r="D197" s="395"/>
      <c r="E197" s="395"/>
      <c r="F197" s="395"/>
      <c r="G197" s="395"/>
      <c r="H197" s="761" t="e">
        <f>'Tier 3 Intervention'!AA759+30</f>
        <v>#VALUE!</v>
      </c>
      <c r="I197" s="761"/>
      <c r="J197" s="762" t="e">
        <f t="shared" si="3"/>
        <v>#VALUE!</v>
      </c>
      <c r="K197" s="395"/>
      <c r="L197" s="47" t="s">
        <v>974</v>
      </c>
      <c r="M197" s="46"/>
      <c r="N197" s="46"/>
      <c r="O197" s="46"/>
      <c r="P197" s="49"/>
      <c r="Q197" s="19"/>
      <c r="R197" s="20"/>
      <c r="S197" s="20"/>
      <c r="T197" s="20"/>
      <c r="U197" s="20"/>
      <c r="V197" s="21"/>
      <c r="W197" s="22"/>
      <c r="X197" s="22"/>
      <c r="Y197" s="22"/>
      <c r="Z197" s="22"/>
      <c r="AA197" s="19"/>
      <c r="AB197" s="20"/>
      <c r="AC197" s="20"/>
      <c r="AD197" s="20"/>
      <c r="AE197" s="20"/>
      <c r="AF197" s="21"/>
      <c r="AG197" s="22"/>
      <c r="AH197" s="22"/>
      <c r="AI197" s="22"/>
      <c r="AJ197" s="22"/>
      <c r="AK197" s="19"/>
      <c r="AL197" s="20"/>
      <c r="AM197" s="20"/>
      <c r="AN197" s="20"/>
      <c r="AO197" s="20"/>
      <c r="AP197" s="21"/>
      <c r="AQ197" s="22"/>
      <c r="AR197" s="22"/>
      <c r="AS197" s="22"/>
      <c r="AT197" s="22"/>
      <c r="AU197" s="19"/>
      <c r="AV197" s="20"/>
      <c r="AW197" s="20"/>
      <c r="AX197" s="20"/>
      <c r="AY197" s="20"/>
      <c r="AZ197" s="21"/>
      <c r="BA197" s="22"/>
      <c r="BB197" s="22"/>
      <c r="BC197" s="22"/>
      <c r="BD197" s="22"/>
      <c r="BE197" s="19"/>
      <c r="BF197" s="20"/>
      <c r="BG197" s="20"/>
      <c r="BH197" s="20"/>
      <c r="BI197" s="20"/>
      <c r="BJ197" s="21"/>
      <c r="BK197" s="22"/>
      <c r="BL197" s="22"/>
      <c r="BM197" s="22"/>
      <c r="BN197" s="22"/>
      <c r="BO197" s="19"/>
      <c r="BP197" s="20"/>
      <c r="BQ197" s="20"/>
      <c r="BR197" s="20"/>
      <c r="BS197" s="20"/>
      <c r="BT197" s="21"/>
      <c r="BU197" s="22"/>
      <c r="BV197" s="22"/>
      <c r="BW197" s="22"/>
      <c r="BX197" s="22"/>
      <c r="BY197" s="23"/>
      <c r="BZ197" s="24"/>
      <c r="CA197" s="24"/>
      <c r="CB197" s="24"/>
      <c r="CC197" s="24"/>
      <c r="CD197" s="25"/>
      <c r="CE197" s="26"/>
      <c r="CF197" s="26"/>
      <c r="CG197" s="26"/>
      <c r="CH197" s="26"/>
      <c r="CI197" s="27"/>
      <c r="CJ197" s="28"/>
      <c r="CK197" s="28"/>
      <c r="CL197" s="28"/>
      <c r="CM197" s="28"/>
      <c r="CN197" s="25"/>
      <c r="CO197" s="26"/>
      <c r="CP197" s="26"/>
      <c r="CQ197" s="26"/>
      <c r="CR197" s="26"/>
      <c r="CS197" s="27"/>
      <c r="CT197" s="28"/>
      <c r="CU197" s="28"/>
      <c r="CV197" s="28"/>
      <c r="CW197" s="28"/>
      <c r="CX197" s="25"/>
      <c r="CY197" s="26"/>
      <c r="CZ197" s="26"/>
      <c r="DA197" s="26"/>
      <c r="DB197" s="26"/>
      <c r="DC197" s="27"/>
      <c r="DD197" s="28"/>
      <c r="DE197" s="28"/>
      <c r="DF197" s="28"/>
      <c r="DG197" s="28"/>
      <c r="DH197" s="25"/>
      <c r="DI197" s="26"/>
      <c r="DJ197" s="26"/>
      <c r="DK197" s="26"/>
      <c r="DL197" s="26"/>
      <c r="DM197" s="27"/>
      <c r="DN197" s="28"/>
      <c r="DO197" s="28"/>
      <c r="DP197" s="28"/>
      <c r="DQ197" s="28"/>
      <c r="DR197" s="25"/>
      <c r="DS197" s="26"/>
      <c r="DT197" s="26"/>
      <c r="DU197" s="26"/>
      <c r="DV197" s="26"/>
      <c r="DW197" s="27"/>
      <c r="DX197" s="28"/>
      <c r="DY197" s="28"/>
      <c r="DZ197" s="28"/>
      <c r="EA197" s="28"/>
      <c r="EB197" s="29"/>
      <c r="EC197" s="30"/>
      <c r="ED197" s="30"/>
      <c r="EE197" s="30"/>
      <c r="EF197" s="30"/>
      <c r="EG197" s="31"/>
      <c r="EH197" s="32"/>
      <c r="EI197" s="32"/>
      <c r="EJ197" s="32"/>
      <c r="EK197" s="32"/>
      <c r="EL197" s="29"/>
      <c r="EM197" s="30"/>
      <c r="EN197" s="30"/>
      <c r="EO197" s="30"/>
      <c r="EP197" s="30"/>
      <c r="EQ197" s="31"/>
      <c r="ER197" s="32"/>
      <c r="ES197" s="32"/>
      <c r="ET197" s="32"/>
      <c r="EU197" s="32"/>
      <c r="EV197" s="29"/>
      <c r="EW197" s="30"/>
      <c r="EX197" s="30"/>
      <c r="EY197" s="30"/>
      <c r="EZ197" s="30"/>
      <c r="FA197" s="31"/>
      <c r="FB197" s="32"/>
      <c r="FC197" s="32"/>
      <c r="FD197" s="32"/>
      <c r="FE197" s="32"/>
      <c r="FF197" s="29"/>
      <c r="FG197" s="30"/>
      <c r="FH197" s="30"/>
      <c r="FI197" s="30"/>
      <c r="FJ197" s="30"/>
      <c r="FK197" s="31"/>
      <c r="FL197" s="32"/>
      <c r="FM197" s="32"/>
      <c r="FN197" s="32"/>
      <c r="FO197" s="32"/>
      <c r="FP197" s="29"/>
      <c r="FQ197" s="30"/>
      <c r="FR197" s="30"/>
      <c r="FS197" s="30"/>
      <c r="FT197" s="30"/>
      <c r="FU197" s="31"/>
      <c r="FV197" s="32"/>
      <c r="FW197" s="32"/>
      <c r="FX197" s="32"/>
      <c r="FY197" s="32"/>
      <c r="FZ197" s="29"/>
      <c r="GA197" s="30"/>
      <c r="GB197" s="30"/>
      <c r="GC197" s="30"/>
      <c r="GD197" s="30"/>
    </row>
    <row r="198" spans="1:186" ht="48" x14ac:dyDescent="0.25">
      <c r="A198" s="156">
        <v>189</v>
      </c>
      <c r="B198" s="395">
        <f>'Tier 3 Intervention'!B763</f>
        <v>0</v>
      </c>
      <c r="C198" s="395"/>
      <c r="D198" s="395"/>
      <c r="E198" s="395"/>
      <c r="F198" s="395"/>
      <c r="G198" s="395"/>
      <c r="H198" s="761" t="e">
        <f>'Tier 3 Intervention'!AA763+30</f>
        <v>#VALUE!</v>
      </c>
      <c r="I198" s="761"/>
      <c r="J198" s="762" t="e">
        <f t="shared" si="3"/>
        <v>#VALUE!</v>
      </c>
      <c r="K198" s="395"/>
      <c r="L198" s="47" t="s">
        <v>975</v>
      </c>
      <c r="M198" s="46"/>
      <c r="N198" s="46"/>
      <c r="O198" s="46"/>
      <c r="P198" s="49"/>
      <c r="Q198" s="19"/>
      <c r="R198" s="20"/>
      <c r="S198" s="20"/>
      <c r="T198" s="20"/>
      <c r="U198" s="20"/>
      <c r="V198" s="21"/>
      <c r="W198" s="22"/>
      <c r="X198" s="22"/>
      <c r="Y198" s="22"/>
      <c r="Z198" s="22"/>
      <c r="AA198" s="19"/>
      <c r="AB198" s="20"/>
      <c r="AC198" s="20"/>
      <c r="AD198" s="20"/>
      <c r="AE198" s="20"/>
      <c r="AF198" s="21"/>
      <c r="AG198" s="22"/>
      <c r="AH198" s="22"/>
      <c r="AI198" s="22"/>
      <c r="AJ198" s="22"/>
      <c r="AK198" s="19"/>
      <c r="AL198" s="20"/>
      <c r="AM198" s="20"/>
      <c r="AN198" s="20"/>
      <c r="AO198" s="20"/>
      <c r="AP198" s="21"/>
      <c r="AQ198" s="22"/>
      <c r="AR198" s="22"/>
      <c r="AS198" s="22"/>
      <c r="AT198" s="22"/>
      <c r="AU198" s="19"/>
      <c r="AV198" s="20"/>
      <c r="AW198" s="20"/>
      <c r="AX198" s="20"/>
      <c r="AY198" s="20"/>
      <c r="AZ198" s="21"/>
      <c r="BA198" s="22"/>
      <c r="BB198" s="22"/>
      <c r="BC198" s="22"/>
      <c r="BD198" s="22"/>
      <c r="BE198" s="19"/>
      <c r="BF198" s="20"/>
      <c r="BG198" s="20"/>
      <c r="BH198" s="20"/>
      <c r="BI198" s="20"/>
      <c r="BJ198" s="21"/>
      <c r="BK198" s="22"/>
      <c r="BL198" s="22"/>
      <c r="BM198" s="22"/>
      <c r="BN198" s="22"/>
      <c r="BO198" s="19"/>
      <c r="BP198" s="20"/>
      <c r="BQ198" s="20"/>
      <c r="BR198" s="20"/>
      <c r="BS198" s="20"/>
      <c r="BT198" s="21"/>
      <c r="BU198" s="22"/>
      <c r="BV198" s="22"/>
      <c r="BW198" s="22"/>
      <c r="BX198" s="22"/>
      <c r="BY198" s="23"/>
      <c r="BZ198" s="24"/>
      <c r="CA198" s="24"/>
      <c r="CB198" s="24"/>
      <c r="CC198" s="24"/>
      <c r="CD198" s="25"/>
      <c r="CE198" s="26"/>
      <c r="CF198" s="26"/>
      <c r="CG198" s="26"/>
      <c r="CH198" s="26"/>
      <c r="CI198" s="27"/>
      <c r="CJ198" s="28"/>
      <c r="CK198" s="28"/>
      <c r="CL198" s="28"/>
      <c r="CM198" s="28"/>
      <c r="CN198" s="25"/>
      <c r="CO198" s="26"/>
      <c r="CP198" s="26"/>
      <c r="CQ198" s="26"/>
      <c r="CR198" s="26"/>
      <c r="CS198" s="27"/>
      <c r="CT198" s="28"/>
      <c r="CU198" s="28"/>
      <c r="CV198" s="28"/>
      <c r="CW198" s="28"/>
      <c r="CX198" s="25"/>
      <c r="CY198" s="26"/>
      <c r="CZ198" s="26"/>
      <c r="DA198" s="26"/>
      <c r="DB198" s="26"/>
      <c r="DC198" s="27"/>
      <c r="DD198" s="28"/>
      <c r="DE198" s="28"/>
      <c r="DF198" s="28"/>
      <c r="DG198" s="28"/>
      <c r="DH198" s="25"/>
      <c r="DI198" s="26"/>
      <c r="DJ198" s="26"/>
      <c r="DK198" s="26"/>
      <c r="DL198" s="26"/>
      <c r="DM198" s="27"/>
      <c r="DN198" s="28"/>
      <c r="DO198" s="28"/>
      <c r="DP198" s="28"/>
      <c r="DQ198" s="28"/>
      <c r="DR198" s="25"/>
      <c r="DS198" s="26"/>
      <c r="DT198" s="26"/>
      <c r="DU198" s="26"/>
      <c r="DV198" s="26"/>
      <c r="DW198" s="27"/>
      <c r="DX198" s="28"/>
      <c r="DY198" s="28"/>
      <c r="DZ198" s="28"/>
      <c r="EA198" s="28"/>
      <c r="EB198" s="29"/>
      <c r="EC198" s="30"/>
      <c r="ED198" s="30"/>
      <c r="EE198" s="30"/>
      <c r="EF198" s="30"/>
      <c r="EG198" s="31"/>
      <c r="EH198" s="32"/>
      <c r="EI198" s="32"/>
      <c r="EJ198" s="32"/>
      <c r="EK198" s="32"/>
      <c r="EL198" s="29"/>
      <c r="EM198" s="30"/>
      <c r="EN198" s="30"/>
      <c r="EO198" s="30"/>
      <c r="EP198" s="30"/>
      <c r="EQ198" s="31"/>
      <c r="ER198" s="32"/>
      <c r="ES198" s="32"/>
      <c r="ET198" s="32"/>
      <c r="EU198" s="32"/>
      <c r="EV198" s="29"/>
      <c r="EW198" s="30"/>
      <c r="EX198" s="30"/>
      <c r="EY198" s="30"/>
      <c r="EZ198" s="30"/>
      <c r="FA198" s="31"/>
      <c r="FB198" s="32"/>
      <c r="FC198" s="32"/>
      <c r="FD198" s="32"/>
      <c r="FE198" s="32"/>
      <c r="FF198" s="29"/>
      <c r="FG198" s="30"/>
      <c r="FH198" s="30"/>
      <c r="FI198" s="30"/>
      <c r="FJ198" s="30"/>
      <c r="FK198" s="31"/>
      <c r="FL198" s="32"/>
      <c r="FM198" s="32"/>
      <c r="FN198" s="32"/>
      <c r="FO198" s="32"/>
      <c r="FP198" s="29"/>
      <c r="FQ198" s="30"/>
      <c r="FR198" s="30"/>
      <c r="FS198" s="30"/>
      <c r="FT198" s="30"/>
      <c r="FU198" s="31"/>
      <c r="FV198" s="32"/>
      <c r="FW198" s="32"/>
      <c r="FX198" s="32"/>
      <c r="FY198" s="32"/>
      <c r="FZ198" s="29"/>
      <c r="GA198" s="30"/>
      <c r="GB198" s="30"/>
      <c r="GC198" s="30"/>
      <c r="GD198" s="30"/>
    </row>
    <row r="199" spans="1:186" ht="48" x14ac:dyDescent="0.25">
      <c r="A199" s="156">
        <v>190</v>
      </c>
      <c r="B199" s="395">
        <f>'Tier 3 Intervention'!B767</f>
        <v>0</v>
      </c>
      <c r="C199" s="395"/>
      <c r="D199" s="395"/>
      <c r="E199" s="395"/>
      <c r="F199" s="395"/>
      <c r="G199" s="395"/>
      <c r="H199" s="761" t="e">
        <f>'Tier 3 Intervention'!AA767+30</f>
        <v>#VALUE!</v>
      </c>
      <c r="I199" s="761"/>
      <c r="J199" s="762" t="e">
        <f t="shared" si="3"/>
        <v>#VALUE!</v>
      </c>
      <c r="K199" s="395"/>
      <c r="L199" s="47" t="s">
        <v>976</v>
      </c>
      <c r="M199" s="46"/>
      <c r="N199" s="46"/>
      <c r="O199" s="46"/>
      <c r="P199" s="49"/>
      <c r="Q199" s="19"/>
      <c r="R199" s="20"/>
      <c r="S199" s="20"/>
      <c r="T199" s="20"/>
      <c r="U199" s="20"/>
      <c r="V199" s="21"/>
      <c r="W199" s="22"/>
      <c r="X199" s="22"/>
      <c r="Y199" s="22"/>
      <c r="Z199" s="22"/>
      <c r="AA199" s="19"/>
      <c r="AB199" s="20"/>
      <c r="AC199" s="20"/>
      <c r="AD199" s="20"/>
      <c r="AE199" s="20"/>
      <c r="AF199" s="21"/>
      <c r="AG199" s="22"/>
      <c r="AH199" s="22"/>
      <c r="AI199" s="22"/>
      <c r="AJ199" s="22"/>
      <c r="AK199" s="19"/>
      <c r="AL199" s="20"/>
      <c r="AM199" s="20"/>
      <c r="AN199" s="20"/>
      <c r="AO199" s="20"/>
      <c r="AP199" s="21"/>
      <c r="AQ199" s="22"/>
      <c r="AR199" s="22"/>
      <c r="AS199" s="22"/>
      <c r="AT199" s="22"/>
      <c r="AU199" s="19"/>
      <c r="AV199" s="20"/>
      <c r="AW199" s="20"/>
      <c r="AX199" s="20"/>
      <c r="AY199" s="20"/>
      <c r="AZ199" s="21"/>
      <c r="BA199" s="22"/>
      <c r="BB199" s="22"/>
      <c r="BC199" s="22"/>
      <c r="BD199" s="22"/>
      <c r="BE199" s="19"/>
      <c r="BF199" s="20"/>
      <c r="BG199" s="20"/>
      <c r="BH199" s="20"/>
      <c r="BI199" s="20"/>
      <c r="BJ199" s="21"/>
      <c r="BK199" s="22"/>
      <c r="BL199" s="22"/>
      <c r="BM199" s="22"/>
      <c r="BN199" s="22"/>
      <c r="BO199" s="19"/>
      <c r="BP199" s="20"/>
      <c r="BQ199" s="20"/>
      <c r="BR199" s="20"/>
      <c r="BS199" s="20"/>
      <c r="BT199" s="21"/>
      <c r="BU199" s="22"/>
      <c r="BV199" s="22"/>
      <c r="BW199" s="22"/>
      <c r="BX199" s="22"/>
      <c r="BY199" s="23"/>
      <c r="BZ199" s="24"/>
      <c r="CA199" s="24"/>
      <c r="CB199" s="24"/>
      <c r="CC199" s="24"/>
      <c r="CD199" s="25"/>
      <c r="CE199" s="26"/>
      <c r="CF199" s="26"/>
      <c r="CG199" s="26"/>
      <c r="CH199" s="26"/>
      <c r="CI199" s="27"/>
      <c r="CJ199" s="28"/>
      <c r="CK199" s="28"/>
      <c r="CL199" s="28"/>
      <c r="CM199" s="28"/>
      <c r="CN199" s="25"/>
      <c r="CO199" s="26"/>
      <c r="CP199" s="26"/>
      <c r="CQ199" s="26"/>
      <c r="CR199" s="26"/>
      <c r="CS199" s="27"/>
      <c r="CT199" s="28"/>
      <c r="CU199" s="28"/>
      <c r="CV199" s="28"/>
      <c r="CW199" s="28"/>
      <c r="CX199" s="25"/>
      <c r="CY199" s="26"/>
      <c r="CZ199" s="26"/>
      <c r="DA199" s="26"/>
      <c r="DB199" s="26"/>
      <c r="DC199" s="27"/>
      <c r="DD199" s="28"/>
      <c r="DE199" s="28"/>
      <c r="DF199" s="28"/>
      <c r="DG199" s="28"/>
      <c r="DH199" s="25"/>
      <c r="DI199" s="26"/>
      <c r="DJ199" s="26"/>
      <c r="DK199" s="26"/>
      <c r="DL199" s="26"/>
      <c r="DM199" s="27"/>
      <c r="DN199" s="28"/>
      <c r="DO199" s="28"/>
      <c r="DP199" s="28"/>
      <c r="DQ199" s="28"/>
      <c r="DR199" s="25"/>
      <c r="DS199" s="26"/>
      <c r="DT199" s="26"/>
      <c r="DU199" s="26"/>
      <c r="DV199" s="26"/>
      <c r="DW199" s="27"/>
      <c r="DX199" s="28"/>
      <c r="DY199" s="28"/>
      <c r="DZ199" s="28"/>
      <c r="EA199" s="28"/>
      <c r="EB199" s="29"/>
      <c r="EC199" s="30"/>
      <c r="ED199" s="30"/>
      <c r="EE199" s="30"/>
      <c r="EF199" s="30"/>
      <c r="EG199" s="31"/>
      <c r="EH199" s="32"/>
      <c r="EI199" s="32"/>
      <c r="EJ199" s="32"/>
      <c r="EK199" s="32"/>
      <c r="EL199" s="29"/>
      <c r="EM199" s="30"/>
      <c r="EN199" s="30"/>
      <c r="EO199" s="30"/>
      <c r="EP199" s="30"/>
      <c r="EQ199" s="31"/>
      <c r="ER199" s="32"/>
      <c r="ES199" s="32"/>
      <c r="ET199" s="32"/>
      <c r="EU199" s="32"/>
      <c r="EV199" s="29"/>
      <c r="EW199" s="30"/>
      <c r="EX199" s="30"/>
      <c r="EY199" s="30"/>
      <c r="EZ199" s="30"/>
      <c r="FA199" s="31"/>
      <c r="FB199" s="32"/>
      <c r="FC199" s="32"/>
      <c r="FD199" s="32"/>
      <c r="FE199" s="32"/>
      <c r="FF199" s="29"/>
      <c r="FG199" s="30"/>
      <c r="FH199" s="30"/>
      <c r="FI199" s="30"/>
      <c r="FJ199" s="30"/>
      <c r="FK199" s="31"/>
      <c r="FL199" s="32"/>
      <c r="FM199" s="32"/>
      <c r="FN199" s="32"/>
      <c r="FO199" s="32"/>
      <c r="FP199" s="29"/>
      <c r="FQ199" s="30"/>
      <c r="FR199" s="30"/>
      <c r="FS199" s="30"/>
      <c r="FT199" s="30"/>
      <c r="FU199" s="31"/>
      <c r="FV199" s="32"/>
      <c r="FW199" s="32"/>
      <c r="FX199" s="32"/>
      <c r="FY199" s="32"/>
      <c r="FZ199" s="29"/>
      <c r="GA199" s="30"/>
      <c r="GB199" s="30"/>
      <c r="GC199" s="30"/>
      <c r="GD199" s="30"/>
    </row>
    <row r="200" spans="1:186" ht="48" x14ac:dyDescent="0.25">
      <c r="A200" s="156">
        <v>191</v>
      </c>
      <c r="B200" s="395">
        <f>'Tier 3 Intervention'!B771</f>
        <v>0</v>
      </c>
      <c r="C200" s="395"/>
      <c r="D200" s="395"/>
      <c r="E200" s="395"/>
      <c r="F200" s="395"/>
      <c r="G200" s="395"/>
      <c r="H200" s="761" t="e">
        <f>'Tier 3 Intervention'!AA771+30</f>
        <v>#VALUE!</v>
      </c>
      <c r="I200" s="761"/>
      <c r="J200" s="762" t="e">
        <f t="shared" si="3"/>
        <v>#VALUE!</v>
      </c>
      <c r="K200" s="395"/>
      <c r="L200" s="47" t="s">
        <v>977</v>
      </c>
      <c r="M200" s="46"/>
      <c r="N200" s="46"/>
      <c r="O200" s="46"/>
      <c r="P200" s="49"/>
      <c r="Q200" s="19"/>
      <c r="R200" s="20"/>
      <c r="S200" s="20"/>
      <c r="T200" s="20"/>
      <c r="U200" s="20"/>
      <c r="V200" s="21"/>
      <c r="W200" s="22"/>
      <c r="X200" s="22"/>
      <c r="Y200" s="22"/>
      <c r="Z200" s="22"/>
      <c r="AA200" s="19"/>
      <c r="AB200" s="20"/>
      <c r="AC200" s="20"/>
      <c r="AD200" s="20"/>
      <c r="AE200" s="20"/>
      <c r="AF200" s="21"/>
      <c r="AG200" s="22"/>
      <c r="AH200" s="22"/>
      <c r="AI200" s="22"/>
      <c r="AJ200" s="22"/>
      <c r="AK200" s="19"/>
      <c r="AL200" s="20"/>
      <c r="AM200" s="20"/>
      <c r="AN200" s="20"/>
      <c r="AO200" s="20"/>
      <c r="AP200" s="21"/>
      <c r="AQ200" s="22"/>
      <c r="AR200" s="22"/>
      <c r="AS200" s="22"/>
      <c r="AT200" s="22"/>
      <c r="AU200" s="19"/>
      <c r="AV200" s="20"/>
      <c r="AW200" s="20"/>
      <c r="AX200" s="20"/>
      <c r="AY200" s="20"/>
      <c r="AZ200" s="21"/>
      <c r="BA200" s="22"/>
      <c r="BB200" s="22"/>
      <c r="BC200" s="22"/>
      <c r="BD200" s="22"/>
      <c r="BE200" s="19"/>
      <c r="BF200" s="20"/>
      <c r="BG200" s="20"/>
      <c r="BH200" s="20"/>
      <c r="BI200" s="20"/>
      <c r="BJ200" s="21"/>
      <c r="BK200" s="22"/>
      <c r="BL200" s="22"/>
      <c r="BM200" s="22"/>
      <c r="BN200" s="22"/>
      <c r="BO200" s="19"/>
      <c r="BP200" s="20"/>
      <c r="BQ200" s="20"/>
      <c r="BR200" s="20"/>
      <c r="BS200" s="20"/>
      <c r="BT200" s="21"/>
      <c r="BU200" s="22"/>
      <c r="BV200" s="22"/>
      <c r="BW200" s="22"/>
      <c r="BX200" s="22"/>
      <c r="BY200" s="23"/>
      <c r="BZ200" s="24"/>
      <c r="CA200" s="24"/>
      <c r="CB200" s="24"/>
      <c r="CC200" s="24"/>
      <c r="CD200" s="25"/>
      <c r="CE200" s="26"/>
      <c r="CF200" s="26"/>
      <c r="CG200" s="26"/>
      <c r="CH200" s="26"/>
      <c r="CI200" s="27"/>
      <c r="CJ200" s="28"/>
      <c r="CK200" s="28"/>
      <c r="CL200" s="28"/>
      <c r="CM200" s="28"/>
      <c r="CN200" s="25"/>
      <c r="CO200" s="26"/>
      <c r="CP200" s="26"/>
      <c r="CQ200" s="26"/>
      <c r="CR200" s="26"/>
      <c r="CS200" s="27"/>
      <c r="CT200" s="28"/>
      <c r="CU200" s="28"/>
      <c r="CV200" s="28"/>
      <c r="CW200" s="28"/>
      <c r="CX200" s="25"/>
      <c r="CY200" s="26"/>
      <c r="CZ200" s="26"/>
      <c r="DA200" s="26"/>
      <c r="DB200" s="26"/>
      <c r="DC200" s="27"/>
      <c r="DD200" s="28"/>
      <c r="DE200" s="28"/>
      <c r="DF200" s="28"/>
      <c r="DG200" s="28"/>
      <c r="DH200" s="25"/>
      <c r="DI200" s="26"/>
      <c r="DJ200" s="26"/>
      <c r="DK200" s="26"/>
      <c r="DL200" s="26"/>
      <c r="DM200" s="27"/>
      <c r="DN200" s="28"/>
      <c r="DO200" s="28"/>
      <c r="DP200" s="28"/>
      <c r="DQ200" s="28"/>
      <c r="DR200" s="25"/>
      <c r="DS200" s="26"/>
      <c r="DT200" s="26"/>
      <c r="DU200" s="26"/>
      <c r="DV200" s="26"/>
      <c r="DW200" s="27"/>
      <c r="DX200" s="28"/>
      <c r="DY200" s="28"/>
      <c r="DZ200" s="28"/>
      <c r="EA200" s="28"/>
      <c r="EB200" s="29"/>
      <c r="EC200" s="30"/>
      <c r="ED200" s="30"/>
      <c r="EE200" s="30"/>
      <c r="EF200" s="30"/>
      <c r="EG200" s="31"/>
      <c r="EH200" s="32"/>
      <c r="EI200" s="32"/>
      <c r="EJ200" s="32"/>
      <c r="EK200" s="32"/>
      <c r="EL200" s="29"/>
      <c r="EM200" s="30"/>
      <c r="EN200" s="30"/>
      <c r="EO200" s="30"/>
      <c r="EP200" s="30"/>
      <c r="EQ200" s="31"/>
      <c r="ER200" s="32"/>
      <c r="ES200" s="32"/>
      <c r="ET200" s="32"/>
      <c r="EU200" s="32"/>
      <c r="EV200" s="29"/>
      <c r="EW200" s="30"/>
      <c r="EX200" s="30"/>
      <c r="EY200" s="30"/>
      <c r="EZ200" s="30"/>
      <c r="FA200" s="31"/>
      <c r="FB200" s="32"/>
      <c r="FC200" s="32"/>
      <c r="FD200" s="32"/>
      <c r="FE200" s="32"/>
      <c r="FF200" s="29"/>
      <c r="FG200" s="30"/>
      <c r="FH200" s="30"/>
      <c r="FI200" s="30"/>
      <c r="FJ200" s="30"/>
      <c r="FK200" s="31"/>
      <c r="FL200" s="32"/>
      <c r="FM200" s="32"/>
      <c r="FN200" s="32"/>
      <c r="FO200" s="32"/>
      <c r="FP200" s="29"/>
      <c r="FQ200" s="30"/>
      <c r="FR200" s="30"/>
      <c r="FS200" s="30"/>
      <c r="FT200" s="30"/>
      <c r="FU200" s="31"/>
      <c r="FV200" s="32"/>
      <c r="FW200" s="32"/>
      <c r="FX200" s="32"/>
      <c r="FY200" s="32"/>
      <c r="FZ200" s="29"/>
      <c r="GA200" s="30"/>
      <c r="GB200" s="30"/>
      <c r="GC200" s="30"/>
      <c r="GD200" s="30"/>
    </row>
    <row r="201" spans="1:186" ht="48" x14ac:dyDescent="0.25">
      <c r="A201" s="156">
        <v>192</v>
      </c>
      <c r="B201" s="395">
        <f>'Tier 3 Intervention'!B775</f>
        <v>0</v>
      </c>
      <c r="C201" s="395"/>
      <c r="D201" s="395"/>
      <c r="E201" s="395"/>
      <c r="F201" s="395"/>
      <c r="G201" s="395"/>
      <c r="H201" s="761" t="e">
        <f>'Tier 3 Intervention'!AA775+30</f>
        <v>#VALUE!</v>
      </c>
      <c r="I201" s="761"/>
      <c r="J201" s="762" t="e">
        <f t="shared" si="3"/>
        <v>#VALUE!</v>
      </c>
      <c r="K201" s="395"/>
      <c r="L201" s="47" t="s">
        <v>978</v>
      </c>
      <c r="M201" s="46"/>
      <c r="N201" s="46"/>
      <c r="O201" s="46"/>
      <c r="P201" s="49"/>
      <c r="Q201" s="19"/>
      <c r="R201" s="20"/>
      <c r="S201" s="20"/>
      <c r="T201" s="20"/>
      <c r="U201" s="20"/>
      <c r="V201" s="21"/>
      <c r="W201" s="22"/>
      <c r="X201" s="22"/>
      <c r="Y201" s="22"/>
      <c r="Z201" s="22"/>
      <c r="AA201" s="19"/>
      <c r="AB201" s="20"/>
      <c r="AC201" s="20"/>
      <c r="AD201" s="20"/>
      <c r="AE201" s="20"/>
      <c r="AF201" s="21"/>
      <c r="AG201" s="22"/>
      <c r="AH201" s="22"/>
      <c r="AI201" s="22"/>
      <c r="AJ201" s="22"/>
      <c r="AK201" s="19"/>
      <c r="AL201" s="20"/>
      <c r="AM201" s="20"/>
      <c r="AN201" s="20"/>
      <c r="AO201" s="20"/>
      <c r="AP201" s="21"/>
      <c r="AQ201" s="22"/>
      <c r="AR201" s="22"/>
      <c r="AS201" s="22"/>
      <c r="AT201" s="22"/>
      <c r="AU201" s="19"/>
      <c r="AV201" s="20"/>
      <c r="AW201" s="20"/>
      <c r="AX201" s="20"/>
      <c r="AY201" s="20"/>
      <c r="AZ201" s="21"/>
      <c r="BA201" s="22"/>
      <c r="BB201" s="22"/>
      <c r="BC201" s="22"/>
      <c r="BD201" s="22"/>
      <c r="BE201" s="19"/>
      <c r="BF201" s="20"/>
      <c r="BG201" s="20"/>
      <c r="BH201" s="20"/>
      <c r="BI201" s="20"/>
      <c r="BJ201" s="21"/>
      <c r="BK201" s="22"/>
      <c r="BL201" s="22"/>
      <c r="BM201" s="22"/>
      <c r="BN201" s="22"/>
      <c r="BO201" s="19"/>
      <c r="BP201" s="20"/>
      <c r="BQ201" s="20"/>
      <c r="BR201" s="20"/>
      <c r="BS201" s="20"/>
      <c r="BT201" s="21"/>
      <c r="BU201" s="22"/>
      <c r="BV201" s="22"/>
      <c r="BW201" s="22"/>
      <c r="BX201" s="22"/>
      <c r="BY201" s="23"/>
      <c r="BZ201" s="24"/>
      <c r="CA201" s="24"/>
      <c r="CB201" s="24"/>
      <c r="CC201" s="24"/>
      <c r="CD201" s="25"/>
      <c r="CE201" s="26"/>
      <c r="CF201" s="26"/>
      <c r="CG201" s="26"/>
      <c r="CH201" s="26"/>
      <c r="CI201" s="27"/>
      <c r="CJ201" s="28"/>
      <c r="CK201" s="28"/>
      <c r="CL201" s="28"/>
      <c r="CM201" s="28"/>
      <c r="CN201" s="25"/>
      <c r="CO201" s="26"/>
      <c r="CP201" s="26"/>
      <c r="CQ201" s="26"/>
      <c r="CR201" s="26"/>
      <c r="CS201" s="27"/>
      <c r="CT201" s="28"/>
      <c r="CU201" s="28"/>
      <c r="CV201" s="28"/>
      <c r="CW201" s="28"/>
      <c r="CX201" s="25"/>
      <c r="CY201" s="26"/>
      <c r="CZ201" s="26"/>
      <c r="DA201" s="26"/>
      <c r="DB201" s="26"/>
      <c r="DC201" s="27"/>
      <c r="DD201" s="28"/>
      <c r="DE201" s="28"/>
      <c r="DF201" s="28"/>
      <c r="DG201" s="28"/>
      <c r="DH201" s="25"/>
      <c r="DI201" s="26"/>
      <c r="DJ201" s="26"/>
      <c r="DK201" s="26"/>
      <c r="DL201" s="26"/>
      <c r="DM201" s="27"/>
      <c r="DN201" s="28"/>
      <c r="DO201" s="28"/>
      <c r="DP201" s="28"/>
      <c r="DQ201" s="28"/>
      <c r="DR201" s="25"/>
      <c r="DS201" s="26"/>
      <c r="DT201" s="26"/>
      <c r="DU201" s="26"/>
      <c r="DV201" s="26"/>
      <c r="DW201" s="27"/>
      <c r="DX201" s="28"/>
      <c r="DY201" s="28"/>
      <c r="DZ201" s="28"/>
      <c r="EA201" s="28"/>
      <c r="EB201" s="29"/>
      <c r="EC201" s="30"/>
      <c r="ED201" s="30"/>
      <c r="EE201" s="30"/>
      <c r="EF201" s="30"/>
      <c r="EG201" s="31"/>
      <c r="EH201" s="32"/>
      <c r="EI201" s="32"/>
      <c r="EJ201" s="32"/>
      <c r="EK201" s="32"/>
      <c r="EL201" s="29"/>
      <c r="EM201" s="30"/>
      <c r="EN201" s="30"/>
      <c r="EO201" s="30"/>
      <c r="EP201" s="30"/>
      <c r="EQ201" s="31"/>
      <c r="ER201" s="32"/>
      <c r="ES201" s="32"/>
      <c r="ET201" s="32"/>
      <c r="EU201" s="32"/>
      <c r="EV201" s="29"/>
      <c r="EW201" s="30"/>
      <c r="EX201" s="30"/>
      <c r="EY201" s="30"/>
      <c r="EZ201" s="30"/>
      <c r="FA201" s="31"/>
      <c r="FB201" s="32"/>
      <c r="FC201" s="32"/>
      <c r="FD201" s="32"/>
      <c r="FE201" s="32"/>
      <c r="FF201" s="29"/>
      <c r="FG201" s="30"/>
      <c r="FH201" s="30"/>
      <c r="FI201" s="30"/>
      <c r="FJ201" s="30"/>
      <c r="FK201" s="31"/>
      <c r="FL201" s="32"/>
      <c r="FM201" s="32"/>
      <c r="FN201" s="32"/>
      <c r="FO201" s="32"/>
      <c r="FP201" s="29"/>
      <c r="FQ201" s="30"/>
      <c r="FR201" s="30"/>
      <c r="FS201" s="30"/>
      <c r="FT201" s="30"/>
      <c r="FU201" s="31"/>
      <c r="FV201" s="32"/>
      <c r="FW201" s="32"/>
      <c r="FX201" s="32"/>
      <c r="FY201" s="32"/>
      <c r="FZ201" s="29"/>
      <c r="GA201" s="30"/>
      <c r="GB201" s="30"/>
      <c r="GC201" s="30"/>
      <c r="GD201" s="30"/>
    </row>
    <row r="202" spans="1:186" ht="48" x14ac:dyDescent="0.25">
      <c r="A202" s="156">
        <v>193</v>
      </c>
      <c r="B202" s="395">
        <f>'Tier 3 Intervention'!B779</f>
        <v>0</v>
      </c>
      <c r="C202" s="395"/>
      <c r="D202" s="395"/>
      <c r="E202" s="395"/>
      <c r="F202" s="395"/>
      <c r="G202" s="395"/>
      <c r="H202" s="761" t="e">
        <f>'Tier 3 Intervention'!AA779+30</f>
        <v>#VALUE!</v>
      </c>
      <c r="I202" s="761"/>
      <c r="J202" s="762" t="e">
        <f t="shared" si="3"/>
        <v>#VALUE!</v>
      </c>
      <c r="K202" s="395"/>
      <c r="L202" s="47" t="s">
        <v>979</v>
      </c>
      <c r="M202" s="46"/>
      <c r="N202" s="46"/>
      <c r="O202" s="46"/>
      <c r="P202" s="49"/>
      <c r="Q202" s="19"/>
      <c r="R202" s="20"/>
      <c r="S202" s="20"/>
      <c r="T202" s="20"/>
      <c r="U202" s="20"/>
      <c r="V202" s="21"/>
      <c r="W202" s="22"/>
      <c r="X202" s="22"/>
      <c r="Y202" s="22"/>
      <c r="Z202" s="22"/>
      <c r="AA202" s="19"/>
      <c r="AB202" s="20"/>
      <c r="AC202" s="20"/>
      <c r="AD202" s="20"/>
      <c r="AE202" s="20"/>
      <c r="AF202" s="21"/>
      <c r="AG202" s="22"/>
      <c r="AH202" s="22"/>
      <c r="AI202" s="22"/>
      <c r="AJ202" s="22"/>
      <c r="AK202" s="19"/>
      <c r="AL202" s="20"/>
      <c r="AM202" s="20"/>
      <c r="AN202" s="20"/>
      <c r="AO202" s="20"/>
      <c r="AP202" s="21"/>
      <c r="AQ202" s="22"/>
      <c r="AR202" s="22"/>
      <c r="AS202" s="22"/>
      <c r="AT202" s="22"/>
      <c r="AU202" s="19"/>
      <c r="AV202" s="20"/>
      <c r="AW202" s="20"/>
      <c r="AX202" s="20"/>
      <c r="AY202" s="20"/>
      <c r="AZ202" s="21"/>
      <c r="BA202" s="22"/>
      <c r="BB202" s="22"/>
      <c r="BC202" s="22"/>
      <c r="BD202" s="22"/>
      <c r="BE202" s="19"/>
      <c r="BF202" s="20"/>
      <c r="BG202" s="20"/>
      <c r="BH202" s="20"/>
      <c r="BI202" s="20"/>
      <c r="BJ202" s="21"/>
      <c r="BK202" s="22"/>
      <c r="BL202" s="22"/>
      <c r="BM202" s="22"/>
      <c r="BN202" s="22"/>
      <c r="BO202" s="19"/>
      <c r="BP202" s="20"/>
      <c r="BQ202" s="20"/>
      <c r="BR202" s="20"/>
      <c r="BS202" s="20"/>
      <c r="BT202" s="21"/>
      <c r="BU202" s="22"/>
      <c r="BV202" s="22"/>
      <c r="BW202" s="22"/>
      <c r="BX202" s="22"/>
      <c r="BY202" s="23"/>
      <c r="BZ202" s="24"/>
      <c r="CA202" s="24"/>
      <c r="CB202" s="24"/>
      <c r="CC202" s="24"/>
      <c r="CD202" s="25"/>
      <c r="CE202" s="26"/>
      <c r="CF202" s="26"/>
      <c r="CG202" s="26"/>
      <c r="CH202" s="26"/>
      <c r="CI202" s="27"/>
      <c r="CJ202" s="28"/>
      <c r="CK202" s="28"/>
      <c r="CL202" s="28"/>
      <c r="CM202" s="28"/>
      <c r="CN202" s="25"/>
      <c r="CO202" s="26"/>
      <c r="CP202" s="26"/>
      <c r="CQ202" s="26"/>
      <c r="CR202" s="26"/>
      <c r="CS202" s="27"/>
      <c r="CT202" s="28"/>
      <c r="CU202" s="28"/>
      <c r="CV202" s="28"/>
      <c r="CW202" s="28"/>
      <c r="CX202" s="25"/>
      <c r="CY202" s="26"/>
      <c r="CZ202" s="26"/>
      <c r="DA202" s="26"/>
      <c r="DB202" s="26"/>
      <c r="DC202" s="27"/>
      <c r="DD202" s="28"/>
      <c r="DE202" s="28"/>
      <c r="DF202" s="28"/>
      <c r="DG202" s="28"/>
      <c r="DH202" s="25"/>
      <c r="DI202" s="26"/>
      <c r="DJ202" s="26"/>
      <c r="DK202" s="26"/>
      <c r="DL202" s="26"/>
      <c r="DM202" s="27"/>
      <c r="DN202" s="28"/>
      <c r="DO202" s="28"/>
      <c r="DP202" s="28"/>
      <c r="DQ202" s="28"/>
      <c r="DR202" s="25"/>
      <c r="DS202" s="26"/>
      <c r="DT202" s="26"/>
      <c r="DU202" s="26"/>
      <c r="DV202" s="26"/>
      <c r="DW202" s="27"/>
      <c r="DX202" s="28"/>
      <c r="DY202" s="28"/>
      <c r="DZ202" s="28"/>
      <c r="EA202" s="28"/>
      <c r="EB202" s="29"/>
      <c r="EC202" s="30"/>
      <c r="ED202" s="30"/>
      <c r="EE202" s="30"/>
      <c r="EF202" s="30"/>
      <c r="EG202" s="31"/>
      <c r="EH202" s="32"/>
      <c r="EI202" s="32"/>
      <c r="EJ202" s="32"/>
      <c r="EK202" s="32"/>
      <c r="EL202" s="29"/>
      <c r="EM202" s="30"/>
      <c r="EN202" s="30"/>
      <c r="EO202" s="30"/>
      <c r="EP202" s="30"/>
      <c r="EQ202" s="31"/>
      <c r="ER202" s="32"/>
      <c r="ES202" s="32"/>
      <c r="ET202" s="32"/>
      <c r="EU202" s="32"/>
      <c r="EV202" s="29"/>
      <c r="EW202" s="30"/>
      <c r="EX202" s="30"/>
      <c r="EY202" s="30"/>
      <c r="EZ202" s="30"/>
      <c r="FA202" s="31"/>
      <c r="FB202" s="32"/>
      <c r="FC202" s="32"/>
      <c r="FD202" s="32"/>
      <c r="FE202" s="32"/>
      <c r="FF202" s="29"/>
      <c r="FG202" s="30"/>
      <c r="FH202" s="30"/>
      <c r="FI202" s="30"/>
      <c r="FJ202" s="30"/>
      <c r="FK202" s="31"/>
      <c r="FL202" s="32"/>
      <c r="FM202" s="32"/>
      <c r="FN202" s="32"/>
      <c r="FO202" s="32"/>
      <c r="FP202" s="29"/>
      <c r="FQ202" s="30"/>
      <c r="FR202" s="30"/>
      <c r="FS202" s="30"/>
      <c r="FT202" s="30"/>
      <c r="FU202" s="31"/>
      <c r="FV202" s="32"/>
      <c r="FW202" s="32"/>
      <c r="FX202" s="32"/>
      <c r="FY202" s="32"/>
      <c r="FZ202" s="29"/>
      <c r="GA202" s="30"/>
      <c r="GB202" s="30"/>
      <c r="GC202" s="30"/>
      <c r="GD202" s="30"/>
    </row>
    <row r="203" spans="1:186" ht="48" x14ac:dyDescent="0.25">
      <c r="A203" s="156">
        <v>194</v>
      </c>
      <c r="B203" s="395">
        <f>'Tier 3 Intervention'!B783</f>
        <v>0</v>
      </c>
      <c r="C203" s="395"/>
      <c r="D203" s="395"/>
      <c r="E203" s="395"/>
      <c r="F203" s="395"/>
      <c r="G203" s="395"/>
      <c r="H203" s="761" t="e">
        <f>'Tier 3 Intervention'!AA783+30</f>
        <v>#VALUE!</v>
      </c>
      <c r="I203" s="761"/>
      <c r="J203" s="762" t="e">
        <f t="shared" si="3"/>
        <v>#VALUE!</v>
      </c>
      <c r="K203" s="395"/>
      <c r="L203" s="47" t="s">
        <v>980</v>
      </c>
      <c r="M203" s="46"/>
      <c r="N203" s="46"/>
      <c r="O203" s="46"/>
      <c r="P203" s="49"/>
      <c r="Q203" s="19"/>
      <c r="R203" s="20"/>
      <c r="S203" s="20"/>
      <c r="T203" s="20"/>
      <c r="U203" s="20"/>
      <c r="V203" s="21"/>
      <c r="W203" s="22"/>
      <c r="X203" s="22"/>
      <c r="Y203" s="22"/>
      <c r="Z203" s="22"/>
      <c r="AA203" s="19"/>
      <c r="AB203" s="20"/>
      <c r="AC203" s="20"/>
      <c r="AD203" s="20"/>
      <c r="AE203" s="20"/>
      <c r="AF203" s="21"/>
      <c r="AG203" s="22"/>
      <c r="AH203" s="22"/>
      <c r="AI203" s="22"/>
      <c r="AJ203" s="22"/>
      <c r="AK203" s="19"/>
      <c r="AL203" s="20"/>
      <c r="AM203" s="20"/>
      <c r="AN203" s="20"/>
      <c r="AO203" s="20"/>
      <c r="AP203" s="21"/>
      <c r="AQ203" s="22"/>
      <c r="AR203" s="22"/>
      <c r="AS203" s="22"/>
      <c r="AT203" s="22"/>
      <c r="AU203" s="19"/>
      <c r="AV203" s="20"/>
      <c r="AW203" s="20"/>
      <c r="AX203" s="20"/>
      <c r="AY203" s="20"/>
      <c r="AZ203" s="21"/>
      <c r="BA203" s="22"/>
      <c r="BB203" s="22"/>
      <c r="BC203" s="22"/>
      <c r="BD203" s="22"/>
      <c r="BE203" s="19"/>
      <c r="BF203" s="20"/>
      <c r="BG203" s="20"/>
      <c r="BH203" s="20"/>
      <c r="BI203" s="20"/>
      <c r="BJ203" s="21"/>
      <c r="BK203" s="22"/>
      <c r="BL203" s="22"/>
      <c r="BM203" s="22"/>
      <c r="BN203" s="22"/>
      <c r="BO203" s="19"/>
      <c r="BP203" s="20"/>
      <c r="BQ203" s="20"/>
      <c r="BR203" s="20"/>
      <c r="BS203" s="20"/>
      <c r="BT203" s="21"/>
      <c r="BU203" s="22"/>
      <c r="BV203" s="22"/>
      <c r="BW203" s="22"/>
      <c r="BX203" s="22"/>
      <c r="BY203" s="23"/>
      <c r="BZ203" s="24"/>
      <c r="CA203" s="24"/>
      <c r="CB203" s="24"/>
      <c r="CC203" s="24"/>
      <c r="CD203" s="25"/>
      <c r="CE203" s="26"/>
      <c r="CF203" s="26"/>
      <c r="CG203" s="26"/>
      <c r="CH203" s="26"/>
      <c r="CI203" s="27"/>
      <c r="CJ203" s="28"/>
      <c r="CK203" s="28"/>
      <c r="CL203" s="28"/>
      <c r="CM203" s="28"/>
      <c r="CN203" s="25"/>
      <c r="CO203" s="26"/>
      <c r="CP203" s="26"/>
      <c r="CQ203" s="26"/>
      <c r="CR203" s="26"/>
      <c r="CS203" s="27"/>
      <c r="CT203" s="28"/>
      <c r="CU203" s="28"/>
      <c r="CV203" s="28"/>
      <c r="CW203" s="28"/>
      <c r="CX203" s="25"/>
      <c r="CY203" s="26"/>
      <c r="CZ203" s="26"/>
      <c r="DA203" s="26"/>
      <c r="DB203" s="26"/>
      <c r="DC203" s="27"/>
      <c r="DD203" s="28"/>
      <c r="DE203" s="28"/>
      <c r="DF203" s="28"/>
      <c r="DG203" s="28"/>
      <c r="DH203" s="25"/>
      <c r="DI203" s="26"/>
      <c r="DJ203" s="26"/>
      <c r="DK203" s="26"/>
      <c r="DL203" s="26"/>
      <c r="DM203" s="27"/>
      <c r="DN203" s="28"/>
      <c r="DO203" s="28"/>
      <c r="DP203" s="28"/>
      <c r="DQ203" s="28"/>
      <c r="DR203" s="25"/>
      <c r="DS203" s="26"/>
      <c r="DT203" s="26"/>
      <c r="DU203" s="26"/>
      <c r="DV203" s="26"/>
      <c r="DW203" s="27"/>
      <c r="DX203" s="28"/>
      <c r="DY203" s="28"/>
      <c r="DZ203" s="28"/>
      <c r="EA203" s="28"/>
      <c r="EB203" s="29"/>
      <c r="EC203" s="30"/>
      <c r="ED203" s="30"/>
      <c r="EE203" s="30"/>
      <c r="EF203" s="30"/>
      <c r="EG203" s="31"/>
      <c r="EH203" s="32"/>
      <c r="EI203" s="32"/>
      <c r="EJ203" s="32"/>
      <c r="EK203" s="32"/>
      <c r="EL203" s="29"/>
      <c r="EM203" s="30"/>
      <c r="EN203" s="30"/>
      <c r="EO203" s="30"/>
      <c r="EP203" s="30"/>
      <c r="EQ203" s="31"/>
      <c r="ER203" s="32"/>
      <c r="ES203" s="32"/>
      <c r="ET203" s="32"/>
      <c r="EU203" s="32"/>
      <c r="EV203" s="29"/>
      <c r="EW203" s="30"/>
      <c r="EX203" s="30"/>
      <c r="EY203" s="30"/>
      <c r="EZ203" s="30"/>
      <c r="FA203" s="31"/>
      <c r="FB203" s="32"/>
      <c r="FC203" s="32"/>
      <c r="FD203" s="32"/>
      <c r="FE203" s="32"/>
      <c r="FF203" s="29"/>
      <c r="FG203" s="30"/>
      <c r="FH203" s="30"/>
      <c r="FI203" s="30"/>
      <c r="FJ203" s="30"/>
      <c r="FK203" s="31"/>
      <c r="FL203" s="32"/>
      <c r="FM203" s="32"/>
      <c r="FN203" s="32"/>
      <c r="FO203" s="32"/>
      <c r="FP203" s="29"/>
      <c r="FQ203" s="30"/>
      <c r="FR203" s="30"/>
      <c r="FS203" s="30"/>
      <c r="FT203" s="30"/>
      <c r="FU203" s="31"/>
      <c r="FV203" s="32"/>
      <c r="FW203" s="32"/>
      <c r="FX203" s="32"/>
      <c r="FY203" s="32"/>
      <c r="FZ203" s="29"/>
      <c r="GA203" s="30"/>
      <c r="GB203" s="30"/>
      <c r="GC203" s="30"/>
      <c r="GD203" s="30"/>
    </row>
    <row r="204" spans="1:186" ht="48" x14ac:dyDescent="0.25">
      <c r="A204" s="156">
        <v>195</v>
      </c>
      <c r="B204" s="395">
        <f>'Tier 3 Intervention'!B787</f>
        <v>0</v>
      </c>
      <c r="C204" s="395"/>
      <c r="D204" s="395"/>
      <c r="E204" s="395"/>
      <c r="F204" s="395"/>
      <c r="G204" s="395"/>
      <c r="H204" s="761" t="e">
        <f>'Tier 3 Intervention'!AA787+30</f>
        <v>#VALUE!</v>
      </c>
      <c r="I204" s="761"/>
      <c r="J204" s="762" t="e">
        <f t="shared" si="3"/>
        <v>#VALUE!</v>
      </c>
      <c r="K204" s="395"/>
      <c r="L204" s="47" t="s">
        <v>981</v>
      </c>
      <c r="M204" s="46"/>
      <c r="N204" s="46"/>
      <c r="O204" s="46"/>
      <c r="P204" s="49"/>
      <c r="Q204" s="19"/>
      <c r="R204" s="20"/>
      <c r="S204" s="20"/>
      <c r="T204" s="20"/>
      <c r="U204" s="20"/>
      <c r="V204" s="21"/>
      <c r="W204" s="22"/>
      <c r="X204" s="22"/>
      <c r="Y204" s="22"/>
      <c r="Z204" s="22"/>
      <c r="AA204" s="19"/>
      <c r="AB204" s="20"/>
      <c r="AC204" s="20"/>
      <c r="AD204" s="20"/>
      <c r="AE204" s="20"/>
      <c r="AF204" s="21"/>
      <c r="AG204" s="22"/>
      <c r="AH204" s="22"/>
      <c r="AI204" s="22"/>
      <c r="AJ204" s="22"/>
      <c r="AK204" s="19"/>
      <c r="AL204" s="20"/>
      <c r="AM204" s="20"/>
      <c r="AN204" s="20"/>
      <c r="AO204" s="20"/>
      <c r="AP204" s="21"/>
      <c r="AQ204" s="22"/>
      <c r="AR204" s="22"/>
      <c r="AS204" s="22"/>
      <c r="AT204" s="22"/>
      <c r="AU204" s="19"/>
      <c r="AV204" s="20"/>
      <c r="AW204" s="20"/>
      <c r="AX204" s="20"/>
      <c r="AY204" s="20"/>
      <c r="AZ204" s="21"/>
      <c r="BA204" s="22"/>
      <c r="BB204" s="22"/>
      <c r="BC204" s="22"/>
      <c r="BD204" s="22"/>
      <c r="BE204" s="19"/>
      <c r="BF204" s="20"/>
      <c r="BG204" s="20"/>
      <c r="BH204" s="20"/>
      <c r="BI204" s="20"/>
      <c r="BJ204" s="21"/>
      <c r="BK204" s="22"/>
      <c r="BL204" s="22"/>
      <c r="BM204" s="22"/>
      <c r="BN204" s="22"/>
      <c r="BO204" s="19"/>
      <c r="BP204" s="20"/>
      <c r="BQ204" s="20"/>
      <c r="BR204" s="20"/>
      <c r="BS204" s="20"/>
      <c r="BT204" s="21"/>
      <c r="BU204" s="22"/>
      <c r="BV204" s="22"/>
      <c r="BW204" s="22"/>
      <c r="BX204" s="22"/>
      <c r="BY204" s="23"/>
      <c r="BZ204" s="24"/>
      <c r="CA204" s="24"/>
      <c r="CB204" s="24"/>
      <c r="CC204" s="24"/>
      <c r="CD204" s="25"/>
      <c r="CE204" s="26"/>
      <c r="CF204" s="26"/>
      <c r="CG204" s="26"/>
      <c r="CH204" s="26"/>
      <c r="CI204" s="27"/>
      <c r="CJ204" s="28"/>
      <c r="CK204" s="28"/>
      <c r="CL204" s="28"/>
      <c r="CM204" s="28"/>
      <c r="CN204" s="25"/>
      <c r="CO204" s="26"/>
      <c r="CP204" s="26"/>
      <c r="CQ204" s="26"/>
      <c r="CR204" s="26"/>
      <c r="CS204" s="27"/>
      <c r="CT204" s="28"/>
      <c r="CU204" s="28"/>
      <c r="CV204" s="28"/>
      <c r="CW204" s="28"/>
      <c r="CX204" s="25"/>
      <c r="CY204" s="26"/>
      <c r="CZ204" s="26"/>
      <c r="DA204" s="26"/>
      <c r="DB204" s="26"/>
      <c r="DC204" s="27"/>
      <c r="DD204" s="28"/>
      <c r="DE204" s="28"/>
      <c r="DF204" s="28"/>
      <c r="DG204" s="28"/>
      <c r="DH204" s="25"/>
      <c r="DI204" s="26"/>
      <c r="DJ204" s="26"/>
      <c r="DK204" s="26"/>
      <c r="DL204" s="26"/>
      <c r="DM204" s="27"/>
      <c r="DN204" s="28"/>
      <c r="DO204" s="28"/>
      <c r="DP204" s="28"/>
      <c r="DQ204" s="28"/>
      <c r="DR204" s="25"/>
      <c r="DS204" s="26"/>
      <c r="DT204" s="26"/>
      <c r="DU204" s="26"/>
      <c r="DV204" s="26"/>
      <c r="DW204" s="27"/>
      <c r="DX204" s="28"/>
      <c r="DY204" s="28"/>
      <c r="DZ204" s="28"/>
      <c r="EA204" s="28"/>
      <c r="EB204" s="29"/>
      <c r="EC204" s="30"/>
      <c r="ED204" s="30"/>
      <c r="EE204" s="30"/>
      <c r="EF204" s="30"/>
      <c r="EG204" s="31"/>
      <c r="EH204" s="32"/>
      <c r="EI204" s="32"/>
      <c r="EJ204" s="32"/>
      <c r="EK204" s="32"/>
      <c r="EL204" s="29"/>
      <c r="EM204" s="30"/>
      <c r="EN204" s="30"/>
      <c r="EO204" s="30"/>
      <c r="EP204" s="30"/>
      <c r="EQ204" s="31"/>
      <c r="ER204" s="32"/>
      <c r="ES204" s="32"/>
      <c r="ET204" s="32"/>
      <c r="EU204" s="32"/>
      <c r="EV204" s="29"/>
      <c r="EW204" s="30"/>
      <c r="EX204" s="30"/>
      <c r="EY204" s="30"/>
      <c r="EZ204" s="30"/>
      <c r="FA204" s="31"/>
      <c r="FB204" s="32"/>
      <c r="FC204" s="32"/>
      <c r="FD204" s="32"/>
      <c r="FE204" s="32"/>
      <c r="FF204" s="29"/>
      <c r="FG204" s="30"/>
      <c r="FH204" s="30"/>
      <c r="FI204" s="30"/>
      <c r="FJ204" s="30"/>
      <c r="FK204" s="31"/>
      <c r="FL204" s="32"/>
      <c r="FM204" s="32"/>
      <c r="FN204" s="32"/>
      <c r="FO204" s="32"/>
      <c r="FP204" s="29"/>
      <c r="FQ204" s="30"/>
      <c r="FR204" s="30"/>
      <c r="FS204" s="30"/>
      <c r="FT204" s="30"/>
      <c r="FU204" s="31"/>
      <c r="FV204" s="32"/>
      <c r="FW204" s="32"/>
      <c r="FX204" s="32"/>
      <c r="FY204" s="32"/>
      <c r="FZ204" s="29"/>
      <c r="GA204" s="30"/>
      <c r="GB204" s="30"/>
      <c r="GC204" s="30"/>
      <c r="GD204" s="30"/>
    </row>
    <row r="205" spans="1:186" ht="48" x14ac:dyDescent="0.25">
      <c r="A205" s="156">
        <v>196</v>
      </c>
      <c r="B205" s="395">
        <f>'Tier 3 Intervention'!B791</f>
        <v>0</v>
      </c>
      <c r="C205" s="395"/>
      <c r="D205" s="395"/>
      <c r="E205" s="395"/>
      <c r="F205" s="395"/>
      <c r="G205" s="395"/>
      <c r="H205" s="761" t="e">
        <f>'Tier 3 Intervention'!AA791+30</f>
        <v>#VALUE!</v>
      </c>
      <c r="I205" s="761"/>
      <c r="J205" s="762" t="e">
        <f t="shared" si="3"/>
        <v>#VALUE!</v>
      </c>
      <c r="K205" s="395"/>
      <c r="L205" s="47" t="s">
        <v>982</v>
      </c>
      <c r="M205" s="46"/>
      <c r="N205" s="46"/>
      <c r="O205" s="46"/>
      <c r="P205" s="49"/>
      <c r="Q205" s="19"/>
      <c r="R205" s="20"/>
      <c r="S205" s="20"/>
      <c r="T205" s="20"/>
      <c r="U205" s="20"/>
      <c r="V205" s="21"/>
      <c r="W205" s="22"/>
      <c r="X205" s="22"/>
      <c r="Y205" s="22"/>
      <c r="Z205" s="22"/>
      <c r="AA205" s="19"/>
      <c r="AB205" s="20"/>
      <c r="AC205" s="20"/>
      <c r="AD205" s="20"/>
      <c r="AE205" s="20"/>
      <c r="AF205" s="21"/>
      <c r="AG205" s="22"/>
      <c r="AH205" s="22"/>
      <c r="AI205" s="22"/>
      <c r="AJ205" s="22"/>
      <c r="AK205" s="19"/>
      <c r="AL205" s="20"/>
      <c r="AM205" s="20"/>
      <c r="AN205" s="20"/>
      <c r="AO205" s="20"/>
      <c r="AP205" s="21"/>
      <c r="AQ205" s="22"/>
      <c r="AR205" s="22"/>
      <c r="AS205" s="22"/>
      <c r="AT205" s="22"/>
      <c r="AU205" s="19"/>
      <c r="AV205" s="20"/>
      <c r="AW205" s="20"/>
      <c r="AX205" s="20"/>
      <c r="AY205" s="20"/>
      <c r="AZ205" s="21"/>
      <c r="BA205" s="22"/>
      <c r="BB205" s="22"/>
      <c r="BC205" s="22"/>
      <c r="BD205" s="22"/>
      <c r="BE205" s="19"/>
      <c r="BF205" s="20"/>
      <c r="BG205" s="20"/>
      <c r="BH205" s="20"/>
      <c r="BI205" s="20"/>
      <c r="BJ205" s="21"/>
      <c r="BK205" s="22"/>
      <c r="BL205" s="22"/>
      <c r="BM205" s="22"/>
      <c r="BN205" s="22"/>
      <c r="BO205" s="19"/>
      <c r="BP205" s="20"/>
      <c r="BQ205" s="20"/>
      <c r="BR205" s="20"/>
      <c r="BS205" s="20"/>
      <c r="BT205" s="21"/>
      <c r="BU205" s="22"/>
      <c r="BV205" s="22"/>
      <c r="BW205" s="22"/>
      <c r="BX205" s="22"/>
      <c r="BY205" s="23"/>
      <c r="BZ205" s="24"/>
      <c r="CA205" s="24"/>
      <c r="CB205" s="24"/>
      <c r="CC205" s="24"/>
      <c r="CD205" s="25"/>
      <c r="CE205" s="26"/>
      <c r="CF205" s="26"/>
      <c r="CG205" s="26"/>
      <c r="CH205" s="26"/>
      <c r="CI205" s="27"/>
      <c r="CJ205" s="28"/>
      <c r="CK205" s="28"/>
      <c r="CL205" s="28"/>
      <c r="CM205" s="28"/>
      <c r="CN205" s="25"/>
      <c r="CO205" s="26"/>
      <c r="CP205" s="26"/>
      <c r="CQ205" s="26"/>
      <c r="CR205" s="26"/>
      <c r="CS205" s="27"/>
      <c r="CT205" s="28"/>
      <c r="CU205" s="28"/>
      <c r="CV205" s="28"/>
      <c r="CW205" s="28"/>
      <c r="CX205" s="25"/>
      <c r="CY205" s="26"/>
      <c r="CZ205" s="26"/>
      <c r="DA205" s="26"/>
      <c r="DB205" s="26"/>
      <c r="DC205" s="27"/>
      <c r="DD205" s="28"/>
      <c r="DE205" s="28"/>
      <c r="DF205" s="28"/>
      <c r="DG205" s="28"/>
      <c r="DH205" s="25"/>
      <c r="DI205" s="26"/>
      <c r="DJ205" s="26"/>
      <c r="DK205" s="26"/>
      <c r="DL205" s="26"/>
      <c r="DM205" s="27"/>
      <c r="DN205" s="28"/>
      <c r="DO205" s="28"/>
      <c r="DP205" s="28"/>
      <c r="DQ205" s="28"/>
      <c r="DR205" s="25"/>
      <c r="DS205" s="26"/>
      <c r="DT205" s="26"/>
      <c r="DU205" s="26"/>
      <c r="DV205" s="26"/>
      <c r="DW205" s="27"/>
      <c r="DX205" s="28"/>
      <c r="DY205" s="28"/>
      <c r="DZ205" s="28"/>
      <c r="EA205" s="28"/>
      <c r="EB205" s="29"/>
      <c r="EC205" s="30"/>
      <c r="ED205" s="30"/>
      <c r="EE205" s="30"/>
      <c r="EF205" s="30"/>
      <c r="EG205" s="31"/>
      <c r="EH205" s="32"/>
      <c r="EI205" s="32"/>
      <c r="EJ205" s="32"/>
      <c r="EK205" s="32"/>
      <c r="EL205" s="29"/>
      <c r="EM205" s="30"/>
      <c r="EN205" s="30"/>
      <c r="EO205" s="30"/>
      <c r="EP205" s="30"/>
      <c r="EQ205" s="31"/>
      <c r="ER205" s="32"/>
      <c r="ES205" s="32"/>
      <c r="ET205" s="32"/>
      <c r="EU205" s="32"/>
      <c r="EV205" s="29"/>
      <c r="EW205" s="30"/>
      <c r="EX205" s="30"/>
      <c r="EY205" s="30"/>
      <c r="EZ205" s="30"/>
      <c r="FA205" s="31"/>
      <c r="FB205" s="32"/>
      <c r="FC205" s="32"/>
      <c r="FD205" s="32"/>
      <c r="FE205" s="32"/>
      <c r="FF205" s="29"/>
      <c r="FG205" s="30"/>
      <c r="FH205" s="30"/>
      <c r="FI205" s="30"/>
      <c r="FJ205" s="30"/>
      <c r="FK205" s="31"/>
      <c r="FL205" s="32"/>
      <c r="FM205" s="32"/>
      <c r="FN205" s="32"/>
      <c r="FO205" s="32"/>
      <c r="FP205" s="29"/>
      <c r="FQ205" s="30"/>
      <c r="FR205" s="30"/>
      <c r="FS205" s="30"/>
      <c r="FT205" s="30"/>
      <c r="FU205" s="31"/>
      <c r="FV205" s="32"/>
      <c r="FW205" s="32"/>
      <c r="FX205" s="32"/>
      <c r="FY205" s="32"/>
      <c r="FZ205" s="29"/>
      <c r="GA205" s="30"/>
      <c r="GB205" s="30"/>
      <c r="GC205" s="30"/>
      <c r="GD205" s="30"/>
    </row>
    <row r="206" spans="1:186" ht="48" x14ac:dyDescent="0.25">
      <c r="A206" s="156">
        <v>197</v>
      </c>
      <c r="B206" s="395">
        <f>'Tier 3 Intervention'!B795</f>
        <v>0</v>
      </c>
      <c r="C206" s="395"/>
      <c r="D206" s="395"/>
      <c r="E206" s="395"/>
      <c r="F206" s="395"/>
      <c r="G206" s="395"/>
      <c r="H206" s="761" t="e">
        <f>'Tier 3 Intervention'!AA795+30</f>
        <v>#VALUE!</v>
      </c>
      <c r="I206" s="761"/>
      <c r="J206" s="762" t="e">
        <f t="shared" ref="J206:J269" si="4">H206+90</f>
        <v>#VALUE!</v>
      </c>
      <c r="K206" s="395"/>
      <c r="L206" s="47" t="s">
        <v>983</v>
      </c>
      <c r="M206" s="46"/>
      <c r="N206" s="46"/>
      <c r="O206" s="46"/>
      <c r="P206" s="49"/>
      <c r="Q206" s="19"/>
      <c r="R206" s="20"/>
      <c r="S206" s="20"/>
      <c r="T206" s="20"/>
      <c r="U206" s="20"/>
      <c r="V206" s="21"/>
      <c r="W206" s="22"/>
      <c r="X206" s="22"/>
      <c r="Y206" s="22"/>
      <c r="Z206" s="22"/>
      <c r="AA206" s="19"/>
      <c r="AB206" s="20"/>
      <c r="AC206" s="20"/>
      <c r="AD206" s="20"/>
      <c r="AE206" s="20"/>
      <c r="AF206" s="21"/>
      <c r="AG206" s="22"/>
      <c r="AH206" s="22"/>
      <c r="AI206" s="22"/>
      <c r="AJ206" s="22"/>
      <c r="AK206" s="19"/>
      <c r="AL206" s="20"/>
      <c r="AM206" s="20"/>
      <c r="AN206" s="20"/>
      <c r="AO206" s="20"/>
      <c r="AP206" s="21"/>
      <c r="AQ206" s="22"/>
      <c r="AR206" s="22"/>
      <c r="AS206" s="22"/>
      <c r="AT206" s="22"/>
      <c r="AU206" s="19"/>
      <c r="AV206" s="20"/>
      <c r="AW206" s="20"/>
      <c r="AX206" s="20"/>
      <c r="AY206" s="20"/>
      <c r="AZ206" s="21"/>
      <c r="BA206" s="22"/>
      <c r="BB206" s="22"/>
      <c r="BC206" s="22"/>
      <c r="BD206" s="22"/>
      <c r="BE206" s="19"/>
      <c r="BF206" s="20"/>
      <c r="BG206" s="20"/>
      <c r="BH206" s="20"/>
      <c r="BI206" s="20"/>
      <c r="BJ206" s="21"/>
      <c r="BK206" s="22"/>
      <c r="BL206" s="22"/>
      <c r="BM206" s="22"/>
      <c r="BN206" s="22"/>
      <c r="BO206" s="19"/>
      <c r="BP206" s="20"/>
      <c r="BQ206" s="20"/>
      <c r="BR206" s="20"/>
      <c r="BS206" s="20"/>
      <c r="BT206" s="21"/>
      <c r="BU206" s="22"/>
      <c r="BV206" s="22"/>
      <c r="BW206" s="22"/>
      <c r="BX206" s="22"/>
      <c r="BY206" s="23"/>
      <c r="BZ206" s="24"/>
      <c r="CA206" s="24"/>
      <c r="CB206" s="24"/>
      <c r="CC206" s="24"/>
      <c r="CD206" s="25"/>
      <c r="CE206" s="26"/>
      <c r="CF206" s="26"/>
      <c r="CG206" s="26"/>
      <c r="CH206" s="26"/>
      <c r="CI206" s="27"/>
      <c r="CJ206" s="28"/>
      <c r="CK206" s="28"/>
      <c r="CL206" s="28"/>
      <c r="CM206" s="28"/>
      <c r="CN206" s="25"/>
      <c r="CO206" s="26"/>
      <c r="CP206" s="26"/>
      <c r="CQ206" s="26"/>
      <c r="CR206" s="26"/>
      <c r="CS206" s="27"/>
      <c r="CT206" s="28"/>
      <c r="CU206" s="28"/>
      <c r="CV206" s="28"/>
      <c r="CW206" s="28"/>
      <c r="CX206" s="25"/>
      <c r="CY206" s="26"/>
      <c r="CZ206" s="26"/>
      <c r="DA206" s="26"/>
      <c r="DB206" s="26"/>
      <c r="DC206" s="27"/>
      <c r="DD206" s="28"/>
      <c r="DE206" s="28"/>
      <c r="DF206" s="28"/>
      <c r="DG206" s="28"/>
      <c r="DH206" s="25"/>
      <c r="DI206" s="26"/>
      <c r="DJ206" s="26"/>
      <c r="DK206" s="26"/>
      <c r="DL206" s="26"/>
      <c r="DM206" s="27"/>
      <c r="DN206" s="28"/>
      <c r="DO206" s="28"/>
      <c r="DP206" s="28"/>
      <c r="DQ206" s="28"/>
      <c r="DR206" s="25"/>
      <c r="DS206" s="26"/>
      <c r="DT206" s="26"/>
      <c r="DU206" s="26"/>
      <c r="DV206" s="26"/>
      <c r="DW206" s="27"/>
      <c r="DX206" s="28"/>
      <c r="DY206" s="28"/>
      <c r="DZ206" s="28"/>
      <c r="EA206" s="28"/>
      <c r="EB206" s="29"/>
      <c r="EC206" s="30"/>
      <c r="ED206" s="30"/>
      <c r="EE206" s="30"/>
      <c r="EF206" s="30"/>
      <c r="EG206" s="31"/>
      <c r="EH206" s="32"/>
      <c r="EI206" s="32"/>
      <c r="EJ206" s="32"/>
      <c r="EK206" s="32"/>
      <c r="EL206" s="29"/>
      <c r="EM206" s="30"/>
      <c r="EN206" s="30"/>
      <c r="EO206" s="30"/>
      <c r="EP206" s="30"/>
      <c r="EQ206" s="31"/>
      <c r="ER206" s="32"/>
      <c r="ES206" s="32"/>
      <c r="ET206" s="32"/>
      <c r="EU206" s="32"/>
      <c r="EV206" s="29"/>
      <c r="EW206" s="30"/>
      <c r="EX206" s="30"/>
      <c r="EY206" s="30"/>
      <c r="EZ206" s="30"/>
      <c r="FA206" s="31"/>
      <c r="FB206" s="32"/>
      <c r="FC206" s="32"/>
      <c r="FD206" s="32"/>
      <c r="FE206" s="32"/>
      <c r="FF206" s="29"/>
      <c r="FG206" s="30"/>
      <c r="FH206" s="30"/>
      <c r="FI206" s="30"/>
      <c r="FJ206" s="30"/>
      <c r="FK206" s="31"/>
      <c r="FL206" s="32"/>
      <c r="FM206" s="32"/>
      <c r="FN206" s="32"/>
      <c r="FO206" s="32"/>
      <c r="FP206" s="29"/>
      <c r="FQ206" s="30"/>
      <c r="FR206" s="30"/>
      <c r="FS206" s="30"/>
      <c r="FT206" s="30"/>
      <c r="FU206" s="31"/>
      <c r="FV206" s="32"/>
      <c r="FW206" s="32"/>
      <c r="FX206" s="32"/>
      <c r="FY206" s="32"/>
      <c r="FZ206" s="29"/>
      <c r="GA206" s="30"/>
      <c r="GB206" s="30"/>
      <c r="GC206" s="30"/>
      <c r="GD206" s="30"/>
    </row>
    <row r="207" spans="1:186" ht="48" x14ac:dyDescent="0.25">
      <c r="A207" s="156">
        <v>198</v>
      </c>
      <c r="B207" s="395">
        <f>'Tier 3 Intervention'!B799</f>
        <v>0</v>
      </c>
      <c r="C207" s="395"/>
      <c r="D207" s="395"/>
      <c r="E207" s="395"/>
      <c r="F207" s="395"/>
      <c r="G207" s="395"/>
      <c r="H207" s="761" t="e">
        <f>'Tier 3 Intervention'!AA799+30</f>
        <v>#VALUE!</v>
      </c>
      <c r="I207" s="761"/>
      <c r="J207" s="762" t="e">
        <f t="shared" si="4"/>
        <v>#VALUE!</v>
      </c>
      <c r="K207" s="395"/>
      <c r="L207" s="47" t="s">
        <v>984</v>
      </c>
      <c r="M207" s="46"/>
      <c r="N207" s="46"/>
      <c r="O207" s="46"/>
      <c r="P207" s="49"/>
      <c r="Q207" s="19"/>
      <c r="R207" s="20"/>
      <c r="S207" s="20"/>
      <c r="T207" s="20"/>
      <c r="U207" s="20"/>
      <c r="V207" s="21"/>
      <c r="W207" s="22"/>
      <c r="X207" s="22"/>
      <c r="Y207" s="22"/>
      <c r="Z207" s="22"/>
      <c r="AA207" s="19"/>
      <c r="AB207" s="20"/>
      <c r="AC207" s="20"/>
      <c r="AD207" s="20"/>
      <c r="AE207" s="20"/>
      <c r="AF207" s="21"/>
      <c r="AG207" s="22"/>
      <c r="AH207" s="22"/>
      <c r="AI207" s="22"/>
      <c r="AJ207" s="22"/>
      <c r="AK207" s="19"/>
      <c r="AL207" s="20"/>
      <c r="AM207" s="20"/>
      <c r="AN207" s="20"/>
      <c r="AO207" s="20"/>
      <c r="AP207" s="21"/>
      <c r="AQ207" s="22"/>
      <c r="AR207" s="22"/>
      <c r="AS207" s="22"/>
      <c r="AT207" s="22"/>
      <c r="AU207" s="19"/>
      <c r="AV207" s="20"/>
      <c r="AW207" s="20"/>
      <c r="AX207" s="20"/>
      <c r="AY207" s="20"/>
      <c r="AZ207" s="21"/>
      <c r="BA207" s="22"/>
      <c r="BB207" s="22"/>
      <c r="BC207" s="22"/>
      <c r="BD207" s="22"/>
      <c r="BE207" s="19"/>
      <c r="BF207" s="20"/>
      <c r="BG207" s="20"/>
      <c r="BH207" s="20"/>
      <c r="BI207" s="20"/>
      <c r="BJ207" s="21"/>
      <c r="BK207" s="22"/>
      <c r="BL207" s="22"/>
      <c r="BM207" s="22"/>
      <c r="BN207" s="22"/>
      <c r="BO207" s="19"/>
      <c r="BP207" s="20"/>
      <c r="BQ207" s="20"/>
      <c r="BR207" s="20"/>
      <c r="BS207" s="20"/>
      <c r="BT207" s="21"/>
      <c r="BU207" s="22"/>
      <c r="BV207" s="22"/>
      <c r="BW207" s="22"/>
      <c r="BX207" s="22"/>
      <c r="BY207" s="23"/>
      <c r="BZ207" s="24"/>
      <c r="CA207" s="24"/>
      <c r="CB207" s="24"/>
      <c r="CC207" s="24"/>
      <c r="CD207" s="25"/>
      <c r="CE207" s="26"/>
      <c r="CF207" s="26"/>
      <c r="CG207" s="26"/>
      <c r="CH207" s="26"/>
      <c r="CI207" s="27"/>
      <c r="CJ207" s="28"/>
      <c r="CK207" s="28"/>
      <c r="CL207" s="28"/>
      <c r="CM207" s="28"/>
      <c r="CN207" s="25"/>
      <c r="CO207" s="26"/>
      <c r="CP207" s="26"/>
      <c r="CQ207" s="26"/>
      <c r="CR207" s="26"/>
      <c r="CS207" s="27"/>
      <c r="CT207" s="28"/>
      <c r="CU207" s="28"/>
      <c r="CV207" s="28"/>
      <c r="CW207" s="28"/>
      <c r="CX207" s="25"/>
      <c r="CY207" s="26"/>
      <c r="CZ207" s="26"/>
      <c r="DA207" s="26"/>
      <c r="DB207" s="26"/>
      <c r="DC207" s="27"/>
      <c r="DD207" s="28"/>
      <c r="DE207" s="28"/>
      <c r="DF207" s="28"/>
      <c r="DG207" s="28"/>
      <c r="DH207" s="25"/>
      <c r="DI207" s="26"/>
      <c r="DJ207" s="26"/>
      <c r="DK207" s="26"/>
      <c r="DL207" s="26"/>
      <c r="DM207" s="27"/>
      <c r="DN207" s="28"/>
      <c r="DO207" s="28"/>
      <c r="DP207" s="28"/>
      <c r="DQ207" s="28"/>
      <c r="DR207" s="25"/>
      <c r="DS207" s="26"/>
      <c r="DT207" s="26"/>
      <c r="DU207" s="26"/>
      <c r="DV207" s="26"/>
      <c r="DW207" s="27"/>
      <c r="DX207" s="28"/>
      <c r="DY207" s="28"/>
      <c r="DZ207" s="28"/>
      <c r="EA207" s="28"/>
      <c r="EB207" s="29"/>
      <c r="EC207" s="30"/>
      <c r="ED207" s="30"/>
      <c r="EE207" s="30"/>
      <c r="EF207" s="30"/>
      <c r="EG207" s="31"/>
      <c r="EH207" s="32"/>
      <c r="EI207" s="32"/>
      <c r="EJ207" s="32"/>
      <c r="EK207" s="32"/>
      <c r="EL207" s="29"/>
      <c r="EM207" s="30"/>
      <c r="EN207" s="30"/>
      <c r="EO207" s="30"/>
      <c r="EP207" s="30"/>
      <c r="EQ207" s="31"/>
      <c r="ER207" s="32"/>
      <c r="ES207" s="32"/>
      <c r="ET207" s="32"/>
      <c r="EU207" s="32"/>
      <c r="EV207" s="29"/>
      <c r="EW207" s="30"/>
      <c r="EX207" s="30"/>
      <c r="EY207" s="30"/>
      <c r="EZ207" s="30"/>
      <c r="FA207" s="31"/>
      <c r="FB207" s="32"/>
      <c r="FC207" s="32"/>
      <c r="FD207" s="32"/>
      <c r="FE207" s="32"/>
      <c r="FF207" s="29"/>
      <c r="FG207" s="30"/>
      <c r="FH207" s="30"/>
      <c r="FI207" s="30"/>
      <c r="FJ207" s="30"/>
      <c r="FK207" s="31"/>
      <c r="FL207" s="32"/>
      <c r="FM207" s="32"/>
      <c r="FN207" s="32"/>
      <c r="FO207" s="32"/>
      <c r="FP207" s="29"/>
      <c r="FQ207" s="30"/>
      <c r="FR207" s="30"/>
      <c r="FS207" s="30"/>
      <c r="FT207" s="30"/>
      <c r="FU207" s="31"/>
      <c r="FV207" s="32"/>
      <c r="FW207" s="32"/>
      <c r="FX207" s="32"/>
      <c r="FY207" s="32"/>
      <c r="FZ207" s="29"/>
      <c r="GA207" s="30"/>
      <c r="GB207" s="30"/>
      <c r="GC207" s="30"/>
      <c r="GD207" s="30"/>
    </row>
    <row r="208" spans="1:186" ht="48" x14ac:dyDescent="0.25">
      <c r="A208" s="156">
        <v>199</v>
      </c>
      <c r="B208" s="395">
        <f>'Tier 3 Intervention'!B803</f>
        <v>0</v>
      </c>
      <c r="C208" s="395"/>
      <c r="D208" s="395"/>
      <c r="E208" s="395"/>
      <c r="F208" s="395"/>
      <c r="G208" s="395"/>
      <c r="H208" s="761" t="e">
        <f>'Tier 3 Intervention'!AA803+30</f>
        <v>#VALUE!</v>
      </c>
      <c r="I208" s="761"/>
      <c r="J208" s="762" t="e">
        <f t="shared" si="4"/>
        <v>#VALUE!</v>
      </c>
      <c r="K208" s="395"/>
      <c r="L208" s="47" t="s">
        <v>985</v>
      </c>
      <c r="M208" s="46"/>
      <c r="N208" s="46"/>
      <c r="O208" s="46"/>
      <c r="P208" s="49"/>
      <c r="Q208" s="19"/>
      <c r="R208" s="20"/>
      <c r="S208" s="20"/>
      <c r="T208" s="20"/>
      <c r="U208" s="20"/>
      <c r="V208" s="21"/>
      <c r="W208" s="22"/>
      <c r="X208" s="22"/>
      <c r="Y208" s="22"/>
      <c r="Z208" s="22"/>
      <c r="AA208" s="19"/>
      <c r="AB208" s="20"/>
      <c r="AC208" s="20"/>
      <c r="AD208" s="20"/>
      <c r="AE208" s="20"/>
      <c r="AF208" s="21"/>
      <c r="AG208" s="22"/>
      <c r="AH208" s="22"/>
      <c r="AI208" s="22"/>
      <c r="AJ208" s="22"/>
      <c r="AK208" s="19"/>
      <c r="AL208" s="20"/>
      <c r="AM208" s="20"/>
      <c r="AN208" s="20"/>
      <c r="AO208" s="20"/>
      <c r="AP208" s="21"/>
      <c r="AQ208" s="22"/>
      <c r="AR208" s="22"/>
      <c r="AS208" s="22"/>
      <c r="AT208" s="22"/>
      <c r="AU208" s="19"/>
      <c r="AV208" s="20"/>
      <c r="AW208" s="20"/>
      <c r="AX208" s="20"/>
      <c r="AY208" s="20"/>
      <c r="AZ208" s="21"/>
      <c r="BA208" s="22"/>
      <c r="BB208" s="22"/>
      <c r="BC208" s="22"/>
      <c r="BD208" s="22"/>
      <c r="BE208" s="19"/>
      <c r="BF208" s="20"/>
      <c r="BG208" s="20"/>
      <c r="BH208" s="20"/>
      <c r="BI208" s="20"/>
      <c r="BJ208" s="21"/>
      <c r="BK208" s="22"/>
      <c r="BL208" s="22"/>
      <c r="BM208" s="22"/>
      <c r="BN208" s="22"/>
      <c r="BO208" s="19"/>
      <c r="BP208" s="20"/>
      <c r="BQ208" s="20"/>
      <c r="BR208" s="20"/>
      <c r="BS208" s="20"/>
      <c r="BT208" s="21"/>
      <c r="BU208" s="22"/>
      <c r="BV208" s="22"/>
      <c r="BW208" s="22"/>
      <c r="BX208" s="22"/>
      <c r="BY208" s="23"/>
      <c r="BZ208" s="24"/>
      <c r="CA208" s="24"/>
      <c r="CB208" s="24"/>
      <c r="CC208" s="24"/>
      <c r="CD208" s="25"/>
      <c r="CE208" s="26"/>
      <c r="CF208" s="26"/>
      <c r="CG208" s="26"/>
      <c r="CH208" s="26"/>
      <c r="CI208" s="27"/>
      <c r="CJ208" s="28"/>
      <c r="CK208" s="28"/>
      <c r="CL208" s="28"/>
      <c r="CM208" s="28"/>
      <c r="CN208" s="25"/>
      <c r="CO208" s="26"/>
      <c r="CP208" s="26"/>
      <c r="CQ208" s="26"/>
      <c r="CR208" s="26"/>
      <c r="CS208" s="27"/>
      <c r="CT208" s="28"/>
      <c r="CU208" s="28"/>
      <c r="CV208" s="28"/>
      <c r="CW208" s="28"/>
      <c r="CX208" s="25"/>
      <c r="CY208" s="26"/>
      <c r="CZ208" s="26"/>
      <c r="DA208" s="26"/>
      <c r="DB208" s="26"/>
      <c r="DC208" s="27"/>
      <c r="DD208" s="28"/>
      <c r="DE208" s="28"/>
      <c r="DF208" s="28"/>
      <c r="DG208" s="28"/>
      <c r="DH208" s="25"/>
      <c r="DI208" s="26"/>
      <c r="DJ208" s="26"/>
      <c r="DK208" s="26"/>
      <c r="DL208" s="26"/>
      <c r="DM208" s="27"/>
      <c r="DN208" s="28"/>
      <c r="DO208" s="28"/>
      <c r="DP208" s="28"/>
      <c r="DQ208" s="28"/>
      <c r="DR208" s="25"/>
      <c r="DS208" s="26"/>
      <c r="DT208" s="26"/>
      <c r="DU208" s="26"/>
      <c r="DV208" s="26"/>
      <c r="DW208" s="27"/>
      <c r="DX208" s="28"/>
      <c r="DY208" s="28"/>
      <c r="DZ208" s="28"/>
      <c r="EA208" s="28"/>
      <c r="EB208" s="29"/>
      <c r="EC208" s="30"/>
      <c r="ED208" s="30"/>
      <c r="EE208" s="30"/>
      <c r="EF208" s="30"/>
      <c r="EG208" s="31"/>
      <c r="EH208" s="32"/>
      <c r="EI208" s="32"/>
      <c r="EJ208" s="32"/>
      <c r="EK208" s="32"/>
      <c r="EL208" s="29"/>
      <c r="EM208" s="30"/>
      <c r="EN208" s="30"/>
      <c r="EO208" s="30"/>
      <c r="EP208" s="30"/>
      <c r="EQ208" s="31"/>
      <c r="ER208" s="32"/>
      <c r="ES208" s="32"/>
      <c r="ET208" s="32"/>
      <c r="EU208" s="32"/>
      <c r="EV208" s="29"/>
      <c r="EW208" s="30"/>
      <c r="EX208" s="30"/>
      <c r="EY208" s="30"/>
      <c r="EZ208" s="30"/>
      <c r="FA208" s="31"/>
      <c r="FB208" s="32"/>
      <c r="FC208" s="32"/>
      <c r="FD208" s="32"/>
      <c r="FE208" s="32"/>
      <c r="FF208" s="29"/>
      <c r="FG208" s="30"/>
      <c r="FH208" s="30"/>
      <c r="FI208" s="30"/>
      <c r="FJ208" s="30"/>
      <c r="FK208" s="31"/>
      <c r="FL208" s="32"/>
      <c r="FM208" s="32"/>
      <c r="FN208" s="32"/>
      <c r="FO208" s="32"/>
      <c r="FP208" s="29"/>
      <c r="FQ208" s="30"/>
      <c r="FR208" s="30"/>
      <c r="FS208" s="30"/>
      <c r="FT208" s="30"/>
      <c r="FU208" s="31"/>
      <c r="FV208" s="32"/>
      <c r="FW208" s="32"/>
      <c r="FX208" s="32"/>
      <c r="FY208" s="32"/>
      <c r="FZ208" s="29"/>
      <c r="GA208" s="30"/>
      <c r="GB208" s="30"/>
      <c r="GC208" s="30"/>
      <c r="GD208" s="30"/>
    </row>
    <row r="209" spans="1:186" ht="48" x14ac:dyDescent="0.25">
      <c r="A209" s="156">
        <v>200</v>
      </c>
      <c r="B209" s="395">
        <f>'Tier 3 Intervention'!B807</f>
        <v>0</v>
      </c>
      <c r="C209" s="395"/>
      <c r="D209" s="395"/>
      <c r="E209" s="395"/>
      <c r="F209" s="395"/>
      <c r="G209" s="395"/>
      <c r="H209" s="761" t="e">
        <f>'Tier 3 Intervention'!AA807+30</f>
        <v>#VALUE!</v>
      </c>
      <c r="I209" s="761"/>
      <c r="J209" s="762" t="e">
        <f t="shared" si="4"/>
        <v>#VALUE!</v>
      </c>
      <c r="K209" s="395"/>
      <c r="L209" s="47" t="s">
        <v>986</v>
      </c>
      <c r="M209" s="46"/>
      <c r="N209" s="46"/>
      <c r="O209" s="46"/>
      <c r="P209" s="49"/>
      <c r="Q209" s="19"/>
      <c r="R209" s="20"/>
      <c r="S209" s="20"/>
      <c r="T209" s="20"/>
      <c r="U209" s="20"/>
      <c r="V209" s="21"/>
      <c r="W209" s="22"/>
      <c r="X209" s="22"/>
      <c r="Y209" s="22"/>
      <c r="Z209" s="22"/>
      <c r="AA209" s="19"/>
      <c r="AB209" s="20"/>
      <c r="AC209" s="20"/>
      <c r="AD209" s="20"/>
      <c r="AE209" s="20"/>
      <c r="AF209" s="21"/>
      <c r="AG209" s="22"/>
      <c r="AH209" s="22"/>
      <c r="AI209" s="22"/>
      <c r="AJ209" s="22"/>
      <c r="AK209" s="19"/>
      <c r="AL209" s="20"/>
      <c r="AM209" s="20"/>
      <c r="AN209" s="20"/>
      <c r="AO209" s="20"/>
      <c r="AP209" s="21"/>
      <c r="AQ209" s="22"/>
      <c r="AR209" s="22"/>
      <c r="AS209" s="22"/>
      <c r="AT209" s="22"/>
      <c r="AU209" s="19"/>
      <c r="AV209" s="20"/>
      <c r="AW209" s="20"/>
      <c r="AX209" s="20"/>
      <c r="AY209" s="20"/>
      <c r="AZ209" s="21"/>
      <c r="BA209" s="22"/>
      <c r="BB209" s="22"/>
      <c r="BC209" s="22"/>
      <c r="BD209" s="22"/>
      <c r="BE209" s="19"/>
      <c r="BF209" s="20"/>
      <c r="BG209" s="20"/>
      <c r="BH209" s="20"/>
      <c r="BI209" s="20"/>
      <c r="BJ209" s="21"/>
      <c r="BK209" s="22"/>
      <c r="BL209" s="22"/>
      <c r="BM209" s="22"/>
      <c r="BN209" s="22"/>
      <c r="BO209" s="19"/>
      <c r="BP209" s="20"/>
      <c r="BQ209" s="20"/>
      <c r="BR209" s="20"/>
      <c r="BS209" s="20"/>
      <c r="BT209" s="21"/>
      <c r="BU209" s="22"/>
      <c r="BV209" s="22"/>
      <c r="BW209" s="22"/>
      <c r="BX209" s="22"/>
      <c r="BY209" s="23"/>
      <c r="BZ209" s="24"/>
      <c r="CA209" s="24"/>
      <c r="CB209" s="24"/>
      <c r="CC209" s="24"/>
      <c r="CD209" s="25"/>
      <c r="CE209" s="26"/>
      <c r="CF209" s="26"/>
      <c r="CG209" s="26"/>
      <c r="CH209" s="26"/>
      <c r="CI209" s="27"/>
      <c r="CJ209" s="28"/>
      <c r="CK209" s="28"/>
      <c r="CL209" s="28"/>
      <c r="CM209" s="28"/>
      <c r="CN209" s="25"/>
      <c r="CO209" s="26"/>
      <c r="CP209" s="26"/>
      <c r="CQ209" s="26"/>
      <c r="CR209" s="26"/>
      <c r="CS209" s="27"/>
      <c r="CT209" s="28"/>
      <c r="CU209" s="28"/>
      <c r="CV209" s="28"/>
      <c r="CW209" s="28"/>
      <c r="CX209" s="25"/>
      <c r="CY209" s="26"/>
      <c r="CZ209" s="26"/>
      <c r="DA209" s="26"/>
      <c r="DB209" s="26"/>
      <c r="DC209" s="27"/>
      <c r="DD209" s="28"/>
      <c r="DE209" s="28"/>
      <c r="DF209" s="28"/>
      <c r="DG209" s="28"/>
      <c r="DH209" s="25"/>
      <c r="DI209" s="26"/>
      <c r="DJ209" s="26"/>
      <c r="DK209" s="26"/>
      <c r="DL209" s="26"/>
      <c r="DM209" s="27"/>
      <c r="DN209" s="28"/>
      <c r="DO209" s="28"/>
      <c r="DP209" s="28"/>
      <c r="DQ209" s="28"/>
      <c r="DR209" s="25"/>
      <c r="DS209" s="26"/>
      <c r="DT209" s="26"/>
      <c r="DU209" s="26"/>
      <c r="DV209" s="26"/>
      <c r="DW209" s="27"/>
      <c r="DX209" s="28"/>
      <c r="DY209" s="28"/>
      <c r="DZ209" s="28"/>
      <c r="EA209" s="28"/>
      <c r="EB209" s="29"/>
      <c r="EC209" s="30"/>
      <c r="ED209" s="30"/>
      <c r="EE209" s="30"/>
      <c r="EF209" s="30"/>
      <c r="EG209" s="31"/>
      <c r="EH209" s="32"/>
      <c r="EI209" s="32"/>
      <c r="EJ209" s="32"/>
      <c r="EK209" s="32"/>
      <c r="EL209" s="29"/>
      <c r="EM209" s="30"/>
      <c r="EN209" s="30"/>
      <c r="EO209" s="30"/>
      <c r="EP209" s="30"/>
      <c r="EQ209" s="31"/>
      <c r="ER209" s="32"/>
      <c r="ES209" s="32"/>
      <c r="ET209" s="32"/>
      <c r="EU209" s="32"/>
      <c r="EV209" s="29"/>
      <c r="EW209" s="30"/>
      <c r="EX209" s="30"/>
      <c r="EY209" s="30"/>
      <c r="EZ209" s="30"/>
      <c r="FA209" s="31"/>
      <c r="FB209" s="32"/>
      <c r="FC209" s="32"/>
      <c r="FD209" s="32"/>
      <c r="FE209" s="32"/>
      <c r="FF209" s="29"/>
      <c r="FG209" s="30"/>
      <c r="FH209" s="30"/>
      <c r="FI209" s="30"/>
      <c r="FJ209" s="30"/>
      <c r="FK209" s="31"/>
      <c r="FL209" s="32"/>
      <c r="FM209" s="32"/>
      <c r="FN209" s="32"/>
      <c r="FO209" s="32"/>
      <c r="FP209" s="29"/>
      <c r="FQ209" s="30"/>
      <c r="FR209" s="30"/>
      <c r="FS209" s="30"/>
      <c r="FT209" s="30"/>
      <c r="FU209" s="31"/>
      <c r="FV209" s="32"/>
      <c r="FW209" s="32"/>
      <c r="FX209" s="32"/>
      <c r="FY209" s="32"/>
      <c r="FZ209" s="29"/>
      <c r="GA209" s="30"/>
      <c r="GB209" s="30"/>
      <c r="GC209" s="30"/>
      <c r="GD209" s="30"/>
    </row>
    <row r="210" spans="1:186" ht="48" x14ac:dyDescent="0.25">
      <c r="A210" s="156">
        <v>201</v>
      </c>
      <c r="B210" s="395">
        <f>'Tier 3 Intervention'!B811</f>
        <v>0</v>
      </c>
      <c r="C210" s="395"/>
      <c r="D210" s="395"/>
      <c r="E210" s="395"/>
      <c r="F210" s="395"/>
      <c r="G210" s="395"/>
      <c r="H210" s="761" t="e">
        <f>'Tier 3 Intervention'!AA811+30</f>
        <v>#VALUE!</v>
      </c>
      <c r="I210" s="761"/>
      <c r="J210" s="762" t="e">
        <f t="shared" si="4"/>
        <v>#VALUE!</v>
      </c>
      <c r="K210" s="395"/>
      <c r="L210" s="47" t="s">
        <v>987</v>
      </c>
      <c r="M210" s="46"/>
      <c r="N210" s="46"/>
      <c r="O210" s="46"/>
      <c r="P210" s="49"/>
      <c r="Q210" s="19"/>
      <c r="R210" s="20"/>
      <c r="S210" s="20"/>
      <c r="T210" s="20"/>
      <c r="U210" s="20"/>
      <c r="V210" s="21"/>
      <c r="W210" s="22"/>
      <c r="X210" s="22"/>
      <c r="Y210" s="22"/>
      <c r="Z210" s="22"/>
      <c r="AA210" s="19"/>
      <c r="AB210" s="20"/>
      <c r="AC210" s="20"/>
      <c r="AD210" s="20"/>
      <c r="AE210" s="20"/>
      <c r="AF210" s="21"/>
      <c r="AG210" s="22"/>
      <c r="AH210" s="22"/>
      <c r="AI210" s="22"/>
      <c r="AJ210" s="22"/>
      <c r="AK210" s="19"/>
      <c r="AL210" s="20"/>
      <c r="AM210" s="20"/>
      <c r="AN210" s="20"/>
      <c r="AO210" s="20"/>
      <c r="AP210" s="21"/>
      <c r="AQ210" s="22"/>
      <c r="AR210" s="22"/>
      <c r="AS210" s="22"/>
      <c r="AT210" s="22"/>
      <c r="AU210" s="19"/>
      <c r="AV210" s="20"/>
      <c r="AW210" s="20"/>
      <c r="AX210" s="20"/>
      <c r="AY210" s="20"/>
      <c r="AZ210" s="21"/>
      <c r="BA210" s="22"/>
      <c r="BB210" s="22"/>
      <c r="BC210" s="22"/>
      <c r="BD210" s="22"/>
      <c r="BE210" s="19"/>
      <c r="BF210" s="20"/>
      <c r="BG210" s="20"/>
      <c r="BH210" s="20"/>
      <c r="BI210" s="20"/>
      <c r="BJ210" s="21"/>
      <c r="BK210" s="22"/>
      <c r="BL210" s="22"/>
      <c r="BM210" s="22"/>
      <c r="BN210" s="22"/>
      <c r="BO210" s="19"/>
      <c r="BP210" s="20"/>
      <c r="BQ210" s="20"/>
      <c r="BR210" s="20"/>
      <c r="BS210" s="20"/>
      <c r="BT210" s="21"/>
      <c r="BU210" s="22"/>
      <c r="BV210" s="22"/>
      <c r="BW210" s="22"/>
      <c r="BX210" s="22"/>
      <c r="BY210" s="23"/>
      <c r="BZ210" s="24"/>
      <c r="CA210" s="24"/>
      <c r="CB210" s="24"/>
      <c r="CC210" s="24"/>
      <c r="CD210" s="25"/>
      <c r="CE210" s="26"/>
      <c r="CF210" s="26"/>
      <c r="CG210" s="26"/>
      <c r="CH210" s="26"/>
      <c r="CI210" s="27"/>
      <c r="CJ210" s="28"/>
      <c r="CK210" s="28"/>
      <c r="CL210" s="28"/>
      <c r="CM210" s="28"/>
      <c r="CN210" s="25"/>
      <c r="CO210" s="26"/>
      <c r="CP210" s="26"/>
      <c r="CQ210" s="26"/>
      <c r="CR210" s="26"/>
      <c r="CS210" s="27"/>
      <c r="CT210" s="28"/>
      <c r="CU210" s="28"/>
      <c r="CV210" s="28"/>
      <c r="CW210" s="28"/>
      <c r="CX210" s="25"/>
      <c r="CY210" s="26"/>
      <c r="CZ210" s="26"/>
      <c r="DA210" s="26"/>
      <c r="DB210" s="26"/>
      <c r="DC210" s="27"/>
      <c r="DD210" s="28"/>
      <c r="DE210" s="28"/>
      <c r="DF210" s="28"/>
      <c r="DG210" s="28"/>
      <c r="DH210" s="25"/>
      <c r="DI210" s="26"/>
      <c r="DJ210" s="26"/>
      <c r="DK210" s="26"/>
      <c r="DL210" s="26"/>
      <c r="DM210" s="27"/>
      <c r="DN210" s="28"/>
      <c r="DO210" s="28"/>
      <c r="DP210" s="28"/>
      <c r="DQ210" s="28"/>
      <c r="DR210" s="25"/>
      <c r="DS210" s="26"/>
      <c r="DT210" s="26"/>
      <c r="DU210" s="26"/>
      <c r="DV210" s="26"/>
      <c r="DW210" s="27"/>
      <c r="DX210" s="28"/>
      <c r="DY210" s="28"/>
      <c r="DZ210" s="28"/>
      <c r="EA210" s="28"/>
      <c r="EB210" s="29"/>
      <c r="EC210" s="30"/>
      <c r="ED210" s="30"/>
      <c r="EE210" s="30"/>
      <c r="EF210" s="30"/>
      <c r="EG210" s="31"/>
      <c r="EH210" s="32"/>
      <c r="EI210" s="32"/>
      <c r="EJ210" s="32"/>
      <c r="EK210" s="32"/>
      <c r="EL210" s="29"/>
      <c r="EM210" s="30"/>
      <c r="EN210" s="30"/>
      <c r="EO210" s="30"/>
      <c r="EP210" s="30"/>
      <c r="EQ210" s="31"/>
      <c r="ER210" s="32"/>
      <c r="ES210" s="32"/>
      <c r="ET210" s="32"/>
      <c r="EU210" s="32"/>
      <c r="EV210" s="29"/>
      <c r="EW210" s="30"/>
      <c r="EX210" s="30"/>
      <c r="EY210" s="30"/>
      <c r="EZ210" s="30"/>
      <c r="FA210" s="31"/>
      <c r="FB210" s="32"/>
      <c r="FC210" s="32"/>
      <c r="FD210" s="32"/>
      <c r="FE210" s="32"/>
      <c r="FF210" s="29"/>
      <c r="FG210" s="30"/>
      <c r="FH210" s="30"/>
      <c r="FI210" s="30"/>
      <c r="FJ210" s="30"/>
      <c r="FK210" s="31"/>
      <c r="FL210" s="32"/>
      <c r="FM210" s="32"/>
      <c r="FN210" s="32"/>
      <c r="FO210" s="32"/>
      <c r="FP210" s="29"/>
      <c r="FQ210" s="30"/>
      <c r="FR210" s="30"/>
      <c r="FS210" s="30"/>
      <c r="FT210" s="30"/>
      <c r="FU210" s="31"/>
      <c r="FV210" s="32"/>
      <c r="FW210" s="32"/>
      <c r="FX210" s="32"/>
      <c r="FY210" s="32"/>
      <c r="FZ210" s="29"/>
      <c r="GA210" s="30"/>
      <c r="GB210" s="30"/>
      <c r="GC210" s="30"/>
      <c r="GD210" s="30"/>
    </row>
    <row r="211" spans="1:186" ht="48" x14ac:dyDescent="0.25">
      <c r="A211" s="156">
        <v>202</v>
      </c>
      <c r="B211" s="395">
        <f>'Tier 3 Intervention'!B815</f>
        <v>0</v>
      </c>
      <c r="C211" s="395"/>
      <c r="D211" s="395"/>
      <c r="E211" s="395"/>
      <c r="F211" s="395"/>
      <c r="G211" s="395"/>
      <c r="H211" s="761" t="e">
        <f>'Tier 3 Intervention'!AA815+30</f>
        <v>#VALUE!</v>
      </c>
      <c r="I211" s="761"/>
      <c r="J211" s="762" t="e">
        <f t="shared" si="4"/>
        <v>#VALUE!</v>
      </c>
      <c r="K211" s="395"/>
      <c r="L211" s="47" t="s">
        <v>988</v>
      </c>
      <c r="M211" s="46"/>
      <c r="N211" s="46"/>
      <c r="O211" s="46"/>
      <c r="P211" s="49"/>
      <c r="Q211" s="19"/>
      <c r="R211" s="20"/>
      <c r="S211" s="20"/>
      <c r="T211" s="20"/>
      <c r="U211" s="20"/>
      <c r="V211" s="21"/>
      <c r="W211" s="22"/>
      <c r="X211" s="22"/>
      <c r="Y211" s="22"/>
      <c r="Z211" s="22"/>
      <c r="AA211" s="19"/>
      <c r="AB211" s="20"/>
      <c r="AC211" s="20"/>
      <c r="AD211" s="20"/>
      <c r="AE211" s="20"/>
      <c r="AF211" s="21"/>
      <c r="AG211" s="22"/>
      <c r="AH211" s="22"/>
      <c r="AI211" s="22"/>
      <c r="AJ211" s="22"/>
      <c r="AK211" s="19"/>
      <c r="AL211" s="20"/>
      <c r="AM211" s="20"/>
      <c r="AN211" s="20"/>
      <c r="AO211" s="20"/>
      <c r="AP211" s="21"/>
      <c r="AQ211" s="22"/>
      <c r="AR211" s="22"/>
      <c r="AS211" s="22"/>
      <c r="AT211" s="22"/>
      <c r="AU211" s="19"/>
      <c r="AV211" s="20"/>
      <c r="AW211" s="20"/>
      <c r="AX211" s="20"/>
      <c r="AY211" s="20"/>
      <c r="AZ211" s="21"/>
      <c r="BA211" s="22"/>
      <c r="BB211" s="22"/>
      <c r="BC211" s="22"/>
      <c r="BD211" s="22"/>
      <c r="BE211" s="19"/>
      <c r="BF211" s="20"/>
      <c r="BG211" s="20"/>
      <c r="BH211" s="20"/>
      <c r="BI211" s="20"/>
      <c r="BJ211" s="21"/>
      <c r="BK211" s="22"/>
      <c r="BL211" s="22"/>
      <c r="BM211" s="22"/>
      <c r="BN211" s="22"/>
      <c r="BO211" s="19"/>
      <c r="BP211" s="20"/>
      <c r="BQ211" s="20"/>
      <c r="BR211" s="20"/>
      <c r="BS211" s="20"/>
      <c r="BT211" s="21"/>
      <c r="BU211" s="22"/>
      <c r="BV211" s="22"/>
      <c r="BW211" s="22"/>
      <c r="BX211" s="22"/>
      <c r="BY211" s="23"/>
      <c r="BZ211" s="24"/>
      <c r="CA211" s="24"/>
      <c r="CB211" s="24"/>
      <c r="CC211" s="24"/>
      <c r="CD211" s="25"/>
      <c r="CE211" s="26"/>
      <c r="CF211" s="26"/>
      <c r="CG211" s="26"/>
      <c r="CH211" s="26"/>
      <c r="CI211" s="27"/>
      <c r="CJ211" s="28"/>
      <c r="CK211" s="28"/>
      <c r="CL211" s="28"/>
      <c r="CM211" s="28"/>
      <c r="CN211" s="25"/>
      <c r="CO211" s="26"/>
      <c r="CP211" s="26"/>
      <c r="CQ211" s="26"/>
      <c r="CR211" s="26"/>
      <c r="CS211" s="27"/>
      <c r="CT211" s="28"/>
      <c r="CU211" s="28"/>
      <c r="CV211" s="28"/>
      <c r="CW211" s="28"/>
      <c r="CX211" s="25"/>
      <c r="CY211" s="26"/>
      <c r="CZ211" s="26"/>
      <c r="DA211" s="26"/>
      <c r="DB211" s="26"/>
      <c r="DC211" s="27"/>
      <c r="DD211" s="28"/>
      <c r="DE211" s="28"/>
      <c r="DF211" s="28"/>
      <c r="DG211" s="28"/>
      <c r="DH211" s="25"/>
      <c r="DI211" s="26"/>
      <c r="DJ211" s="26"/>
      <c r="DK211" s="26"/>
      <c r="DL211" s="26"/>
      <c r="DM211" s="27"/>
      <c r="DN211" s="28"/>
      <c r="DO211" s="28"/>
      <c r="DP211" s="28"/>
      <c r="DQ211" s="28"/>
      <c r="DR211" s="25"/>
      <c r="DS211" s="26"/>
      <c r="DT211" s="26"/>
      <c r="DU211" s="26"/>
      <c r="DV211" s="26"/>
      <c r="DW211" s="27"/>
      <c r="DX211" s="28"/>
      <c r="DY211" s="28"/>
      <c r="DZ211" s="28"/>
      <c r="EA211" s="28"/>
      <c r="EB211" s="29"/>
      <c r="EC211" s="30"/>
      <c r="ED211" s="30"/>
      <c r="EE211" s="30"/>
      <c r="EF211" s="30"/>
      <c r="EG211" s="31"/>
      <c r="EH211" s="32"/>
      <c r="EI211" s="32"/>
      <c r="EJ211" s="32"/>
      <c r="EK211" s="32"/>
      <c r="EL211" s="29"/>
      <c r="EM211" s="30"/>
      <c r="EN211" s="30"/>
      <c r="EO211" s="30"/>
      <c r="EP211" s="30"/>
      <c r="EQ211" s="31"/>
      <c r="ER211" s="32"/>
      <c r="ES211" s="32"/>
      <c r="ET211" s="32"/>
      <c r="EU211" s="32"/>
      <c r="EV211" s="29"/>
      <c r="EW211" s="30"/>
      <c r="EX211" s="30"/>
      <c r="EY211" s="30"/>
      <c r="EZ211" s="30"/>
      <c r="FA211" s="31"/>
      <c r="FB211" s="32"/>
      <c r="FC211" s="32"/>
      <c r="FD211" s="32"/>
      <c r="FE211" s="32"/>
      <c r="FF211" s="29"/>
      <c r="FG211" s="30"/>
      <c r="FH211" s="30"/>
      <c r="FI211" s="30"/>
      <c r="FJ211" s="30"/>
      <c r="FK211" s="31"/>
      <c r="FL211" s="32"/>
      <c r="FM211" s="32"/>
      <c r="FN211" s="32"/>
      <c r="FO211" s="32"/>
      <c r="FP211" s="29"/>
      <c r="FQ211" s="30"/>
      <c r="FR211" s="30"/>
      <c r="FS211" s="30"/>
      <c r="FT211" s="30"/>
      <c r="FU211" s="31"/>
      <c r="FV211" s="32"/>
      <c r="FW211" s="32"/>
      <c r="FX211" s="32"/>
      <c r="FY211" s="32"/>
      <c r="FZ211" s="29"/>
      <c r="GA211" s="30"/>
      <c r="GB211" s="30"/>
      <c r="GC211" s="30"/>
      <c r="GD211" s="30"/>
    </row>
    <row r="212" spans="1:186" ht="48" x14ac:dyDescent="0.25">
      <c r="A212" s="156">
        <v>203</v>
      </c>
      <c r="B212" s="395">
        <f>'Tier 3 Intervention'!B819</f>
        <v>0</v>
      </c>
      <c r="C212" s="395"/>
      <c r="D212" s="395"/>
      <c r="E212" s="395"/>
      <c r="F212" s="395"/>
      <c r="G212" s="395"/>
      <c r="H212" s="761" t="e">
        <f>'Tier 3 Intervention'!AA819+30</f>
        <v>#VALUE!</v>
      </c>
      <c r="I212" s="761"/>
      <c r="J212" s="762" t="e">
        <f t="shared" si="4"/>
        <v>#VALUE!</v>
      </c>
      <c r="K212" s="395"/>
      <c r="L212" s="47" t="s">
        <v>989</v>
      </c>
      <c r="M212" s="46"/>
      <c r="N212" s="46"/>
      <c r="O212" s="46"/>
      <c r="P212" s="49"/>
      <c r="Q212" s="19"/>
      <c r="R212" s="20"/>
      <c r="S212" s="20"/>
      <c r="T212" s="20"/>
      <c r="U212" s="20"/>
      <c r="V212" s="21"/>
      <c r="W212" s="22"/>
      <c r="X212" s="22"/>
      <c r="Y212" s="22"/>
      <c r="Z212" s="22"/>
      <c r="AA212" s="19"/>
      <c r="AB212" s="20"/>
      <c r="AC212" s="20"/>
      <c r="AD212" s="20"/>
      <c r="AE212" s="20"/>
      <c r="AF212" s="21"/>
      <c r="AG212" s="22"/>
      <c r="AH212" s="22"/>
      <c r="AI212" s="22"/>
      <c r="AJ212" s="22"/>
      <c r="AK212" s="19"/>
      <c r="AL212" s="20"/>
      <c r="AM212" s="20"/>
      <c r="AN212" s="20"/>
      <c r="AO212" s="20"/>
      <c r="AP212" s="21"/>
      <c r="AQ212" s="22"/>
      <c r="AR212" s="22"/>
      <c r="AS212" s="22"/>
      <c r="AT212" s="22"/>
      <c r="AU212" s="19"/>
      <c r="AV212" s="20"/>
      <c r="AW212" s="20"/>
      <c r="AX212" s="20"/>
      <c r="AY212" s="20"/>
      <c r="AZ212" s="21"/>
      <c r="BA212" s="22"/>
      <c r="BB212" s="22"/>
      <c r="BC212" s="22"/>
      <c r="BD212" s="22"/>
      <c r="BE212" s="19"/>
      <c r="BF212" s="20"/>
      <c r="BG212" s="20"/>
      <c r="BH212" s="20"/>
      <c r="BI212" s="20"/>
      <c r="BJ212" s="21"/>
      <c r="BK212" s="22"/>
      <c r="BL212" s="22"/>
      <c r="BM212" s="22"/>
      <c r="BN212" s="22"/>
      <c r="BO212" s="19"/>
      <c r="BP212" s="20"/>
      <c r="BQ212" s="20"/>
      <c r="BR212" s="20"/>
      <c r="BS212" s="20"/>
      <c r="BT212" s="21"/>
      <c r="BU212" s="22"/>
      <c r="BV212" s="22"/>
      <c r="BW212" s="22"/>
      <c r="BX212" s="22"/>
      <c r="BY212" s="23"/>
      <c r="BZ212" s="24"/>
      <c r="CA212" s="24"/>
      <c r="CB212" s="24"/>
      <c r="CC212" s="24"/>
      <c r="CD212" s="25"/>
      <c r="CE212" s="26"/>
      <c r="CF212" s="26"/>
      <c r="CG212" s="26"/>
      <c r="CH212" s="26"/>
      <c r="CI212" s="27"/>
      <c r="CJ212" s="28"/>
      <c r="CK212" s="28"/>
      <c r="CL212" s="28"/>
      <c r="CM212" s="28"/>
      <c r="CN212" s="25"/>
      <c r="CO212" s="26"/>
      <c r="CP212" s="26"/>
      <c r="CQ212" s="26"/>
      <c r="CR212" s="26"/>
      <c r="CS212" s="27"/>
      <c r="CT212" s="28"/>
      <c r="CU212" s="28"/>
      <c r="CV212" s="28"/>
      <c r="CW212" s="28"/>
      <c r="CX212" s="25"/>
      <c r="CY212" s="26"/>
      <c r="CZ212" s="26"/>
      <c r="DA212" s="26"/>
      <c r="DB212" s="26"/>
      <c r="DC212" s="27"/>
      <c r="DD212" s="28"/>
      <c r="DE212" s="28"/>
      <c r="DF212" s="28"/>
      <c r="DG212" s="28"/>
      <c r="DH212" s="25"/>
      <c r="DI212" s="26"/>
      <c r="DJ212" s="26"/>
      <c r="DK212" s="26"/>
      <c r="DL212" s="26"/>
      <c r="DM212" s="27"/>
      <c r="DN212" s="28"/>
      <c r="DO212" s="28"/>
      <c r="DP212" s="28"/>
      <c r="DQ212" s="28"/>
      <c r="DR212" s="25"/>
      <c r="DS212" s="26"/>
      <c r="DT212" s="26"/>
      <c r="DU212" s="26"/>
      <c r="DV212" s="26"/>
      <c r="DW212" s="27"/>
      <c r="DX212" s="28"/>
      <c r="DY212" s="28"/>
      <c r="DZ212" s="28"/>
      <c r="EA212" s="28"/>
      <c r="EB212" s="29"/>
      <c r="EC212" s="30"/>
      <c r="ED212" s="30"/>
      <c r="EE212" s="30"/>
      <c r="EF212" s="30"/>
      <c r="EG212" s="31"/>
      <c r="EH212" s="32"/>
      <c r="EI212" s="32"/>
      <c r="EJ212" s="32"/>
      <c r="EK212" s="32"/>
      <c r="EL212" s="29"/>
      <c r="EM212" s="30"/>
      <c r="EN212" s="30"/>
      <c r="EO212" s="30"/>
      <c r="EP212" s="30"/>
      <c r="EQ212" s="31"/>
      <c r="ER212" s="32"/>
      <c r="ES212" s="32"/>
      <c r="ET212" s="32"/>
      <c r="EU212" s="32"/>
      <c r="EV212" s="29"/>
      <c r="EW212" s="30"/>
      <c r="EX212" s="30"/>
      <c r="EY212" s="30"/>
      <c r="EZ212" s="30"/>
      <c r="FA212" s="31"/>
      <c r="FB212" s="32"/>
      <c r="FC212" s="32"/>
      <c r="FD212" s="32"/>
      <c r="FE212" s="32"/>
      <c r="FF212" s="29"/>
      <c r="FG212" s="30"/>
      <c r="FH212" s="30"/>
      <c r="FI212" s="30"/>
      <c r="FJ212" s="30"/>
      <c r="FK212" s="31"/>
      <c r="FL212" s="32"/>
      <c r="FM212" s="32"/>
      <c r="FN212" s="32"/>
      <c r="FO212" s="32"/>
      <c r="FP212" s="29"/>
      <c r="FQ212" s="30"/>
      <c r="FR212" s="30"/>
      <c r="FS212" s="30"/>
      <c r="FT212" s="30"/>
      <c r="FU212" s="31"/>
      <c r="FV212" s="32"/>
      <c r="FW212" s="32"/>
      <c r="FX212" s="32"/>
      <c r="FY212" s="32"/>
      <c r="FZ212" s="29"/>
      <c r="GA212" s="30"/>
      <c r="GB212" s="30"/>
      <c r="GC212" s="30"/>
      <c r="GD212" s="30"/>
    </row>
    <row r="213" spans="1:186" ht="48" x14ac:dyDescent="0.25">
      <c r="A213" s="156">
        <v>204</v>
      </c>
      <c r="B213" s="395">
        <f>'Tier 3 Intervention'!B823</f>
        <v>0</v>
      </c>
      <c r="C213" s="395"/>
      <c r="D213" s="395"/>
      <c r="E213" s="395"/>
      <c r="F213" s="395"/>
      <c r="G213" s="395"/>
      <c r="H213" s="761" t="e">
        <f>'Tier 3 Intervention'!AA823+30</f>
        <v>#VALUE!</v>
      </c>
      <c r="I213" s="761"/>
      <c r="J213" s="762" t="e">
        <f t="shared" si="4"/>
        <v>#VALUE!</v>
      </c>
      <c r="K213" s="395"/>
      <c r="L213" s="47" t="s">
        <v>990</v>
      </c>
      <c r="M213" s="46"/>
      <c r="N213" s="46"/>
      <c r="O213" s="46"/>
      <c r="P213" s="49"/>
      <c r="Q213" s="19"/>
      <c r="R213" s="20"/>
      <c r="S213" s="20"/>
      <c r="T213" s="20"/>
      <c r="U213" s="20"/>
      <c r="V213" s="21"/>
      <c r="W213" s="22"/>
      <c r="X213" s="22"/>
      <c r="Y213" s="22"/>
      <c r="Z213" s="22"/>
      <c r="AA213" s="19"/>
      <c r="AB213" s="20"/>
      <c r="AC213" s="20"/>
      <c r="AD213" s="20"/>
      <c r="AE213" s="20"/>
      <c r="AF213" s="21"/>
      <c r="AG213" s="22"/>
      <c r="AH213" s="22"/>
      <c r="AI213" s="22"/>
      <c r="AJ213" s="22"/>
      <c r="AK213" s="19"/>
      <c r="AL213" s="20"/>
      <c r="AM213" s="20"/>
      <c r="AN213" s="20"/>
      <c r="AO213" s="20"/>
      <c r="AP213" s="21"/>
      <c r="AQ213" s="22"/>
      <c r="AR213" s="22"/>
      <c r="AS213" s="22"/>
      <c r="AT213" s="22"/>
      <c r="AU213" s="19"/>
      <c r="AV213" s="20"/>
      <c r="AW213" s="20"/>
      <c r="AX213" s="20"/>
      <c r="AY213" s="20"/>
      <c r="AZ213" s="21"/>
      <c r="BA213" s="22"/>
      <c r="BB213" s="22"/>
      <c r="BC213" s="22"/>
      <c r="BD213" s="22"/>
      <c r="BE213" s="19"/>
      <c r="BF213" s="20"/>
      <c r="BG213" s="20"/>
      <c r="BH213" s="20"/>
      <c r="BI213" s="20"/>
      <c r="BJ213" s="21"/>
      <c r="BK213" s="22"/>
      <c r="BL213" s="22"/>
      <c r="BM213" s="22"/>
      <c r="BN213" s="22"/>
      <c r="BO213" s="19"/>
      <c r="BP213" s="20"/>
      <c r="BQ213" s="20"/>
      <c r="BR213" s="20"/>
      <c r="BS213" s="20"/>
      <c r="BT213" s="21"/>
      <c r="BU213" s="22"/>
      <c r="BV213" s="22"/>
      <c r="BW213" s="22"/>
      <c r="BX213" s="22"/>
      <c r="BY213" s="23"/>
      <c r="BZ213" s="24"/>
      <c r="CA213" s="24"/>
      <c r="CB213" s="24"/>
      <c r="CC213" s="24"/>
      <c r="CD213" s="25"/>
      <c r="CE213" s="26"/>
      <c r="CF213" s="26"/>
      <c r="CG213" s="26"/>
      <c r="CH213" s="26"/>
      <c r="CI213" s="27"/>
      <c r="CJ213" s="28"/>
      <c r="CK213" s="28"/>
      <c r="CL213" s="28"/>
      <c r="CM213" s="28"/>
      <c r="CN213" s="25"/>
      <c r="CO213" s="26"/>
      <c r="CP213" s="26"/>
      <c r="CQ213" s="26"/>
      <c r="CR213" s="26"/>
      <c r="CS213" s="27"/>
      <c r="CT213" s="28"/>
      <c r="CU213" s="28"/>
      <c r="CV213" s="28"/>
      <c r="CW213" s="28"/>
      <c r="CX213" s="25"/>
      <c r="CY213" s="26"/>
      <c r="CZ213" s="26"/>
      <c r="DA213" s="26"/>
      <c r="DB213" s="26"/>
      <c r="DC213" s="27"/>
      <c r="DD213" s="28"/>
      <c r="DE213" s="28"/>
      <c r="DF213" s="28"/>
      <c r="DG213" s="28"/>
      <c r="DH213" s="25"/>
      <c r="DI213" s="26"/>
      <c r="DJ213" s="26"/>
      <c r="DK213" s="26"/>
      <c r="DL213" s="26"/>
      <c r="DM213" s="27"/>
      <c r="DN213" s="28"/>
      <c r="DO213" s="28"/>
      <c r="DP213" s="28"/>
      <c r="DQ213" s="28"/>
      <c r="DR213" s="25"/>
      <c r="DS213" s="26"/>
      <c r="DT213" s="26"/>
      <c r="DU213" s="26"/>
      <c r="DV213" s="26"/>
      <c r="DW213" s="27"/>
      <c r="DX213" s="28"/>
      <c r="DY213" s="28"/>
      <c r="DZ213" s="28"/>
      <c r="EA213" s="28"/>
      <c r="EB213" s="29"/>
      <c r="EC213" s="30"/>
      <c r="ED213" s="30"/>
      <c r="EE213" s="30"/>
      <c r="EF213" s="30"/>
      <c r="EG213" s="31"/>
      <c r="EH213" s="32"/>
      <c r="EI213" s="32"/>
      <c r="EJ213" s="32"/>
      <c r="EK213" s="32"/>
      <c r="EL213" s="29"/>
      <c r="EM213" s="30"/>
      <c r="EN213" s="30"/>
      <c r="EO213" s="30"/>
      <c r="EP213" s="30"/>
      <c r="EQ213" s="31"/>
      <c r="ER213" s="32"/>
      <c r="ES213" s="32"/>
      <c r="ET213" s="32"/>
      <c r="EU213" s="32"/>
      <c r="EV213" s="29"/>
      <c r="EW213" s="30"/>
      <c r="EX213" s="30"/>
      <c r="EY213" s="30"/>
      <c r="EZ213" s="30"/>
      <c r="FA213" s="31"/>
      <c r="FB213" s="32"/>
      <c r="FC213" s="32"/>
      <c r="FD213" s="32"/>
      <c r="FE213" s="32"/>
      <c r="FF213" s="29"/>
      <c r="FG213" s="30"/>
      <c r="FH213" s="30"/>
      <c r="FI213" s="30"/>
      <c r="FJ213" s="30"/>
      <c r="FK213" s="31"/>
      <c r="FL213" s="32"/>
      <c r="FM213" s="32"/>
      <c r="FN213" s="32"/>
      <c r="FO213" s="32"/>
      <c r="FP213" s="29"/>
      <c r="FQ213" s="30"/>
      <c r="FR213" s="30"/>
      <c r="FS213" s="30"/>
      <c r="FT213" s="30"/>
      <c r="FU213" s="31"/>
      <c r="FV213" s="32"/>
      <c r="FW213" s="32"/>
      <c r="FX213" s="32"/>
      <c r="FY213" s="32"/>
      <c r="FZ213" s="29"/>
      <c r="GA213" s="30"/>
      <c r="GB213" s="30"/>
      <c r="GC213" s="30"/>
      <c r="GD213" s="30"/>
    </row>
    <row r="214" spans="1:186" ht="48" x14ac:dyDescent="0.25">
      <c r="A214" s="156">
        <v>205</v>
      </c>
      <c r="B214" s="395">
        <f>'Tier 3 Intervention'!B827</f>
        <v>0</v>
      </c>
      <c r="C214" s="395"/>
      <c r="D214" s="395"/>
      <c r="E214" s="395"/>
      <c r="F214" s="395"/>
      <c r="G214" s="395"/>
      <c r="H214" s="761" t="e">
        <f>'Tier 3 Intervention'!AA827+30</f>
        <v>#VALUE!</v>
      </c>
      <c r="I214" s="761"/>
      <c r="J214" s="762" t="e">
        <f t="shared" si="4"/>
        <v>#VALUE!</v>
      </c>
      <c r="K214" s="395"/>
      <c r="L214" s="47" t="s">
        <v>991</v>
      </c>
      <c r="M214" s="46"/>
      <c r="N214" s="46"/>
      <c r="O214" s="46"/>
      <c r="P214" s="49"/>
      <c r="Q214" s="19"/>
      <c r="R214" s="20"/>
      <c r="S214" s="20"/>
      <c r="T214" s="20"/>
      <c r="U214" s="20"/>
      <c r="V214" s="21"/>
      <c r="W214" s="22"/>
      <c r="X214" s="22"/>
      <c r="Y214" s="22"/>
      <c r="Z214" s="22"/>
      <c r="AA214" s="19"/>
      <c r="AB214" s="20"/>
      <c r="AC214" s="20"/>
      <c r="AD214" s="20"/>
      <c r="AE214" s="20"/>
      <c r="AF214" s="21"/>
      <c r="AG214" s="22"/>
      <c r="AH214" s="22"/>
      <c r="AI214" s="22"/>
      <c r="AJ214" s="22"/>
      <c r="AK214" s="19"/>
      <c r="AL214" s="20"/>
      <c r="AM214" s="20"/>
      <c r="AN214" s="20"/>
      <c r="AO214" s="20"/>
      <c r="AP214" s="21"/>
      <c r="AQ214" s="22"/>
      <c r="AR214" s="22"/>
      <c r="AS214" s="22"/>
      <c r="AT214" s="22"/>
      <c r="AU214" s="19"/>
      <c r="AV214" s="20"/>
      <c r="AW214" s="20"/>
      <c r="AX214" s="20"/>
      <c r="AY214" s="20"/>
      <c r="AZ214" s="21"/>
      <c r="BA214" s="22"/>
      <c r="BB214" s="22"/>
      <c r="BC214" s="22"/>
      <c r="BD214" s="22"/>
      <c r="BE214" s="19"/>
      <c r="BF214" s="20"/>
      <c r="BG214" s="20"/>
      <c r="BH214" s="20"/>
      <c r="BI214" s="20"/>
      <c r="BJ214" s="21"/>
      <c r="BK214" s="22"/>
      <c r="BL214" s="22"/>
      <c r="BM214" s="22"/>
      <c r="BN214" s="22"/>
      <c r="BO214" s="19"/>
      <c r="BP214" s="20"/>
      <c r="BQ214" s="20"/>
      <c r="BR214" s="20"/>
      <c r="BS214" s="20"/>
      <c r="BT214" s="21"/>
      <c r="BU214" s="22"/>
      <c r="BV214" s="22"/>
      <c r="BW214" s="22"/>
      <c r="BX214" s="22"/>
      <c r="BY214" s="23"/>
      <c r="BZ214" s="24"/>
      <c r="CA214" s="24"/>
      <c r="CB214" s="24"/>
      <c r="CC214" s="24"/>
      <c r="CD214" s="25"/>
      <c r="CE214" s="26"/>
      <c r="CF214" s="26"/>
      <c r="CG214" s="26"/>
      <c r="CH214" s="26"/>
      <c r="CI214" s="27"/>
      <c r="CJ214" s="28"/>
      <c r="CK214" s="28"/>
      <c r="CL214" s="28"/>
      <c r="CM214" s="28"/>
      <c r="CN214" s="25"/>
      <c r="CO214" s="26"/>
      <c r="CP214" s="26"/>
      <c r="CQ214" s="26"/>
      <c r="CR214" s="26"/>
      <c r="CS214" s="27"/>
      <c r="CT214" s="28"/>
      <c r="CU214" s="28"/>
      <c r="CV214" s="28"/>
      <c r="CW214" s="28"/>
      <c r="CX214" s="25"/>
      <c r="CY214" s="26"/>
      <c r="CZ214" s="26"/>
      <c r="DA214" s="26"/>
      <c r="DB214" s="26"/>
      <c r="DC214" s="27"/>
      <c r="DD214" s="28"/>
      <c r="DE214" s="28"/>
      <c r="DF214" s="28"/>
      <c r="DG214" s="28"/>
      <c r="DH214" s="25"/>
      <c r="DI214" s="26"/>
      <c r="DJ214" s="26"/>
      <c r="DK214" s="26"/>
      <c r="DL214" s="26"/>
      <c r="DM214" s="27"/>
      <c r="DN214" s="28"/>
      <c r="DO214" s="28"/>
      <c r="DP214" s="28"/>
      <c r="DQ214" s="28"/>
      <c r="DR214" s="25"/>
      <c r="DS214" s="26"/>
      <c r="DT214" s="26"/>
      <c r="DU214" s="26"/>
      <c r="DV214" s="26"/>
      <c r="DW214" s="27"/>
      <c r="DX214" s="28"/>
      <c r="DY214" s="28"/>
      <c r="DZ214" s="28"/>
      <c r="EA214" s="28"/>
      <c r="EB214" s="29"/>
      <c r="EC214" s="30"/>
      <c r="ED214" s="30"/>
      <c r="EE214" s="30"/>
      <c r="EF214" s="30"/>
      <c r="EG214" s="31"/>
      <c r="EH214" s="32"/>
      <c r="EI214" s="32"/>
      <c r="EJ214" s="32"/>
      <c r="EK214" s="32"/>
      <c r="EL214" s="29"/>
      <c r="EM214" s="30"/>
      <c r="EN214" s="30"/>
      <c r="EO214" s="30"/>
      <c r="EP214" s="30"/>
      <c r="EQ214" s="31"/>
      <c r="ER214" s="32"/>
      <c r="ES214" s="32"/>
      <c r="ET214" s="32"/>
      <c r="EU214" s="32"/>
      <c r="EV214" s="29"/>
      <c r="EW214" s="30"/>
      <c r="EX214" s="30"/>
      <c r="EY214" s="30"/>
      <c r="EZ214" s="30"/>
      <c r="FA214" s="31"/>
      <c r="FB214" s="32"/>
      <c r="FC214" s="32"/>
      <c r="FD214" s="32"/>
      <c r="FE214" s="32"/>
      <c r="FF214" s="29"/>
      <c r="FG214" s="30"/>
      <c r="FH214" s="30"/>
      <c r="FI214" s="30"/>
      <c r="FJ214" s="30"/>
      <c r="FK214" s="31"/>
      <c r="FL214" s="32"/>
      <c r="FM214" s="32"/>
      <c r="FN214" s="32"/>
      <c r="FO214" s="32"/>
      <c r="FP214" s="29"/>
      <c r="FQ214" s="30"/>
      <c r="FR214" s="30"/>
      <c r="FS214" s="30"/>
      <c r="FT214" s="30"/>
      <c r="FU214" s="31"/>
      <c r="FV214" s="32"/>
      <c r="FW214" s="32"/>
      <c r="FX214" s="32"/>
      <c r="FY214" s="32"/>
      <c r="FZ214" s="29"/>
      <c r="GA214" s="30"/>
      <c r="GB214" s="30"/>
      <c r="GC214" s="30"/>
      <c r="GD214" s="30"/>
    </row>
    <row r="215" spans="1:186" ht="48" x14ac:dyDescent="0.25">
      <c r="A215" s="156">
        <v>206</v>
      </c>
      <c r="B215" s="395">
        <f>'Tier 3 Intervention'!B831</f>
        <v>0</v>
      </c>
      <c r="C215" s="395"/>
      <c r="D215" s="395"/>
      <c r="E215" s="395"/>
      <c r="F215" s="395"/>
      <c r="G215" s="395"/>
      <c r="H215" s="761" t="e">
        <f>'Tier 3 Intervention'!AA831+30</f>
        <v>#VALUE!</v>
      </c>
      <c r="I215" s="761"/>
      <c r="J215" s="762" t="e">
        <f t="shared" si="4"/>
        <v>#VALUE!</v>
      </c>
      <c r="K215" s="395"/>
      <c r="L215" s="47" t="s">
        <v>992</v>
      </c>
      <c r="M215" s="46"/>
      <c r="N215" s="46"/>
      <c r="O215" s="46"/>
      <c r="P215" s="49"/>
      <c r="Q215" s="19"/>
      <c r="R215" s="20"/>
      <c r="S215" s="20"/>
      <c r="T215" s="20"/>
      <c r="U215" s="20"/>
      <c r="V215" s="21"/>
      <c r="W215" s="22"/>
      <c r="X215" s="22"/>
      <c r="Y215" s="22"/>
      <c r="Z215" s="22"/>
      <c r="AA215" s="19"/>
      <c r="AB215" s="20"/>
      <c r="AC215" s="20"/>
      <c r="AD215" s="20"/>
      <c r="AE215" s="20"/>
      <c r="AF215" s="21"/>
      <c r="AG215" s="22"/>
      <c r="AH215" s="22"/>
      <c r="AI215" s="22"/>
      <c r="AJ215" s="22"/>
      <c r="AK215" s="19"/>
      <c r="AL215" s="20"/>
      <c r="AM215" s="20"/>
      <c r="AN215" s="20"/>
      <c r="AO215" s="20"/>
      <c r="AP215" s="21"/>
      <c r="AQ215" s="22"/>
      <c r="AR215" s="22"/>
      <c r="AS215" s="22"/>
      <c r="AT215" s="22"/>
      <c r="AU215" s="19"/>
      <c r="AV215" s="20"/>
      <c r="AW215" s="20"/>
      <c r="AX215" s="20"/>
      <c r="AY215" s="20"/>
      <c r="AZ215" s="21"/>
      <c r="BA215" s="22"/>
      <c r="BB215" s="22"/>
      <c r="BC215" s="22"/>
      <c r="BD215" s="22"/>
      <c r="BE215" s="19"/>
      <c r="BF215" s="20"/>
      <c r="BG215" s="20"/>
      <c r="BH215" s="20"/>
      <c r="BI215" s="20"/>
      <c r="BJ215" s="21"/>
      <c r="BK215" s="22"/>
      <c r="BL215" s="22"/>
      <c r="BM215" s="22"/>
      <c r="BN215" s="22"/>
      <c r="BO215" s="19"/>
      <c r="BP215" s="20"/>
      <c r="BQ215" s="20"/>
      <c r="BR215" s="20"/>
      <c r="BS215" s="20"/>
      <c r="BT215" s="21"/>
      <c r="BU215" s="22"/>
      <c r="BV215" s="22"/>
      <c r="BW215" s="22"/>
      <c r="BX215" s="22"/>
      <c r="BY215" s="23"/>
      <c r="BZ215" s="24"/>
      <c r="CA215" s="24"/>
      <c r="CB215" s="24"/>
      <c r="CC215" s="24"/>
      <c r="CD215" s="25"/>
      <c r="CE215" s="26"/>
      <c r="CF215" s="26"/>
      <c r="CG215" s="26"/>
      <c r="CH215" s="26"/>
      <c r="CI215" s="27"/>
      <c r="CJ215" s="28"/>
      <c r="CK215" s="28"/>
      <c r="CL215" s="28"/>
      <c r="CM215" s="28"/>
      <c r="CN215" s="25"/>
      <c r="CO215" s="26"/>
      <c r="CP215" s="26"/>
      <c r="CQ215" s="26"/>
      <c r="CR215" s="26"/>
      <c r="CS215" s="27"/>
      <c r="CT215" s="28"/>
      <c r="CU215" s="28"/>
      <c r="CV215" s="28"/>
      <c r="CW215" s="28"/>
      <c r="CX215" s="25"/>
      <c r="CY215" s="26"/>
      <c r="CZ215" s="26"/>
      <c r="DA215" s="26"/>
      <c r="DB215" s="26"/>
      <c r="DC215" s="27"/>
      <c r="DD215" s="28"/>
      <c r="DE215" s="28"/>
      <c r="DF215" s="28"/>
      <c r="DG215" s="28"/>
      <c r="DH215" s="25"/>
      <c r="DI215" s="26"/>
      <c r="DJ215" s="26"/>
      <c r="DK215" s="26"/>
      <c r="DL215" s="26"/>
      <c r="DM215" s="27"/>
      <c r="DN215" s="28"/>
      <c r="DO215" s="28"/>
      <c r="DP215" s="28"/>
      <c r="DQ215" s="28"/>
      <c r="DR215" s="25"/>
      <c r="DS215" s="26"/>
      <c r="DT215" s="26"/>
      <c r="DU215" s="26"/>
      <c r="DV215" s="26"/>
      <c r="DW215" s="27"/>
      <c r="DX215" s="28"/>
      <c r="DY215" s="28"/>
      <c r="DZ215" s="28"/>
      <c r="EA215" s="28"/>
      <c r="EB215" s="29"/>
      <c r="EC215" s="30"/>
      <c r="ED215" s="30"/>
      <c r="EE215" s="30"/>
      <c r="EF215" s="30"/>
      <c r="EG215" s="31"/>
      <c r="EH215" s="32"/>
      <c r="EI215" s="32"/>
      <c r="EJ215" s="32"/>
      <c r="EK215" s="32"/>
      <c r="EL215" s="29"/>
      <c r="EM215" s="30"/>
      <c r="EN215" s="30"/>
      <c r="EO215" s="30"/>
      <c r="EP215" s="30"/>
      <c r="EQ215" s="31"/>
      <c r="ER215" s="32"/>
      <c r="ES215" s="32"/>
      <c r="ET215" s="32"/>
      <c r="EU215" s="32"/>
      <c r="EV215" s="29"/>
      <c r="EW215" s="30"/>
      <c r="EX215" s="30"/>
      <c r="EY215" s="30"/>
      <c r="EZ215" s="30"/>
      <c r="FA215" s="31"/>
      <c r="FB215" s="32"/>
      <c r="FC215" s="32"/>
      <c r="FD215" s="32"/>
      <c r="FE215" s="32"/>
      <c r="FF215" s="29"/>
      <c r="FG215" s="30"/>
      <c r="FH215" s="30"/>
      <c r="FI215" s="30"/>
      <c r="FJ215" s="30"/>
      <c r="FK215" s="31"/>
      <c r="FL215" s="32"/>
      <c r="FM215" s="32"/>
      <c r="FN215" s="32"/>
      <c r="FO215" s="32"/>
      <c r="FP215" s="29"/>
      <c r="FQ215" s="30"/>
      <c r="FR215" s="30"/>
      <c r="FS215" s="30"/>
      <c r="FT215" s="30"/>
      <c r="FU215" s="31"/>
      <c r="FV215" s="32"/>
      <c r="FW215" s="32"/>
      <c r="FX215" s="32"/>
      <c r="FY215" s="32"/>
      <c r="FZ215" s="29"/>
      <c r="GA215" s="30"/>
      <c r="GB215" s="30"/>
      <c r="GC215" s="30"/>
      <c r="GD215" s="30"/>
    </row>
    <row r="216" spans="1:186" ht="48" x14ac:dyDescent="0.25">
      <c r="A216" s="156">
        <v>207</v>
      </c>
      <c r="B216" s="395">
        <f>'Tier 3 Intervention'!B835</f>
        <v>0</v>
      </c>
      <c r="C216" s="395"/>
      <c r="D216" s="395"/>
      <c r="E216" s="395"/>
      <c r="F216" s="395"/>
      <c r="G216" s="395"/>
      <c r="H216" s="761" t="e">
        <f>'Tier 3 Intervention'!AA835+30</f>
        <v>#VALUE!</v>
      </c>
      <c r="I216" s="761"/>
      <c r="J216" s="762" t="e">
        <f t="shared" si="4"/>
        <v>#VALUE!</v>
      </c>
      <c r="K216" s="395"/>
      <c r="L216" s="47" t="s">
        <v>993</v>
      </c>
      <c r="M216" s="46"/>
      <c r="N216" s="46"/>
      <c r="O216" s="46"/>
      <c r="P216" s="49"/>
      <c r="Q216" s="19"/>
      <c r="R216" s="20"/>
      <c r="S216" s="20"/>
      <c r="T216" s="20"/>
      <c r="U216" s="20"/>
      <c r="V216" s="21"/>
      <c r="W216" s="22"/>
      <c r="X216" s="22"/>
      <c r="Y216" s="22"/>
      <c r="Z216" s="22"/>
      <c r="AA216" s="19"/>
      <c r="AB216" s="20"/>
      <c r="AC216" s="20"/>
      <c r="AD216" s="20"/>
      <c r="AE216" s="20"/>
      <c r="AF216" s="21"/>
      <c r="AG216" s="22"/>
      <c r="AH216" s="22"/>
      <c r="AI216" s="22"/>
      <c r="AJ216" s="22"/>
      <c r="AK216" s="19"/>
      <c r="AL216" s="20"/>
      <c r="AM216" s="20"/>
      <c r="AN216" s="20"/>
      <c r="AO216" s="20"/>
      <c r="AP216" s="21"/>
      <c r="AQ216" s="22"/>
      <c r="AR216" s="22"/>
      <c r="AS216" s="22"/>
      <c r="AT216" s="22"/>
      <c r="AU216" s="19"/>
      <c r="AV216" s="20"/>
      <c r="AW216" s="20"/>
      <c r="AX216" s="20"/>
      <c r="AY216" s="20"/>
      <c r="AZ216" s="21"/>
      <c r="BA216" s="22"/>
      <c r="BB216" s="22"/>
      <c r="BC216" s="22"/>
      <c r="BD216" s="22"/>
      <c r="BE216" s="19"/>
      <c r="BF216" s="20"/>
      <c r="BG216" s="20"/>
      <c r="BH216" s="20"/>
      <c r="BI216" s="20"/>
      <c r="BJ216" s="21"/>
      <c r="BK216" s="22"/>
      <c r="BL216" s="22"/>
      <c r="BM216" s="22"/>
      <c r="BN216" s="22"/>
      <c r="BO216" s="19"/>
      <c r="BP216" s="20"/>
      <c r="BQ216" s="20"/>
      <c r="BR216" s="20"/>
      <c r="BS216" s="20"/>
      <c r="BT216" s="21"/>
      <c r="BU216" s="22"/>
      <c r="BV216" s="22"/>
      <c r="BW216" s="22"/>
      <c r="BX216" s="22"/>
      <c r="BY216" s="23"/>
      <c r="BZ216" s="24"/>
      <c r="CA216" s="24"/>
      <c r="CB216" s="24"/>
      <c r="CC216" s="24"/>
      <c r="CD216" s="25"/>
      <c r="CE216" s="26"/>
      <c r="CF216" s="26"/>
      <c r="CG216" s="26"/>
      <c r="CH216" s="26"/>
      <c r="CI216" s="27"/>
      <c r="CJ216" s="28"/>
      <c r="CK216" s="28"/>
      <c r="CL216" s="28"/>
      <c r="CM216" s="28"/>
      <c r="CN216" s="25"/>
      <c r="CO216" s="26"/>
      <c r="CP216" s="26"/>
      <c r="CQ216" s="26"/>
      <c r="CR216" s="26"/>
      <c r="CS216" s="27"/>
      <c r="CT216" s="28"/>
      <c r="CU216" s="28"/>
      <c r="CV216" s="28"/>
      <c r="CW216" s="28"/>
      <c r="CX216" s="25"/>
      <c r="CY216" s="26"/>
      <c r="CZ216" s="26"/>
      <c r="DA216" s="26"/>
      <c r="DB216" s="26"/>
      <c r="DC216" s="27"/>
      <c r="DD216" s="28"/>
      <c r="DE216" s="28"/>
      <c r="DF216" s="28"/>
      <c r="DG216" s="28"/>
      <c r="DH216" s="25"/>
      <c r="DI216" s="26"/>
      <c r="DJ216" s="26"/>
      <c r="DK216" s="26"/>
      <c r="DL216" s="26"/>
      <c r="DM216" s="27"/>
      <c r="DN216" s="28"/>
      <c r="DO216" s="28"/>
      <c r="DP216" s="28"/>
      <c r="DQ216" s="28"/>
      <c r="DR216" s="25"/>
      <c r="DS216" s="26"/>
      <c r="DT216" s="26"/>
      <c r="DU216" s="26"/>
      <c r="DV216" s="26"/>
      <c r="DW216" s="27"/>
      <c r="DX216" s="28"/>
      <c r="DY216" s="28"/>
      <c r="DZ216" s="28"/>
      <c r="EA216" s="28"/>
      <c r="EB216" s="29"/>
      <c r="EC216" s="30"/>
      <c r="ED216" s="30"/>
      <c r="EE216" s="30"/>
      <c r="EF216" s="30"/>
      <c r="EG216" s="31"/>
      <c r="EH216" s="32"/>
      <c r="EI216" s="32"/>
      <c r="EJ216" s="32"/>
      <c r="EK216" s="32"/>
      <c r="EL216" s="29"/>
      <c r="EM216" s="30"/>
      <c r="EN216" s="30"/>
      <c r="EO216" s="30"/>
      <c r="EP216" s="30"/>
      <c r="EQ216" s="31"/>
      <c r="ER216" s="32"/>
      <c r="ES216" s="32"/>
      <c r="ET216" s="32"/>
      <c r="EU216" s="32"/>
      <c r="EV216" s="29"/>
      <c r="EW216" s="30"/>
      <c r="EX216" s="30"/>
      <c r="EY216" s="30"/>
      <c r="EZ216" s="30"/>
      <c r="FA216" s="31"/>
      <c r="FB216" s="32"/>
      <c r="FC216" s="32"/>
      <c r="FD216" s="32"/>
      <c r="FE216" s="32"/>
      <c r="FF216" s="29"/>
      <c r="FG216" s="30"/>
      <c r="FH216" s="30"/>
      <c r="FI216" s="30"/>
      <c r="FJ216" s="30"/>
      <c r="FK216" s="31"/>
      <c r="FL216" s="32"/>
      <c r="FM216" s="32"/>
      <c r="FN216" s="32"/>
      <c r="FO216" s="32"/>
      <c r="FP216" s="29"/>
      <c r="FQ216" s="30"/>
      <c r="FR216" s="30"/>
      <c r="FS216" s="30"/>
      <c r="FT216" s="30"/>
      <c r="FU216" s="31"/>
      <c r="FV216" s="32"/>
      <c r="FW216" s="32"/>
      <c r="FX216" s="32"/>
      <c r="FY216" s="32"/>
      <c r="FZ216" s="29"/>
      <c r="GA216" s="30"/>
      <c r="GB216" s="30"/>
      <c r="GC216" s="30"/>
      <c r="GD216" s="30"/>
    </row>
    <row r="217" spans="1:186" ht="48" x14ac:dyDescent="0.25">
      <c r="A217" s="156">
        <v>208</v>
      </c>
      <c r="B217" s="395">
        <f>'Tier 3 Intervention'!B839</f>
        <v>0</v>
      </c>
      <c r="C217" s="395"/>
      <c r="D217" s="395"/>
      <c r="E217" s="395"/>
      <c r="F217" s="395"/>
      <c r="G217" s="395"/>
      <c r="H217" s="761" t="e">
        <f>'Tier 3 Intervention'!AA839+30</f>
        <v>#VALUE!</v>
      </c>
      <c r="I217" s="761"/>
      <c r="J217" s="762" t="e">
        <f t="shared" si="4"/>
        <v>#VALUE!</v>
      </c>
      <c r="K217" s="395"/>
      <c r="L217" s="47" t="s">
        <v>994</v>
      </c>
      <c r="M217" s="46"/>
      <c r="N217" s="46"/>
      <c r="O217" s="46"/>
      <c r="P217" s="49"/>
      <c r="Q217" s="19"/>
      <c r="R217" s="20"/>
      <c r="S217" s="20"/>
      <c r="T217" s="20"/>
      <c r="U217" s="20"/>
      <c r="V217" s="21"/>
      <c r="W217" s="22"/>
      <c r="X217" s="22"/>
      <c r="Y217" s="22"/>
      <c r="Z217" s="22"/>
      <c r="AA217" s="19"/>
      <c r="AB217" s="20"/>
      <c r="AC217" s="20"/>
      <c r="AD217" s="20"/>
      <c r="AE217" s="20"/>
      <c r="AF217" s="21"/>
      <c r="AG217" s="22"/>
      <c r="AH217" s="22"/>
      <c r="AI217" s="22"/>
      <c r="AJ217" s="22"/>
      <c r="AK217" s="19"/>
      <c r="AL217" s="20"/>
      <c r="AM217" s="20"/>
      <c r="AN217" s="20"/>
      <c r="AO217" s="20"/>
      <c r="AP217" s="21"/>
      <c r="AQ217" s="22"/>
      <c r="AR217" s="22"/>
      <c r="AS217" s="22"/>
      <c r="AT217" s="22"/>
      <c r="AU217" s="19"/>
      <c r="AV217" s="20"/>
      <c r="AW217" s="20"/>
      <c r="AX217" s="20"/>
      <c r="AY217" s="20"/>
      <c r="AZ217" s="21"/>
      <c r="BA217" s="22"/>
      <c r="BB217" s="22"/>
      <c r="BC217" s="22"/>
      <c r="BD217" s="22"/>
      <c r="BE217" s="19"/>
      <c r="BF217" s="20"/>
      <c r="BG217" s="20"/>
      <c r="BH217" s="20"/>
      <c r="BI217" s="20"/>
      <c r="BJ217" s="21"/>
      <c r="BK217" s="22"/>
      <c r="BL217" s="22"/>
      <c r="BM217" s="22"/>
      <c r="BN217" s="22"/>
      <c r="BO217" s="19"/>
      <c r="BP217" s="20"/>
      <c r="BQ217" s="20"/>
      <c r="BR217" s="20"/>
      <c r="BS217" s="20"/>
      <c r="BT217" s="21"/>
      <c r="BU217" s="22"/>
      <c r="BV217" s="22"/>
      <c r="BW217" s="22"/>
      <c r="BX217" s="22"/>
      <c r="BY217" s="23"/>
      <c r="BZ217" s="24"/>
      <c r="CA217" s="24"/>
      <c r="CB217" s="24"/>
      <c r="CC217" s="24"/>
      <c r="CD217" s="25"/>
      <c r="CE217" s="26"/>
      <c r="CF217" s="26"/>
      <c r="CG217" s="26"/>
      <c r="CH217" s="26"/>
      <c r="CI217" s="27"/>
      <c r="CJ217" s="28"/>
      <c r="CK217" s="28"/>
      <c r="CL217" s="28"/>
      <c r="CM217" s="28"/>
      <c r="CN217" s="25"/>
      <c r="CO217" s="26"/>
      <c r="CP217" s="26"/>
      <c r="CQ217" s="26"/>
      <c r="CR217" s="26"/>
      <c r="CS217" s="27"/>
      <c r="CT217" s="28"/>
      <c r="CU217" s="28"/>
      <c r="CV217" s="28"/>
      <c r="CW217" s="28"/>
      <c r="CX217" s="25"/>
      <c r="CY217" s="26"/>
      <c r="CZ217" s="26"/>
      <c r="DA217" s="26"/>
      <c r="DB217" s="26"/>
      <c r="DC217" s="27"/>
      <c r="DD217" s="28"/>
      <c r="DE217" s="28"/>
      <c r="DF217" s="28"/>
      <c r="DG217" s="28"/>
      <c r="DH217" s="25"/>
      <c r="DI217" s="26"/>
      <c r="DJ217" s="26"/>
      <c r="DK217" s="26"/>
      <c r="DL217" s="26"/>
      <c r="DM217" s="27"/>
      <c r="DN217" s="28"/>
      <c r="DO217" s="28"/>
      <c r="DP217" s="28"/>
      <c r="DQ217" s="28"/>
      <c r="DR217" s="25"/>
      <c r="DS217" s="26"/>
      <c r="DT217" s="26"/>
      <c r="DU217" s="26"/>
      <c r="DV217" s="26"/>
      <c r="DW217" s="27"/>
      <c r="DX217" s="28"/>
      <c r="DY217" s="28"/>
      <c r="DZ217" s="28"/>
      <c r="EA217" s="28"/>
      <c r="EB217" s="29"/>
      <c r="EC217" s="30"/>
      <c r="ED217" s="30"/>
      <c r="EE217" s="30"/>
      <c r="EF217" s="30"/>
      <c r="EG217" s="31"/>
      <c r="EH217" s="32"/>
      <c r="EI217" s="32"/>
      <c r="EJ217" s="32"/>
      <c r="EK217" s="32"/>
      <c r="EL217" s="29"/>
      <c r="EM217" s="30"/>
      <c r="EN217" s="30"/>
      <c r="EO217" s="30"/>
      <c r="EP217" s="30"/>
      <c r="EQ217" s="31"/>
      <c r="ER217" s="32"/>
      <c r="ES217" s="32"/>
      <c r="ET217" s="32"/>
      <c r="EU217" s="32"/>
      <c r="EV217" s="29"/>
      <c r="EW217" s="30"/>
      <c r="EX217" s="30"/>
      <c r="EY217" s="30"/>
      <c r="EZ217" s="30"/>
      <c r="FA217" s="31"/>
      <c r="FB217" s="32"/>
      <c r="FC217" s="32"/>
      <c r="FD217" s="32"/>
      <c r="FE217" s="32"/>
      <c r="FF217" s="29"/>
      <c r="FG217" s="30"/>
      <c r="FH217" s="30"/>
      <c r="FI217" s="30"/>
      <c r="FJ217" s="30"/>
      <c r="FK217" s="31"/>
      <c r="FL217" s="32"/>
      <c r="FM217" s="32"/>
      <c r="FN217" s="32"/>
      <c r="FO217" s="32"/>
      <c r="FP217" s="29"/>
      <c r="FQ217" s="30"/>
      <c r="FR217" s="30"/>
      <c r="FS217" s="30"/>
      <c r="FT217" s="30"/>
      <c r="FU217" s="31"/>
      <c r="FV217" s="32"/>
      <c r="FW217" s="32"/>
      <c r="FX217" s="32"/>
      <c r="FY217" s="32"/>
      <c r="FZ217" s="29"/>
      <c r="GA217" s="30"/>
      <c r="GB217" s="30"/>
      <c r="GC217" s="30"/>
      <c r="GD217" s="30"/>
    </row>
    <row r="218" spans="1:186" ht="48" x14ac:dyDescent="0.25">
      <c r="A218" s="156">
        <v>209</v>
      </c>
      <c r="B218" s="395">
        <f>'Tier 3 Intervention'!B843</f>
        <v>0</v>
      </c>
      <c r="C218" s="395"/>
      <c r="D218" s="395"/>
      <c r="E218" s="395"/>
      <c r="F218" s="395"/>
      <c r="G218" s="395"/>
      <c r="H218" s="761" t="e">
        <f>'Tier 3 Intervention'!AA843+30</f>
        <v>#VALUE!</v>
      </c>
      <c r="I218" s="761"/>
      <c r="J218" s="762" t="e">
        <f t="shared" si="4"/>
        <v>#VALUE!</v>
      </c>
      <c r="K218" s="395"/>
      <c r="L218" s="47" t="s">
        <v>995</v>
      </c>
      <c r="M218" s="46"/>
      <c r="N218" s="46"/>
      <c r="O218" s="46"/>
      <c r="P218" s="49"/>
      <c r="Q218" s="19"/>
      <c r="R218" s="20"/>
      <c r="S218" s="20"/>
      <c r="T218" s="20"/>
      <c r="U218" s="20"/>
      <c r="V218" s="21"/>
      <c r="W218" s="22"/>
      <c r="X218" s="22"/>
      <c r="Y218" s="22"/>
      <c r="Z218" s="22"/>
      <c r="AA218" s="19"/>
      <c r="AB218" s="20"/>
      <c r="AC218" s="20"/>
      <c r="AD218" s="20"/>
      <c r="AE218" s="20"/>
      <c r="AF218" s="21"/>
      <c r="AG218" s="22"/>
      <c r="AH218" s="22"/>
      <c r="AI218" s="22"/>
      <c r="AJ218" s="22"/>
      <c r="AK218" s="19"/>
      <c r="AL218" s="20"/>
      <c r="AM218" s="20"/>
      <c r="AN218" s="20"/>
      <c r="AO218" s="20"/>
      <c r="AP218" s="21"/>
      <c r="AQ218" s="22"/>
      <c r="AR218" s="22"/>
      <c r="AS218" s="22"/>
      <c r="AT218" s="22"/>
      <c r="AU218" s="19"/>
      <c r="AV218" s="20"/>
      <c r="AW218" s="20"/>
      <c r="AX218" s="20"/>
      <c r="AY218" s="20"/>
      <c r="AZ218" s="21"/>
      <c r="BA218" s="22"/>
      <c r="BB218" s="22"/>
      <c r="BC218" s="22"/>
      <c r="BD218" s="22"/>
      <c r="BE218" s="19"/>
      <c r="BF218" s="20"/>
      <c r="BG218" s="20"/>
      <c r="BH218" s="20"/>
      <c r="BI218" s="20"/>
      <c r="BJ218" s="21"/>
      <c r="BK218" s="22"/>
      <c r="BL218" s="22"/>
      <c r="BM218" s="22"/>
      <c r="BN218" s="22"/>
      <c r="BO218" s="19"/>
      <c r="BP218" s="20"/>
      <c r="BQ218" s="20"/>
      <c r="BR218" s="20"/>
      <c r="BS218" s="20"/>
      <c r="BT218" s="21"/>
      <c r="BU218" s="22"/>
      <c r="BV218" s="22"/>
      <c r="BW218" s="22"/>
      <c r="BX218" s="22"/>
      <c r="BY218" s="23"/>
      <c r="BZ218" s="24"/>
      <c r="CA218" s="24"/>
      <c r="CB218" s="24"/>
      <c r="CC218" s="24"/>
      <c r="CD218" s="25"/>
      <c r="CE218" s="26"/>
      <c r="CF218" s="26"/>
      <c r="CG218" s="26"/>
      <c r="CH218" s="26"/>
      <c r="CI218" s="27"/>
      <c r="CJ218" s="28"/>
      <c r="CK218" s="28"/>
      <c r="CL218" s="28"/>
      <c r="CM218" s="28"/>
      <c r="CN218" s="25"/>
      <c r="CO218" s="26"/>
      <c r="CP218" s="26"/>
      <c r="CQ218" s="26"/>
      <c r="CR218" s="26"/>
      <c r="CS218" s="27"/>
      <c r="CT218" s="28"/>
      <c r="CU218" s="28"/>
      <c r="CV218" s="28"/>
      <c r="CW218" s="28"/>
      <c r="CX218" s="25"/>
      <c r="CY218" s="26"/>
      <c r="CZ218" s="26"/>
      <c r="DA218" s="26"/>
      <c r="DB218" s="26"/>
      <c r="DC218" s="27"/>
      <c r="DD218" s="28"/>
      <c r="DE218" s="28"/>
      <c r="DF218" s="28"/>
      <c r="DG218" s="28"/>
      <c r="DH218" s="25"/>
      <c r="DI218" s="26"/>
      <c r="DJ218" s="26"/>
      <c r="DK218" s="26"/>
      <c r="DL218" s="26"/>
      <c r="DM218" s="27"/>
      <c r="DN218" s="28"/>
      <c r="DO218" s="28"/>
      <c r="DP218" s="28"/>
      <c r="DQ218" s="28"/>
      <c r="DR218" s="25"/>
      <c r="DS218" s="26"/>
      <c r="DT218" s="26"/>
      <c r="DU218" s="26"/>
      <c r="DV218" s="26"/>
      <c r="DW218" s="27"/>
      <c r="DX218" s="28"/>
      <c r="DY218" s="28"/>
      <c r="DZ218" s="28"/>
      <c r="EA218" s="28"/>
      <c r="EB218" s="29"/>
      <c r="EC218" s="30"/>
      <c r="ED218" s="30"/>
      <c r="EE218" s="30"/>
      <c r="EF218" s="30"/>
      <c r="EG218" s="31"/>
      <c r="EH218" s="32"/>
      <c r="EI218" s="32"/>
      <c r="EJ218" s="32"/>
      <c r="EK218" s="32"/>
      <c r="EL218" s="29"/>
      <c r="EM218" s="30"/>
      <c r="EN218" s="30"/>
      <c r="EO218" s="30"/>
      <c r="EP218" s="30"/>
      <c r="EQ218" s="31"/>
      <c r="ER218" s="32"/>
      <c r="ES218" s="32"/>
      <c r="ET218" s="32"/>
      <c r="EU218" s="32"/>
      <c r="EV218" s="29"/>
      <c r="EW218" s="30"/>
      <c r="EX218" s="30"/>
      <c r="EY218" s="30"/>
      <c r="EZ218" s="30"/>
      <c r="FA218" s="31"/>
      <c r="FB218" s="32"/>
      <c r="FC218" s="32"/>
      <c r="FD218" s="32"/>
      <c r="FE218" s="32"/>
      <c r="FF218" s="29"/>
      <c r="FG218" s="30"/>
      <c r="FH218" s="30"/>
      <c r="FI218" s="30"/>
      <c r="FJ218" s="30"/>
      <c r="FK218" s="31"/>
      <c r="FL218" s="32"/>
      <c r="FM218" s="32"/>
      <c r="FN218" s="32"/>
      <c r="FO218" s="32"/>
      <c r="FP218" s="29"/>
      <c r="FQ218" s="30"/>
      <c r="FR218" s="30"/>
      <c r="FS218" s="30"/>
      <c r="FT218" s="30"/>
      <c r="FU218" s="31"/>
      <c r="FV218" s="32"/>
      <c r="FW218" s="32"/>
      <c r="FX218" s="32"/>
      <c r="FY218" s="32"/>
      <c r="FZ218" s="29"/>
      <c r="GA218" s="30"/>
      <c r="GB218" s="30"/>
      <c r="GC218" s="30"/>
      <c r="GD218" s="30"/>
    </row>
    <row r="219" spans="1:186" ht="48" x14ac:dyDescent="0.25">
      <c r="A219" s="156">
        <v>210</v>
      </c>
      <c r="B219" s="395">
        <f>'Tier 3 Intervention'!B847</f>
        <v>0</v>
      </c>
      <c r="C219" s="395"/>
      <c r="D219" s="395"/>
      <c r="E219" s="395"/>
      <c r="F219" s="395"/>
      <c r="G219" s="395"/>
      <c r="H219" s="761" t="e">
        <f>'Tier 3 Intervention'!AA847+30</f>
        <v>#VALUE!</v>
      </c>
      <c r="I219" s="761"/>
      <c r="J219" s="762" t="e">
        <f t="shared" si="4"/>
        <v>#VALUE!</v>
      </c>
      <c r="K219" s="395"/>
      <c r="L219" s="47" t="s">
        <v>996</v>
      </c>
      <c r="M219" s="46"/>
      <c r="N219" s="46"/>
      <c r="O219" s="46"/>
      <c r="P219" s="49"/>
      <c r="Q219" s="19"/>
      <c r="R219" s="20"/>
      <c r="S219" s="20"/>
      <c r="T219" s="20"/>
      <c r="U219" s="20"/>
      <c r="V219" s="21"/>
      <c r="W219" s="22"/>
      <c r="X219" s="22"/>
      <c r="Y219" s="22"/>
      <c r="Z219" s="22"/>
      <c r="AA219" s="19"/>
      <c r="AB219" s="20"/>
      <c r="AC219" s="20"/>
      <c r="AD219" s="20"/>
      <c r="AE219" s="20"/>
      <c r="AF219" s="21"/>
      <c r="AG219" s="22"/>
      <c r="AH219" s="22"/>
      <c r="AI219" s="22"/>
      <c r="AJ219" s="22"/>
      <c r="AK219" s="19"/>
      <c r="AL219" s="20"/>
      <c r="AM219" s="20"/>
      <c r="AN219" s="20"/>
      <c r="AO219" s="20"/>
      <c r="AP219" s="21"/>
      <c r="AQ219" s="22"/>
      <c r="AR219" s="22"/>
      <c r="AS219" s="22"/>
      <c r="AT219" s="22"/>
      <c r="AU219" s="19"/>
      <c r="AV219" s="20"/>
      <c r="AW219" s="20"/>
      <c r="AX219" s="20"/>
      <c r="AY219" s="20"/>
      <c r="AZ219" s="21"/>
      <c r="BA219" s="22"/>
      <c r="BB219" s="22"/>
      <c r="BC219" s="22"/>
      <c r="BD219" s="22"/>
      <c r="BE219" s="19"/>
      <c r="BF219" s="20"/>
      <c r="BG219" s="20"/>
      <c r="BH219" s="20"/>
      <c r="BI219" s="20"/>
      <c r="BJ219" s="21"/>
      <c r="BK219" s="22"/>
      <c r="BL219" s="22"/>
      <c r="BM219" s="22"/>
      <c r="BN219" s="22"/>
      <c r="BO219" s="19"/>
      <c r="BP219" s="20"/>
      <c r="BQ219" s="20"/>
      <c r="BR219" s="20"/>
      <c r="BS219" s="20"/>
      <c r="BT219" s="21"/>
      <c r="BU219" s="22"/>
      <c r="BV219" s="22"/>
      <c r="BW219" s="22"/>
      <c r="BX219" s="22"/>
      <c r="BY219" s="23"/>
      <c r="BZ219" s="24"/>
      <c r="CA219" s="24"/>
      <c r="CB219" s="24"/>
      <c r="CC219" s="24"/>
      <c r="CD219" s="25"/>
      <c r="CE219" s="26"/>
      <c r="CF219" s="26"/>
      <c r="CG219" s="26"/>
      <c r="CH219" s="26"/>
      <c r="CI219" s="27"/>
      <c r="CJ219" s="28"/>
      <c r="CK219" s="28"/>
      <c r="CL219" s="28"/>
      <c r="CM219" s="28"/>
      <c r="CN219" s="25"/>
      <c r="CO219" s="26"/>
      <c r="CP219" s="26"/>
      <c r="CQ219" s="26"/>
      <c r="CR219" s="26"/>
      <c r="CS219" s="27"/>
      <c r="CT219" s="28"/>
      <c r="CU219" s="28"/>
      <c r="CV219" s="28"/>
      <c r="CW219" s="28"/>
      <c r="CX219" s="25"/>
      <c r="CY219" s="26"/>
      <c r="CZ219" s="26"/>
      <c r="DA219" s="26"/>
      <c r="DB219" s="26"/>
      <c r="DC219" s="27"/>
      <c r="DD219" s="28"/>
      <c r="DE219" s="28"/>
      <c r="DF219" s="28"/>
      <c r="DG219" s="28"/>
      <c r="DH219" s="25"/>
      <c r="DI219" s="26"/>
      <c r="DJ219" s="26"/>
      <c r="DK219" s="26"/>
      <c r="DL219" s="26"/>
      <c r="DM219" s="27"/>
      <c r="DN219" s="28"/>
      <c r="DO219" s="28"/>
      <c r="DP219" s="28"/>
      <c r="DQ219" s="28"/>
      <c r="DR219" s="25"/>
      <c r="DS219" s="26"/>
      <c r="DT219" s="26"/>
      <c r="DU219" s="26"/>
      <c r="DV219" s="26"/>
      <c r="DW219" s="27"/>
      <c r="DX219" s="28"/>
      <c r="DY219" s="28"/>
      <c r="DZ219" s="28"/>
      <c r="EA219" s="28"/>
      <c r="EB219" s="29"/>
      <c r="EC219" s="30"/>
      <c r="ED219" s="30"/>
      <c r="EE219" s="30"/>
      <c r="EF219" s="30"/>
      <c r="EG219" s="31"/>
      <c r="EH219" s="32"/>
      <c r="EI219" s="32"/>
      <c r="EJ219" s="32"/>
      <c r="EK219" s="32"/>
      <c r="EL219" s="29"/>
      <c r="EM219" s="30"/>
      <c r="EN219" s="30"/>
      <c r="EO219" s="30"/>
      <c r="EP219" s="30"/>
      <c r="EQ219" s="31"/>
      <c r="ER219" s="32"/>
      <c r="ES219" s="32"/>
      <c r="ET219" s="32"/>
      <c r="EU219" s="32"/>
      <c r="EV219" s="29"/>
      <c r="EW219" s="30"/>
      <c r="EX219" s="30"/>
      <c r="EY219" s="30"/>
      <c r="EZ219" s="30"/>
      <c r="FA219" s="31"/>
      <c r="FB219" s="32"/>
      <c r="FC219" s="32"/>
      <c r="FD219" s="32"/>
      <c r="FE219" s="32"/>
      <c r="FF219" s="29"/>
      <c r="FG219" s="30"/>
      <c r="FH219" s="30"/>
      <c r="FI219" s="30"/>
      <c r="FJ219" s="30"/>
      <c r="FK219" s="31"/>
      <c r="FL219" s="32"/>
      <c r="FM219" s="32"/>
      <c r="FN219" s="32"/>
      <c r="FO219" s="32"/>
      <c r="FP219" s="29"/>
      <c r="FQ219" s="30"/>
      <c r="FR219" s="30"/>
      <c r="FS219" s="30"/>
      <c r="FT219" s="30"/>
      <c r="FU219" s="31"/>
      <c r="FV219" s="32"/>
      <c r="FW219" s="32"/>
      <c r="FX219" s="32"/>
      <c r="FY219" s="32"/>
      <c r="FZ219" s="29"/>
      <c r="GA219" s="30"/>
      <c r="GB219" s="30"/>
      <c r="GC219" s="30"/>
      <c r="GD219" s="30"/>
    </row>
    <row r="220" spans="1:186" ht="48" x14ac:dyDescent="0.25">
      <c r="A220" s="156">
        <v>211</v>
      </c>
      <c r="B220" s="395">
        <f>'Tier 3 Intervention'!B851</f>
        <v>0</v>
      </c>
      <c r="C220" s="395"/>
      <c r="D220" s="395"/>
      <c r="E220" s="395"/>
      <c r="F220" s="395"/>
      <c r="G220" s="395"/>
      <c r="H220" s="761" t="e">
        <f>'Tier 3 Intervention'!AA851+30</f>
        <v>#VALUE!</v>
      </c>
      <c r="I220" s="761"/>
      <c r="J220" s="762" t="e">
        <f t="shared" si="4"/>
        <v>#VALUE!</v>
      </c>
      <c r="K220" s="395"/>
      <c r="L220" s="47" t="s">
        <v>997</v>
      </c>
      <c r="M220" s="46"/>
      <c r="N220" s="46"/>
      <c r="O220" s="46"/>
      <c r="P220" s="49"/>
      <c r="Q220" s="19"/>
      <c r="R220" s="20"/>
      <c r="S220" s="20"/>
      <c r="T220" s="20"/>
      <c r="U220" s="20"/>
      <c r="V220" s="21"/>
      <c r="W220" s="22"/>
      <c r="X220" s="22"/>
      <c r="Y220" s="22"/>
      <c r="Z220" s="22"/>
      <c r="AA220" s="19"/>
      <c r="AB220" s="20"/>
      <c r="AC220" s="20"/>
      <c r="AD220" s="20"/>
      <c r="AE220" s="20"/>
      <c r="AF220" s="21"/>
      <c r="AG220" s="22"/>
      <c r="AH220" s="22"/>
      <c r="AI220" s="22"/>
      <c r="AJ220" s="22"/>
      <c r="AK220" s="19"/>
      <c r="AL220" s="20"/>
      <c r="AM220" s="20"/>
      <c r="AN220" s="20"/>
      <c r="AO220" s="20"/>
      <c r="AP220" s="21"/>
      <c r="AQ220" s="22"/>
      <c r="AR220" s="22"/>
      <c r="AS220" s="22"/>
      <c r="AT220" s="22"/>
      <c r="AU220" s="19"/>
      <c r="AV220" s="20"/>
      <c r="AW220" s="20"/>
      <c r="AX220" s="20"/>
      <c r="AY220" s="20"/>
      <c r="AZ220" s="21"/>
      <c r="BA220" s="22"/>
      <c r="BB220" s="22"/>
      <c r="BC220" s="22"/>
      <c r="BD220" s="22"/>
      <c r="BE220" s="19"/>
      <c r="BF220" s="20"/>
      <c r="BG220" s="20"/>
      <c r="BH220" s="20"/>
      <c r="BI220" s="20"/>
      <c r="BJ220" s="21"/>
      <c r="BK220" s="22"/>
      <c r="BL220" s="22"/>
      <c r="BM220" s="22"/>
      <c r="BN220" s="22"/>
      <c r="BO220" s="19"/>
      <c r="BP220" s="20"/>
      <c r="BQ220" s="20"/>
      <c r="BR220" s="20"/>
      <c r="BS220" s="20"/>
      <c r="BT220" s="21"/>
      <c r="BU220" s="22"/>
      <c r="BV220" s="22"/>
      <c r="BW220" s="22"/>
      <c r="BX220" s="22"/>
      <c r="BY220" s="23"/>
      <c r="BZ220" s="24"/>
      <c r="CA220" s="24"/>
      <c r="CB220" s="24"/>
      <c r="CC220" s="24"/>
      <c r="CD220" s="25"/>
      <c r="CE220" s="26"/>
      <c r="CF220" s="26"/>
      <c r="CG220" s="26"/>
      <c r="CH220" s="26"/>
      <c r="CI220" s="27"/>
      <c r="CJ220" s="28"/>
      <c r="CK220" s="28"/>
      <c r="CL220" s="28"/>
      <c r="CM220" s="28"/>
      <c r="CN220" s="25"/>
      <c r="CO220" s="26"/>
      <c r="CP220" s="26"/>
      <c r="CQ220" s="26"/>
      <c r="CR220" s="26"/>
      <c r="CS220" s="27"/>
      <c r="CT220" s="28"/>
      <c r="CU220" s="28"/>
      <c r="CV220" s="28"/>
      <c r="CW220" s="28"/>
      <c r="CX220" s="25"/>
      <c r="CY220" s="26"/>
      <c r="CZ220" s="26"/>
      <c r="DA220" s="26"/>
      <c r="DB220" s="26"/>
      <c r="DC220" s="27"/>
      <c r="DD220" s="28"/>
      <c r="DE220" s="28"/>
      <c r="DF220" s="28"/>
      <c r="DG220" s="28"/>
      <c r="DH220" s="25"/>
      <c r="DI220" s="26"/>
      <c r="DJ220" s="26"/>
      <c r="DK220" s="26"/>
      <c r="DL220" s="26"/>
      <c r="DM220" s="27"/>
      <c r="DN220" s="28"/>
      <c r="DO220" s="28"/>
      <c r="DP220" s="28"/>
      <c r="DQ220" s="28"/>
      <c r="DR220" s="25"/>
      <c r="DS220" s="26"/>
      <c r="DT220" s="26"/>
      <c r="DU220" s="26"/>
      <c r="DV220" s="26"/>
      <c r="DW220" s="27"/>
      <c r="DX220" s="28"/>
      <c r="DY220" s="28"/>
      <c r="DZ220" s="28"/>
      <c r="EA220" s="28"/>
      <c r="EB220" s="29"/>
      <c r="EC220" s="30"/>
      <c r="ED220" s="30"/>
      <c r="EE220" s="30"/>
      <c r="EF220" s="30"/>
      <c r="EG220" s="31"/>
      <c r="EH220" s="32"/>
      <c r="EI220" s="32"/>
      <c r="EJ220" s="32"/>
      <c r="EK220" s="32"/>
      <c r="EL220" s="29"/>
      <c r="EM220" s="30"/>
      <c r="EN220" s="30"/>
      <c r="EO220" s="30"/>
      <c r="EP220" s="30"/>
      <c r="EQ220" s="31"/>
      <c r="ER220" s="32"/>
      <c r="ES220" s="32"/>
      <c r="ET220" s="32"/>
      <c r="EU220" s="32"/>
      <c r="EV220" s="29"/>
      <c r="EW220" s="30"/>
      <c r="EX220" s="30"/>
      <c r="EY220" s="30"/>
      <c r="EZ220" s="30"/>
      <c r="FA220" s="31"/>
      <c r="FB220" s="32"/>
      <c r="FC220" s="32"/>
      <c r="FD220" s="32"/>
      <c r="FE220" s="32"/>
      <c r="FF220" s="29"/>
      <c r="FG220" s="30"/>
      <c r="FH220" s="30"/>
      <c r="FI220" s="30"/>
      <c r="FJ220" s="30"/>
      <c r="FK220" s="31"/>
      <c r="FL220" s="32"/>
      <c r="FM220" s="32"/>
      <c r="FN220" s="32"/>
      <c r="FO220" s="32"/>
      <c r="FP220" s="29"/>
      <c r="FQ220" s="30"/>
      <c r="FR220" s="30"/>
      <c r="FS220" s="30"/>
      <c r="FT220" s="30"/>
      <c r="FU220" s="31"/>
      <c r="FV220" s="32"/>
      <c r="FW220" s="32"/>
      <c r="FX220" s="32"/>
      <c r="FY220" s="32"/>
      <c r="FZ220" s="29"/>
      <c r="GA220" s="30"/>
      <c r="GB220" s="30"/>
      <c r="GC220" s="30"/>
      <c r="GD220" s="30"/>
    </row>
    <row r="221" spans="1:186" ht="48" x14ac:dyDescent="0.25">
      <c r="A221" s="156">
        <v>212</v>
      </c>
      <c r="B221" s="395">
        <f>'Tier 3 Intervention'!B855</f>
        <v>0</v>
      </c>
      <c r="C221" s="395"/>
      <c r="D221" s="395"/>
      <c r="E221" s="395"/>
      <c r="F221" s="395"/>
      <c r="G221" s="395"/>
      <c r="H221" s="761" t="e">
        <f>'Tier 3 Intervention'!AA855+30</f>
        <v>#VALUE!</v>
      </c>
      <c r="I221" s="761"/>
      <c r="J221" s="762" t="e">
        <f t="shared" si="4"/>
        <v>#VALUE!</v>
      </c>
      <c r="K221" s="395"/>
      <c r="L221" s="47" t="s">
        <v>998</v>
      </c>
      <c r="M221" s="46"/>
      <c r="N221" s="46"/>
      <c r="O221" s="46"/>
      <c r="P221" s="49"/>
      <c r="Q221" s="19"/>
      <c r="R221" s="20"/>
      <c r="S221" s="20"/>
      <c r="T221" s="20"/>
      <c r="U221" s="20"/>
      <c r="V221" s="21"/>
      <c r="W221" s="22"/>
      <c r="X221" s="22"/>
      <c r="Y221" s="22"/>
      <c r="Z221" s="22"/>
      <c r="AA221" s="19"/>
      <c r="AB221" s="20"/>
      <c r="AC221" s="20"/>
      <c r="AD221" s="20"/>
      <c r="AE221" s="20"/>
      <c r="AF221" s="21"/>
      <c r="AG221" s="22"/>
      <c r="AH221" s="22"/>
      <c r="AI221" s="22"/>
      <c r="AJ221" s="22"/>
      <c r="AK221" s="19"/>
      <c r="AL221" s="20"/>
      <c r="AM221" s="20"/>
      <c r="AN221" s="20"/>
      <c r="AO221" s="20"/>
      <c r="AP221" s="21"/>
      <c r="AQ221" s="22"/>
      <c r="AR221" s="22"/>
      <c r="AS221" s="22"/>
      <c r="AT221" s="22"/>
      <c r="AU221" s="19"/>
      <c r="AV221" s="20"/>
      <c r="AW221" s="20"/>
      <c r="AX221" s="20"/>
      <c r="AY221" s="20"/>
      <c r="AZ221" s="21"/>
      <c r="BA221" s="22"/>
      <c r="BB221" s="22"/>
      <c r="BC221" s="22"/>
      <c r="BD221" s="22"/>
      <c r="BE221" s="19"/>
      <c r="BF221" s="20"/>
      <c r="BG221" s="20"/>
      <c r="BH221" s="20"/>
      <c r="BI221" s="20"/>
      <c r="BJ221" s="21"/>
      <c r="BK221" s="22"/>
      <c r="BL221" s="22"/>
      <c r="BM221" s="22"/>
      <c r="BN221" s="22"/>
      <c r="BO221" s="19"/>
      <c r="BP221" s="20"/>
      <c r="BQ221" s="20"/>
      <c r="BR221" s="20"/>
      <c r="BS221" s="20"/>
      <c r="BT221" s="21"/>
      <c r="BU221" s="22"/>
      <c r="BV221" s="22"/>
      <c r="BW221" s="22"/>
      <c r="BX221" s="22"/>
      <c r="BY221" s="23"/>
      <c r="BZ221" s="24"/>
      <c r="CA221" s="24"/>
      <c r="CB221" s="24"/>
      <c r="CC221" s="24"/>
      <c r="CD221" s="25"/>
      <c r="CE221" s="26"/>
      <c r="CF221" s="26"/>
      <c r="CG221" s="26"/>
      <c r="CH221" s="26"/>
      <c r="CI221" s="27"/>
      <c r="CJ221" s="28"/>
      <c r="CK221" s="28"/>
      <c r="CL221" s="28"/>
      <c r="CM221" s="28"/>
      <c r="CN221" s="25"/>
      <c r="CO221" s="26"/>
      <c r="CP221" s="26"/>
      <c r="CQ221" s="26"/>
      <c r="CR221" s="26"/>
      <c r="CS221" s="27"/>
      <c r="CT221" s="28"/>
      <c r="CU221" s="28"/>
      <c r="CV221" s="28"/>
      <c r="CW221" s="28"/>
      <c r="CX221" s="25"/>
      <c r="CY221" s="26"/>
      <c r="CZ221" s="26"/>
      <c r="DA221" s="26"/>
      <c r="DB221" s="26"/>
      <c r="DC221" s="27"/>
      <c r="DD221" s="28"/>
      <c r="DE221" s="28"/>
      <c r="DF221" s="28"/>
      <c r="DG221" s="28"/>
      <c r="DH221" s="25"/>
      <c r="DI221" s="26"/>
      <c r="DJ221" s="26"/>
      <c r="DK221" s="26"/>
      <c r="DL221" s="26"/>
      <c r="DM221" s="27"/>
      <c r="DN221" s="28"/>
      <c r="DO221" s="28"/>
      <c r="DP221" s="28"/>
      <c r="DQ221" s="28"/>
      <c r="DR221" s="25"/>
      <c r="DS221" s="26"/>
      <c r="DT221" s="26"/>
      <c r="DU221" s="26"/>
      <c r="DV221" s="26"/>
      <c r="DW221" s="27"/>
      <c r="DX221" s="28"/>
      <c r="DY221" s="28"/>
      <c r="DZ221" s="28"/>
      <c r="EA221" s="28"/>
      <c r="EB221" s="29"/>
      <c r="EC221" s="30"/>
      <c r="ED221" s="30"/>
      <c r="EE221" s="30"/>
      <c r="EF221" s="30"/>
      <c r="EG221" s="31"/>
      <c r="EH221" s="32"/>
      <c r="EI221" s="32"/>
      <c r="EJ221" s="32"/>
      <c r="EK221" s="32"/>
      <c r="EL221" s="29"/>
      <c r="EM221" s="30"/>
      <c r="EN221" s="30"/>
      <c r="EO221" s="30"/>
      <c r="EP221" s="30"/>
      <c r="EQ221" s="31"/>
      <c r="ER221" s="32"/>
      <c r="ES221" s="32"/>
      <c r="ET221" s="32"/>
      <c r="EU221" s="32"/>
      <c r="EV221" s="29"/>
      <c r="EW221" s="30"/>
      <c r="EX221" s="30"/>
      <c r="EY221" s="30"/>
      <c r="EZ221" s="30"/>
      <c r="FA221" s="31"/>
      <c r="FB221" s="32"/>
      <c r="FC221" s="32"/>
      <c r="FD221" s="32"/>
      <c r="FE221" s="32"/>
      <c r="FF221" s="29"/>
      <c r="FG221" s="30"/>
      <c r="FH221" s="30"/>
      <c r="FI221" s="30"/>
      <c r="FJ221" s="30"/>
      <c r="FK221" s="31"/>
      <c r="FL221" s="32"/>
      <c r="FM221" s="32"/>
      <c r="FN221" s="32"/>
      <c r="FO221" s="32"/>
      <c r="FP221" s="29"/>
      <c r="FQ221" s="30"/>
      <c r="FR221" s="30"/>
      <c r="FS221" s="30"/>
      <c r="FT221" s="30"/>
      <c r="FU221" s="31"/>
      <c r="FV221" s="32"/>
      <c r="FW221" s="32"/>
      <c r="FX221" s="32"/>
      <c r="FY221" s="32"/>
      <c r="FZ221" s="29"/>
      <c r="GA221" s="30"/>
      <c r="GB221" s="30"/>
      <c r="GC221" s="30"/>
      <c r="GD221" s="30"/>
    </row>
    <row r="222" spans="1:186" ht="48" x14ac:dyDescent="0.25">
      <c r="A222" s="156">
        <v>213</v>
      </c>
      <c r="B222" s="395">
        <f>'Tier 3 Intervention'!B859</f>
        <v>0</v>
      </c>
      <c r="C222" s="395"/>
      <c r="D222" s="395"/>
      <c r="E222" s="395"/>
      <c r="F222" s="395"/>
      <c r="G222" s="395"/>
      <c r="H222" s="761" t="e">
        <f>'Tier 3 Intervention'!AA859+30</f>
        <v>#VALUE!</v>
      </c>
      <c r="I222" s="761"/>
      <c r="J222" s="762" t="e">
        <f t="shared" si="4"/>
        <v>#VALUE!</v>
      </c>
      <c r="K222" s="395"/>
      <c r="L222" s="47" t="s">
        <v>999</v>
      </c>
      <c r="M222" s="46"/>
      <c r="N222" s="46"/>
      <c r="O222" s="46"/>
      <c r="P222" s="49"/>
      <c r="Q222" s="19"/>
      <c r="R222" s="20"/>
      <c r="S222" s="20"/>
      <c r="T222" s="20"/>
      <c r="U222" s="20"/>
      <c r="V222" s="21"/>
      <c r="W222" s="22"/>
      <c r="X222" s="22"/>
      <c r="Y222" s="22"/>
      <c r="Z222" s="22"/>
      <c r="AA222" s="19"/>
      <c r="AB222" s="20"/>
      <c r="AC222" s="20"/>
      <c r="AD222" s="20"/>
      <c r="AE222" s="20"/>
      <c r="AF222" s="21"/>
      <c r="AG222" s="22"/>
      <c r="AH222" s="22"/>
      <c r="AI222" s="22"/>
      <c r="AJ222" s="22"/>
      <c r="AK222" s="19"/>
      <c r="AL222" s="20"/>
      <c r="AM222" s="20"/>
      <c r="AN222" s="20"/>
      <c r="AO222" s="20"/>
      <c r="AP222" s="21"/>
      <c r="AQ222" s="22"/>
      <c r="AR222" s="22"/>
      <c r="AS222" s="22"/>
      <c r="AT222" s="22"/>
      <c r="AU222" s="19"/>
      <c r="AV222" s="20"/>
      <c r="AW222" s="20"/>
      <c r="AX222" s="20"/>
      <c r="AY222" s="20"/>
      <c r="AZ222" s="21"/>
      <c r="BA222" s="22"/>
      <c r="BB222" s="22"/>
      <c r="BC222" s="22"/>
      <c r="BD222" s="22"/>
      <c r="BE222" s="19"/>
      <c r="BF222" s="20"/>
      <c r="BG222" s="20"/>
      <c r="BH222" s="20"/>
      <c r="BI222" s="20"/>
      <c r="BJ222" s="21"/>
      <c r="BK222" s="22"/>
      <c r="BL222" s="22"/>
      <c r="BM222" s="22"/>
      <c r="BN222" s="22"/>
      <c r="BO222" s="19"/>
      <c r="BP222" s="20"/>
      <c r="BQ222" s="20"/>
      <c r="BR222" s="20"/>
      <c r="BS222" s="20"/>
      <c r="BT222" s="21"/>
      <c r="BU222" s="22"/>
      <c r="BV222" s="22"/>
      <c r="BW222" s="22"/>
      <c r="BX222" s="22"/>
      <c r="BY222" s="23"/>
      <c r="BZ222" s="24"/>
      <c r="CA222" s="24"/>
      <c r="CB222" s="24"/>
      <c r="CC222" s="24"/>
      <c r="CD222" s="25"/>
      <c r="CE222" s="26"/>
      <c r="CF222" s="26"/>
      <c r="CG222" s="26"/>
      <c r="CH222" s="26"/>
      <c r="CI222" s="27"/>
      <c r="CJ222" s="28"/>
      <c r="CK222" s="28"/>
      <c r="CL222" s="28"/>
      <c r="CM222" s="28"/>
      <c r="CN222" s="25"/>
      <c r="CO222" s="26"/>
      <c r="CP222" s="26"/>
      <c r="CQ222" s="26"/>
      <c r="CR222" s="26"/>
      <c r="CS222" s="27"/>
      <c r="CT222" s="28"/>
      <c r="CU222" s="28"/>
      <c r="CV222" s="28"/>
      <c r="CW222" s="28"/>
      <c r="CX222" s="25"/>
      <c r="CY222" s="26"/>
      <c r="CZ222" s="26"/>
      <c r="DA222" s="26"/>
      <c r="DB222" s="26"/>
      <c r="DC222" s="27"/>
      <c r="DD222" s="28"/>
      <c r="DE222" s="28"/>
      <c r="DF222" s="28"/>
      <c r="DG222" s="28"/>
      <c r="DH222" s="25"/>
      <c r="DI222" s="26"/>
      <c r="DJ222" s="26"/>
      <c r="DK222" s="26"/>
      <c r="DL222" s="26"/>
      <c r="DM222" s="27"/>
      <c r="DN222" s="28"/>
      <c r="DO222" s="28"/>
      <c r="DP222" s="28"/>
      <c r="DQ222" s="28"/>
      <c r="DR222" s="25"/>
      <c r="DS222" s="26"/>
      <c r="DT222" s="26"/>
      <c r="DU222" s="26"/>
      <c r="DV222" s="26"/>
      <c r="DW222" s="27"/>
      <c r="DX222" s="28"/>
      <c r="DY222" s="28"/>
      <c r="DZ222" s="28"/>
      <c r="EA222" s="28"/>
      <c r="EB222" s="29"/>
      <c r="EC222" s="30"/>
      <c r="ED222" s="30"/>
      <c r="EE222" s="30"/>
      <c r="EF222" s="30"/>
      <c r="EG222" s="31"/>
      <c r="EH222" s="32"/>
      <c r="EI222" s="32"/>
      <c r="EJ222" s="32"/>
      <c r="EK222" s="32"/>
      <c r="EL222" s="29"/>
      <c r="EM222" s="30"/>
      <c r="EN222" s="30"/>
      <c r="EO222" s="30"/>
      <c r="EP222" s="30"/>
      <c r="EQ222" s="31"/>
      <c r="ER222" s="32"/>
      <c r="ES222" s="32"/>
      <c r="ET222" s="32"/>
      <c r="EU222" s="32"/>
      <c r="EV222" s="29"/>
      <c r="EW222" s="30"/>
      <c r="EX222" s="30"/>
      <c r="EY222" s="30"/>
      <c r="EZ222" s="30"/>
      <c r="FA222" s="31"/>
      <c r="FB222" s="32"/>
      <c r="FC222" s="32"/>
      <c r="FD222" s="32"/>
      <c r="FE222" s="32"/>
      <c r="FF222" s="29"/>
      <c r="FG222" s="30"/>
      <c r="FH222" s="30"/>
      <c r="FI222" s="30"/>
      <c r="FJ222" s="30"/>
      <c r="FK222" s="31"/>
      <c r="FL222" s="32"/>
      <c r="FM222" s="32"/>
      <c r="FN222" s="32"/>
      <c r="FO222" s="32"/>
      <c r="FP222" s="29"/>
      <c r="FQ222" s="30"/>
      <c r="FR222" s="30"/>
      <c r="FS222" s="30"/>
      <c r="FT222" s="30"/>
      <c r="FU222" s="31"/>
      <c r="FV222" s="32"/>
      <c r="FW222" s="32"/>
      <c r="FX222" s="32"/>
      <c r="FY222" s="32"/>
      <c r="FZ222" s="29"/>
      <c r="GA222" s="30"/>
      <c r="GB222" s="30"/>
      <c r="GC222" s="30"/>
      <c r="GD222" s="30"/>
    </row>
    <row r="223" spans="1:186" ht="48" x14ac:dyDescent="0.25">
      <c r="A223" s="156">
        <v>214</v>
      </c>
      <c r="B223" s="395">
        <f>'Tier 3 Intervention'!B863</f>
        <v>0</v>
      </c>
      <c r="C223" s="395"/>
      <c r="D223" s="395"/>
      <c r="E223" s="395"/>
      <c r="F223" s="395"/>
      <c r="G223" s="395"/>
      <c r="H223" s="761" t="e">
        <f>'Tier 3 Intervention'!AA863+30</f>
        <v>#VALUE!</v>
      </c>
      <c r="I223" s="761"/>
      <c r="J223" s="762" t="e">
        <f t="shared" si="4"/>
        <v>#VALUE!</v>
      </c>
      <c r="K223" s="395"/>
      <c r="L223" s="47" t="s">
        <v>1000</v>
      </c>
      <c r="M223" s="46"/>
      <c r="N223" s="46"/>
      <c r="O223" s="46"/>
      <c r="P223" s="49"/>
      <c r="Q223" s="19"/>
      <c r="R223" s="20"/>
      <c r="S223" s="20"/>
      <c r="T223" s="20"/>
      <c r="U223" s="20"/>
      <c r="V223" s="21"/>
      <c r="W223" s="22"/>
      <c r="X223" s="22"/>
      <c r="Y223" s="22"/>
      <c r="Z223" s="22"/>
      <c r="AA223" s="19"/>
      <c r="AB223" s="20"/>
      <c r="AC223" s="20"/>
      <c r="AD223" s="20"/>
      <c r="AE223" s="20"/>
      <c r="AF223" s="21"/>
      <c r="AG223" s="22"/>
      <c r="AH223" s="22"/>
      <c r="AI223" s="22"/>
      <c r="AJ223" s="22"/>
      <c r="AK223" s="19"/>
      <c r="AL223" s="20"/>
      <c r="AM223" s="20"/>
      <c r="AN223" s="20"/>
      <c r="AO223" s="20"/>
      <c r="AP223" s="21"/>
      <c r="AQ223" s="22"/>
      <c r="AR223" s="22"/>
      <c r="AS223" s="22"/>
      <c r="AT223" s="22"/>
      <c r="AU223" s="19"/>
      <c r="AV223" s="20"/>
      <c r="AW223" s="20"/>
      <c r="AX223" s="20"/>
      <c r="AY223" s="20"/>
      <c r="AZ223" s="21"/>
      <c r="BA223" s="22"/>
      <c r="BB223" s="22"/>
      <c r="BC223" s="22"/>
      <c r="BD223" s="22"/>
      <c r="BE223" s="19"/>
      <c r="BF223" s="20"/>
      <c r="BG223" s="20"/>
      <c r="BH223" s="20"/>
      <c r="BI223" s="20"/>
      <c r="BJ223" s="21"/>
      <c r="BK223" s="22"/>
      <c r="BL223" s="22"/>
      <c r="BM223" s="22"/>
      <c r="BN223" s="22"/>
      <c r="BO223" s="19"/>
      <c r="BP223" s="20"/>
      <c r="BQ223" s="20"/>
      <c r="BR223" s="20"/>
      <c r="BS223" s="20"/>
      <c r="BT223" s="21"/>
      <c r="BU223" s="22"/>
      <c r="BV223" s="22"/>
      <c r="BW223" s="22"/>
      <c r="BX223" s="22"/>
      <c r="BY223" s="23"/>
      <c r="BZ223" s="24"/>
      <c r="CA223" s="24"/>
      <c r="CB223" s="24"/>
      <c r="CC223" s="24"/>
      <c r="CD223" s="25"/>
      <c r="CE223" s="26"/>
      <c r="CF223" s="26"/>
      <c r="CG223" s="26"/>
      <c r="CH223" s="26"/>
      <c r="CI223" s="27"/>
      <c r="CJ223" s="28"/>
      <c r="CK223" s="28"/>
      <c r="CL223" s="28"/>
      <c r="CM223" s="28"/>
      <c r="CN223" s="25"/>
      <c r="CO223" s="26"/>
      <c r="CP223" s="26"/>
      <c r="CQ223" s="26"/>
      <c r="CR223" s="26"/>
      <c r="CS223" s="27"/>
      <c r="CT223" s="28"/>
      <c r="CU223" s="28"/>
      <c r="CV223" s="28"/>
      <c r="CW223" s="28"/>
      <c r="CX223" s="25"/>
      <c r="CY223" s="26"/>
      <c r="CZ223" s="26"/>
      <c r="DA223" s="26"/>
      <c r="DB223" s="26"/>
      <c r="DC223" s="27"/>
      <c r="DD223" s="28"/>
      <c r="DE223" s="28"/>
      <c r="DF223" s="28"/>
      <c r="DG223" s="28"/>
      <c r="DH223" s="25"/>
      <c r="DI223" s="26"/>
      <c r="DJ223" s="26"/>
      <c r="DK223" s="26"/>
      <c r="DL223" s="26"/>
      <c r="DM223" s="27"/>
      <c r="DN223" s="28"/>
      <c r="DO223" s="28"/>
      <c r="DP223" s="28"/>
      <c r="DQ223" s="28"/>
      <c r="DR223" s="25"/>
      <c r="DS223" s="26"/>
      <c r="DT223" s="26"/>
      <c r="DU223" s="26"/>
      <c r="DV223" s="26"/>
      <c r="DW223" s="27"/>
      <c r="DX223" s="28"/>
      <c r="DY223" s="28"/>
      <c r="DZ223" s="28"/>
      <c r="EA223" s="28"/>
      <c r="EB223" s="29"/>
      <c r="EC223" s="30"/>
      <c r="ED223" s="30"/>
      <c r="EE223" s="30"/>
      <c r="EF223" s="30"/>
      <c r="EG223" s="31"/>
      <c r="EH223" s="32"/>
      <c r="EI223" s="32"/>
      <c r="EJ223" s="32"/>
      <c r="EK223" s="32"/>
      <c r="EL223" s="29"/>
      <c r="EM223" s="30"/>
      <c r="EN223" s="30"/>
      <c r="EO223" s="30"/>
      <c r="EP223" s="30"/>
      <c r="EQ223" s="31"/>
      <c r="ER223" s="32"/>
      <c r="ES223" s="32"/>
      <c r="ET223" s="32"/>
      <c r="EU223" s="32"/>
      <c r="EV223" s="29"/>
      <c r="EW223" s="30"/>
      <c r="EX223" s="30"/>
      <c r="EY223" s="30"/>
      <c r="EZ223" s="30"/>
      <c r="FA223" s="31"/>
      <c r="FB223" s="32"/>
      <c r="FC223" s="32"/>
      <c r="FD223" s="32"/>
      <c r="FE223" s="32"/>
      <c r="FF223" s="29"/>
      <c r="FG223" s="30"/>
      <c r="FH223" s="30"/>
      <c r="FI223" s="30"/>
      <c r="FJ223" s="30"/>
      <c r="FK223" s="31"/>
      <c r="FL223" s="32"/>
      <c r="FM223" s="32"/>
      <c r="FN223" s="32"/>
      <c r="FO223" s="32"/>
      <c r="FP223" s="29"/>
      <c r="FQ223" s="30"/>
      <c r="FR223" s="30"/>
      <c r="FS223" s="30"/>
      <c r="FT223" s="30"/>
      <c r="FU223" s="31"/>
      <c r="FV223" s="32"/>
      <c r="FW223" s="32"/>
      <c r="FX223" s="32"/>
      <c r="FY223" s="32"/>
      <c r="FZ223" s="29"/>
      <c r="GA223" s="30"/>
      <c r="GB223" s="30"/>
      <c r="GC223" s="30"/>
      <c r="GD223" s="30"/>
    </row>
    <row r="224" spans="1:186" ht="48" x14ac:dyDescent="0.25">
      <c r="A224" s="156">
        <v>215</v>
      </c>
      <c r="B224" s="395">
        <f>'Tier 3 Intervention'!B867</f>
        <v>0</v>
      </c>
      <c r="C224" s="395"/>
      <c r="D224" s="395"/>
      <c r="E224" s="395"/>
      <c r="F224" s="395"/>
      <c r="G224" s="395"/>
      <c r="H224" s="761" t="e">
        <f>'Tier 3 Intervention'!AA867+30</f>
        <v>#VALUE!</v>
      </c>
      <c r="I224" s="761"/>
      <c r="J224" s="762" t="e">
        <f t="shared" si="4"/>
        <v>#VALUE!</v>
      </c>
      <c r="K224" s="395"/>
      <c r="L224" s="47" t="s">
        <v>1001</v>
      </c>
      <c r="M224" s="46"/>
      <c r="N224" s="46"/>
      <c r="O224" s="46"/>
      <c r="P224" s="49"/>
      <c r="Q224" s="19"/>
      <c r="R224" s="20"/>
      <c r="S224" s="20"/>
      <c r="T224" s="20"/>
      <c r="U224" s="20"/>
      <c r="V224" s="21"/>
      <c r="W224" s="22"/>
      <c r="X224" s="22"/>
      <c r="Y224" s="22"/>
      <c r="Z224" s="22"/>
      <c r="AA224" s="19"/>
      <c r="AB224" s="20"/>
      <c r="AC224" s="20"/>
      <c r="AD224" s="20"/>
      <c r="AE224" s="20"/>
      <c r="AF224" s="21"/>
      <c r="AG224" s="22"/>
      <c r="AH224" s="22"/>
      <c r="AI224" s="22"/>
      <c r="AJ224" s="22"/>
      <c r="AK224" s="19"/>
      <c r="AL224" s="20"/>
      <c r="AM224" s="20"/>
      <c r="AN224" s="20"/>
      <c r="AO224" s="20"/>
      <c r="AP224" s="21"/>
      <c r="AQ224" s="22"/>
      <c r="AR224" s="22"/>
      <c r="AS224" s="22"/>
      <c r="AT224" s="22"/>
      <c r="AU224" s="19"/>
      <c r="AV224" s="20"/>
      <c r="AW224" s="20"/>
      <c r="AX224" s="20"/>
      <c r="AY224" s="20"/>
      <c r="AZ224" s="21"/>
      <c r="BA224" s="22"/>
      <c r="BB224" s="22"/>
      <c r="BC224" s="22"/>
      <c r="BD224" s="22"/>
      <c r="BE224" s="19"/>
      <c r="BF224" s="20"/>
      <c r="BG224" s="20"/>
      <c r="BH224" s="20"/>
      <c r="BI224" s="20"/>
      <c r="BJ224" s="21"/>
      <c r="BK224" s="22"/>
      <c r="BL224" s="22"/>
      <c r="BM224" s="22"/>
      <c r="BN224" s="22"/>
      <c r="BO224" s="19"/>
      <c r="BP224" s="20"/>
      <c r="BQ224" s="20"/>
      <c r="BR224" s="20"/>
      <c r="BS224" s="20"/>
      <c r="BT224" s="21"/>
      <c r="BU224" s="22"/>
      <c r="BV224" s="22"/>
      <c r="BW224" s="22"/>
      <c r="BX224" s="22"/>
      <c r="BY224" s="23"/>
      <c r="BZ224" s="24"/>
      <c r="CA224" s="24"/>
      <c r="CB224" s="24"/>
      <c r="CC224" s="24"/>
      <c r="CD224" s="25"/>
      <c r="CE224" s="26"/>
      <c r="CF224" s="26"/>
      <c r="CG224" s="26"/>
      <c r="CH224" s="26"/>
      <c r="CI224" s="27"/>
      <c r="CJ224" s="28"/>
      <c r="CK224" s="28"/>
      <c r="CL224" s="28"/>
      <c r="CM224" s="28"/>
      <c r="CN224" s="25"/>
      <c r="CO224" s="26"/>
      <c r="CP224" s="26"/>
      <c r="CQ224" s="26"/>
      <c r="CR224" s="26"/>
      <c r="CS224" s="27"/>
      <c r="CT224" s="28"/>
      <c r="CU224" s="28"/>
      <c r="CV224" s="28"/>
      <c r="CW224" s="28"/>
      <c r="CX224" s="25"/>
      <c r="CY224" s="26"/>
      <c r="CZ224" s="26"/>
      <c r="DA224" s="26"/>
      <c r="DB224" s="26"/>
      <c r="DC224" s="27"/>
      <c r="DD224" s="28"/>
      <c r="DE224" s="28"/>
      <c r="DF224" s="28"/>
      <c r="DG224" s="28"/>
      <c r="DH224" s="25"/>
      <c r="DI224" s="26"/>
      <c r="DJ224" s="26"/>
      <c r="DK224" s="26"/>
      <c r="DL224" s="26"/>
      <c r="DM224" s="27"/>
      <c r="DN224" s="28"/>
      <c r="DO224" s="28"/>
      <c r="DP224" s="28"/>
      <c r="DQ224" s="28"/>
      <c r="DR224" s="25"/>
      <c r="DS224" s="26"/>
      <c r="DT224" s="26"/>
      <c r="DU224" s="26"/>
      <c r="DV224" s="26"/>
      <c r="DW224" s="27"/>
      <c r="DX224" s="28"/>
      <c r="DY224" s="28"/>
      <c r="DZ224" s="28"/>
      <c r="EA224" s="28"/>
      <c r="EB224" s="29"/>
      <c r="EC224" s="30"/>
      <c r="ED224" s="30"/>
      <c r="EE224" s="30"/>
      <c r="EF224" s="30"/>
      <c r="EG224" s="31"/>
      <c r="EH224" s="32"/>
      <c r="EI224" s="32"/>
      <c r="EJ224" s="32"/>
      <c r="EK224" s="32"/>
      <c r="EL224" s="29"/>
      <c r="EM224" s="30"/>
      <c r="EN224" s="30"/>
      <c r="EO224" s="30"/>
      <c r="EP224" s="30"/>
      <c r="EQ224" s="31"/>
      <c r="ER224" s="32"/>
      <c r="ES224" s="32"/>
      <c r="ET224" s="32"/>
      <c r="EU224" s="32"/>
      <c r="EV224" s="29"/>
      <c r="EW224" s="30"/>
      <c r="EX224" s="30"/>
      <c r="EY224" s="30"/>
      <c r="EZ224" s="30"/>
      <c r="FA224" s="31"/>
      <c r="FB224" s="32"/>
      <c r="FC224" s="32"/>
      <c r="FD224" s="32"/>
      <c r="FE224" s="32"/>
      <c r="FF224" s="29"/>
      <c r="FG224" s="30"/>
      <c r="FH224" s="30"/>
      <c r="FI224" s="30"/>
      <c r="FJ224" s="30"/>
      <c r="FK224" s="31"/>
      <c r="FL224" s="32"/>
      <c r="FM224" s="32"/>
      <c r="FN224" s="32"/>
      <c r="FO224" s="32"/>
      <c r="FP224" s="29"/>
      <c r="FQ224" s="30"/>
      <c r="FR224" s="30"/>
      <c r="FS224" s="30"/>
      <c r="FT224" s="30"/>
      <c r="FU224" s="31"/>
      <c r="FV224" s="32"/>
      <c r="FW224" s="32"/>
      <c r="FX224" s="32"/>
      <c r="FY224" s="32"/>
      <c r="FZ224" s="29"/>
      <c r="GA224" s="30"/>
      <c r="GB224" s="30"/>
      <c r="GC224" s="30"/>
      <c r="GD224" s="30"/>
    </row>
    <row r="225" spans="1:186" ht="48" x14ac:dyDescent="0.25">
      <c r="A225" s="156">
        <v>216</v>
      </c>
      <c r="B225" s="395">
        <f>'Tier 3 Intervention'!B871</f>
        <v>0</v>
      </c>
      <c r="C225" s="395"/>
      <c r="D225" s="395"/>
      <c r="E225" s="395"/>
      <c r="F225" s="395"/>
      <c r="G225" s="395"/>
      <c r="H225" s="761" t="e">
        <f>'Tier 3 Intervention'!AA871+30</f>
        <v>#VALUE!</v>
      </c>
      <c r="I225" s="761"/>
      <c r="J225" s="762" t="e">
        <f t="shared" si="4"/>
        <v>#VALUE!</v>
      </c>
      <c r="K225" s="395"/>
      <c r="L225" s="47" t="s">
        <v>1002</v>
      </c>
      <c r="M225" s="46"/>
      <c r="N225" s="46"/>
      <c r="O225" s="46"/>
      <c r="P225" s="49"/>
      <c r="Q225" s="19"/>
      <c r="R225" s="20"/>
      <c r="S225" s="20"/>
      <c r="T225" s="20"/>
      <c r="U225" s="20"/>
      <c r="V225" s="21"/>
      <c r="W225" s="22"/>
      <c r="X225" s="22"/>
      <c r="Y225" s="22"/>
      <c r="Z225" s="22"/>
      <c r="AA225" s="19"/>
      <c r="AB225" s="20"/>
      <c r="AC225" s="20"/>
      <c r="AD225" s="20"/>
      <c r="AE225" s="20"/>
      <c r="AF225" s="21"/>
      <c r="AG225" s="22"/>
      <c r="AH225" s="22"/>
      <c r="AI225" s="22"/>
      <c r="AJ225" s="22"/>
      <c r="AK225" s="19"/>
      <c r="AL225" s="20"/>
      <c r="AM225" s="20"/>
      <c r="AN225" s="20"/>
      <c r="AO225" s="20"/>
      <c r="AP225" s="21"/>
      <c r="AQ225" s="22"/>
      <c r="AR225" s="22"/>
      <c r="AS225" s="22"/>
      <c r="AT225" s="22"/>
      <c r="AU225" s="19"/>
      <c r="AV225" s="20"/>
      <c r="AW225" s="20"/>
      <c r="AX225" s="20"/>
      <c r="AY225" s="20"/>
      <c r="AZ225" s="21"/>
      <c r="BA225" s="22"/>
      <c r="BB225" s="22"/>
      <c r="BC225" s="22"/>
      <c r="BD225" s="22"/>
      <c r="BE225" s="19"/>
      <c r="BF225" s="20"/>
      <c r="BG225" s="20"/>
      <c r="BH225" s="20"/>
      <c r="BI225" s="20"/>
      <c r="BJ225" s="21"/>
      <c r="BK225" s="22"/>
      <c r="BL225" s="22"/>
      <c r="BM225" s="22"/>
      <c r="BN225" s="22"/>
      <c r="BO225" s="19"/>
      <c r="BP225" s="20"/>
      <c r="BQ225" s="20"/>
      <c r="BR225" s="20"/>
      <c r="BS225" s="20"/>
      <c r="BT225" s="21"/>
      <c r="BU225" s="22"/>
      <c r="BV225" s="22"/>
      <c r="BW225" s="22"/>
      <c r="BX225" s="22"/>
      <c r="BY225" s="23"/>
      <c r="BZ225" s="24"/>
      <c r="CA225" s="24"/>
      <c r="CB225" s="24"/>
      <c r="CC225" s="24"/>
      <c r="CD225" s="25"/>
      <c r="CE225" s="26"/>
      <c r="CF225" s="26"/>
      <c r="CG225" s="26"/>
      <c r="CH225" s="26"/>
      <c r="CI225" s="27"/>
      <c r="CJ225" s="28"/>
      <c r="CK225" s="28"/>
      <c r="CL225" s="28"/>
      <c r="CM225" s="28"/>
      <c r="CN225" s="25"/>
      <c r="CO225" s="26"/>
      <c r="CP225" s="26"/>
      <c r="CQ225" s="26"/>
      <c r="CR225" s="26"/>
      <c r="CS225" s="27"/>
      <c r="CT225" s="28"/>
      <c r="CU225" s="28"/>
      <c r="CV225" s="28"/>
      <c r="CW225" s="28"/>
      <c r="CX225" s="25"/>
      <c r="CY225" s="26"/>
      <c r="CZ225" s="26"/>
      <c r="DA225" s="26"/>
      <c r="DB225" s="26"/>
      <c r="DC225" s="27"/>
      <c r="DD225" s="28"/>
      <c r="DE225" s="28"/>
      <c r="DF225" s="28"/>
      <c r="DG225" s="28"/>
      <c r="DH225" s="25"/>
      <c r="DI225" s="26"/>
      <c r="DJ225" s="26"/>
      <c r="DK225" s="26"/>
      <c r="DL225" s="26"/>
      <c r="DM225" s="27"/>
      <c r="DN225" s="28"/>
      <c r="DO225" s="28"/>
      <c r="DP225" s="28"/>
      <c r="DQ225" s="28"/>
      <c r="DR225" s="25"/>
      <c r="DS225" s="26"/>
      <c r="DT225" s="26"/>
      <c r="DU225" s="26"/>
      <c r="DV225" s="26"/>
      <c r="DW225" s="27"/>
      <c r="DX225" s="28"/>
      <c r="DY225" s="28"/>
      <c r="DZ225" s="28"/>
      <c r="EA225" s="28"/>
      <c r="EB225" s="29"/>
      <c r="EC225" s="30"/>
      <c r="ED225" s="30"/>
      <c r="EE225" s="30"/>
      <c r="EF225" s="30"/>
      <c r="EG225" s="31"/>
      <c r="EH225" s="32"/>
      <c r="EI225" s="32"/>
      <c r="EJ225" s="32"/>
      <c r="EK225" s="32"/>
      <c r="EL225" s="29"/>
      <c r="EM225" s="30"/>
      <c r="EN225" s="30"/>
      <c r="EO225" s="30"/>
      <c r="EP225" s="30"/>
      <c r="EQ225" s="31"/>
      <c r="ER225" s="32"/>
      <c r="ES225" s="32"/>
      <c r="ET225" s="32"/>
      <c r="EU225" s="32"/>
      <c r="EV225" s="29"/>
      <c r="EW225" s="30"/>
      <c r="EX225" s="30"/>
      <c r="EY225" s="30"/>
      <c r="EZ225" s="30"/>
      <c r="FA225" s="31"/>
      <c r="FB225" s="32"/>
      <c r="FC225" s="32"/>
      <c r="FD225" s="32"/>
      <c r="FE225" s="32"/>
      <c r="FF225" s="29"/>
      <c r="FG225" s="30"/>
      <c r="FH225" s="30"/>
      <c r="FI225" s="30"/>
      <c r="FJ225" s="30"/>
      <c r="FK225" s="31"/>
      <c r="FL225" s="32"/>
      <c r="FM225" s="32"/>
      <c r="FN225" s="32"/>
      <c r="FO225" s="32"/>
      <c r="FP225" s="29"/>
      <c r="FQ225" s="30"/>
      <c r="FR225" s="30"/>
      <c r="FS225" s="30"/>
      <c r="FT225" s="30"/>
      <c r="FU225" s="31"/>
      <c r="FV225" s="32"/>
      <c r="FW225" s="32"/>
      <c r="FX225" s="32"/>
      <c r="FY225" s="32"/>
      <c r="FZ225" s="29"/>
      <c r="GA225" s="30"/>
      <c r="GB225" s="30"/>
      <c r="GC225" s="30"/>
      <c r="GD225" s="30"/>
    </row>
    <row r="226" spans="1:186" ht="48" x14ac:dyDescent="0.25">
      <c r="A226" s="156">
        <v>217</v>
      </c>
      <c r="B226" s="395">
        <f>'Tier 3 Intervention'!B875</f>
        <v>0</v>
      </c>
      <c r="C226" s="395"/>
      <c r="D226" s="395"/>
      <c r="E226" s="395"/>
      <c r="F226" s="395"/>
      <c r="G226" s="395"/>
      <c r="H226" s="761" t="e">
        <f>'Tier 3 Intervention'!AA875+30</f>
        <v>#VALUE!</v>
      </c>
      <c r="I226" s="761"/>
      <c r="J226" s="762" t="e">
        <f t="shared" si="4"/>
        <v>#VALUE!</v>
      </c>
      <c r="K226" s="395"/>
      <c r="L226" s="47" t="s">
        <v>1003</v>
      </c>
      <c r="M226" s="46"/>
      <c r="N226" s="46"/>
      <c r="O226" s="46"/>
      <c r="P226" s="49"/>
      <c r="Q226" s="19"/>
      <c r="R226" s="20"/>
      <c r="S226" s="20"/>
      <c r="T226" s="20"/>
      <c r="U226" s="20"/>
      <c r="V226" s="21"/>
      <c r="W226" s="22"/>
      <c r="X226" s="22"/>
      <c r="Y226" s="22"/>
      <c r="Z226" s="22"/>
      <c r="AA226" s="19"/>
      <c r="AB226" s="20"/>
      <c r="AC226" s="20"/>
      <c r="AD226" s="20"/>
      <c r="AE226" s="20"/>
      <c r="AF226" s="21"/>
      <c r="AG226" s="22"/>
      <c r="AH226" s="22"/>
      <c r="AI226" s="22"/>
      <c r="AJ226" s="22"/>
      <c r="AK226" s="19"/>
      <c r="AL226" s="20"/>
      <c r="AM226" s="20"/>
      <c r="AN226" s="20"/>
      <c r="AO226" s="20"/>
      <c r="AP226" s="21"/>
      <c r="AQ226" s="22"/>
      <c r="AR226" s="22"/>
      <c r="AS226" s="22"/>
      <c r="AT226" s="22"/>
      <c r="AU226" s="19"/>
      <c r="AV226" s="20"/>
      <c r="AW226" s="20"/>
      <c r="AX226" s="20"/>
      <c r="AY226" s="20"/>
      <c r="AZ226" s="21"/>
      <c r="BA226" s="22"/>
      <c r="BB226" s="22"/>
      <c r="BC226" s="22"/>
      <c r="BD226" s="22"/>
      <c r="BE226" s="19"/>
      <c r="BF226" s="20"/>
      <c r="BG226" s="20"/>
      <c r="BH226" s="20"/>
      <c r="BI226" s="20"/>
      <c r="BJ226" s="21"/>
      <c r="BK226" s="22"/>
      <c r="BL226" s="22"/>
      <c r="BM226" s="22"/>
      <c r="BN226" s="22"/>
      <c r="BO226" s="19"/>
      <c r="BP226" s="20"/>
      <c r="BQ226" s="20"/>
      <c r="BR226" s="20"/>
      <c r="BS226" s="20"/>
      <c r="BT226" s="21"/>
      <c r="BU226" s="22"/>
      <c r="BV226" s="22"/>
      <c r="BW226" s="22"/>
      <c r="BX226" s="22"/>
      <c r="BY226" s="23"/>
      <c r="BZ226" s="24"/>
      <c r="CA226" s="24"/>
      <c r="CB226" s="24"/>
      <c r="CC226" s="24"/>
      <c r="CD226" s="25"/>
      <c r="CE226" s="26"/>
      <c r="CF226" s="26"/>
      <c r="CG226" s="26"/>
      <c r="CH226" s="26"/>
      <c r="CI226" s="27"/>
      <c r="CJ226" s="28"/>
      <c r="CK226" s="28"/>
      <c r="CL226" s="28"/>
      <c r="CM226" s="28"/>
      <c r="CN226" s="25"/>
      <c r="CO226" s="26"/>
      <c r="CP226" s="26"/>
      <c r="CQ226" s="26"/>
      <c r="CR226" s="26"/>
      <c r="CS226" s="27"/>
      <c r="CT226" s="28"/>
      <c r="CU226" s="28"/>
      <c r="CV226" s="28"/>
      <c r="CW226" s="28"/>
      <c r="CX226" s="25"/>
      <c r="CY226" s="26"/>
      <c r="CZ226" s="26"/>
      <c r="DA226" s="26"/>
      <c r="DB226" s="26"/>
      <c r="DC226" s="27"/>
      <c r="DD226" s="28"/>
      <c r="DE226" s="28"/>
      <c r="DF226" s="28"/>
      <c r="DG226" s="28"/>
      <c r="DH226" s="25"/>
      <c r="DI226" s="26"/>
      <c r="DJ226" s="26"/>
      <c r="DK226" s="26"/>
      <c r="DL226" s="26"/>
      <c r="DM226" s="27"/>
      <c r="DN226" s="28"/>
      <c r="DO226" s="28"/>
      <c r="DP226" s="28"/>
      <c r="DQ226" s="28"/>
      <c r="DR226" s="25"/>
      <c r="DS226" s="26"/>
      <c r="DT226" s="26"/>
      <c r="DU226" s="26"/>
      <c r="DV226" s="26"/>
      <c r="DW226" s="27"/>
      <c r="DX226" s="28"/>
      <c r="DY226" s="28"/>
      <c r="DZ226" s="28"/>
      <c r="EA226" s="28"/>
      <c r="EB226" s="29"/>
      <c r="EC226" s="30"/>
      <c r="ED226" s="30"/>
      <c r="EE226" s="30"/>
      <c r="EF226" s="30"/>
      <c r="EG226" s="31"/>
      <c r="EH226" s="32"/>
      <c r="EI226" s="32"/>
      <c r="EJ226" s="32"/>
      <c r="EK226" s="32"/>
      <c r="EL226" s="29"/>
      <c r="EM226" s="30"/>
      <c r="EN226" s="30"/>
      <c r="EO226" s="30"/>
      <c r="EP226" s="30"/>
      <c r="EQ226" s="31"/>
      <c r="ER226" s="32"/>
      <c r="ES226" s="32"/>
      <c r="ET226" s="32"/>
      <c r="EU226" s="32"/>
      <c r="EV226" s="29"/>
      <c r="EW226" s="30"/>
      <c r="EX226" s="30"/>
      <c r="EY226" s="30"/>
      <c r="EZ226" s="30"/>
      <c r="FA226" s="31"/>
      <c r="FB226" s="32"/>
      <c r="FC226" s="32"/>
      <c r="FD226" s="32"/>
      <c r="FE226" s="32"/>
      <c r="FF226" s="29"/>
      <c r="FG226" s="30"/>
      <c r="FH226" s="30"/>
      <c r="FI226" s="30"/>
      <c r="FJ226" s="30"/>
      <c r="FK226" s="31"/>
      <c r="FL226" s="32"/>
      <c r="FM226" s="32"/>
      <c r="FN226" s="32"/>
      <c r="FO226" s="32"/>
      <c r="FP226" s="29"/>
      <c r="FQ226" s="30"/>
      <c r="FR226" s="30"/>
      <c r="FS226" s="30"/>
      <c r="FT226" s="30"/>
      <c r="FU226" s="31"/>
      <c r="FV226" s="32"/>
      <c r="FW226" s="32"/>
      <c r="FX226" s="32"/>
      <c r="FY226" s="32"/>
      <c r="FZ226" s="29"/>
      <c r="GA226" s="30"/>
      <c r="GB226" s="30"/>
      <c r="GC226" s="30"/>
      <c r="GD226" s="30"/>
    </row>
    <row r="227" spans="1:186" ht="48" x14ac:dyDescent="0.25">
      <c r="A227" s="156">
        <v>218</v>
      </c>
      <c r="B227" s="395">
        <f>'Tier 3 Intervention'!B879</f>
        <v>0</v>
      </c>
      <c r="C227" s="395"/>
      <c r="D227" s="395"/>
      <c r="E227" s="395"/>
      <c r="F227" s="395"/>
      <c r="G227" s="395"/>
      <c r="H227" s="761" t="e">
        <f>'Tier 3 Intervention'!AA879+30</f>
        <v>#VALUE!</v>
      </c>
      <c r="I227" s="761"/>
      <c r="J227" s="762" t="e">
        <f t="shared" si="4"/>
        <v>#VALUE!</v>
      </c>
      <c r="K227" s="395"/>
      <c r="L227" s="47" t="s">
        <v>1004</v>
      </c>
      <c r="M227" s="46"/>
      <c r="N227" s="46"/>
      <c r="O227" s="46"/>
      <c r="P227" s="49"/>
      <c r="Q227" s="19"/>
      <c r="R227" s="20"/>
      <c r="S227" s="20"/>
      <c r="T227" s="20"/>
      <c r="U227" s="20"/>
      <c r="V227" s="21"/>
      <c r="W227" s="22"/>
      <c r="X227" s="22"/>
      <c r="Y227" s="22"/>
      <c r="Z227" s="22"/>
      <c r="AA227" s="19"/>
      <c r="AB227" s="20"/>
      <c r="AC227" s="20"/>
      <c r="AD227" s="20"/>
      <c r="AE227" s="20"/>
      <c r="AF227" s="21"/>
      <c r="AG227" s="22"/>
      <c r="AH227" s="22"/>
      <c r="AI227" s="22"/>
      <c r="AJ227" s="22"/>
      <c r="AK227" s="19"/>
      <c r="AL227" s="20"/>
      <c r="AM227" s="20"/>
      <c r="AN227" s="20"/>
      <c r="AO227" s="20"/>
      <c r="AP227" s="21"/>
      <c r="AQ227" s="22"/>
      <c r="AR227" s="22"/>
      <c r="AS227" s="22"/>
      <c r="AT227" s="22"/>
      <c r="AU227" s="19"/>
      <c r="AV227" s="20"/>
      <c r="AW227" s="20"/>
      <c r="AX227" s="20"/>
      <c r="AY227" s="20"/>
      <c r="AZ227" s="21"/>
      <c r="BA227" s="22"/>
      <c r="BB227" s="22"/>
      <c r="BC227" s="22"/>
      <c r="BD227" s="22"/>
      <c r="BE227" s="19"/>
      <c r="BF227" s="20"/>
      <c r="BG227" s="20"/>
      <c r="BH227" s="20"/>
      <c r="BI227" s="20"/>
      <c r="BJ227" s="21"/>
      <c r="BK227" s="22"/>
      <c r="BL227" s="22"/>
      <c r="BM227" s="22"/>
      <c r="BN227" s="22"/>
      <c r="BO227" s="19"/>
      <c r="BP227" s="20"/>
      <c r="BQ227" s="20"/>
      <c r="BR227" s="20"/>
      <c r="BS227" s="20"/>
      <c r="BT227" s="21"/>
      <c r="BU227" s="22"/>
      <c r="BV227" s="22"/>
      <c r="BW227" s="22"/>
      <c r="BX227" s="22"/>
      <c r="BY227" s="23"/>
      <c r="BZ227" s="24"/>
      <c r="CA227" s="24"/>
      <c r="CB227" s="24"/>
      <c r="CC227" s="24"/>
      <c r="CD227" s="25"/>
      <c r="CE227" s="26"/>
      <c r="CF227" s="26"/>
      <c r="CG227" s="26"/>
      <c r="CH227" s="26"/>
      <c r="CI227" s="27"/>
      <c r="CJ227" s="28"/>
      <c r="CK227" s="28"/>
      <c r="CL227" s="28"/>
      <c r="CM227" s="28"/>
      <c r="CN227" s="25"/>
      <c r="CO227" s="26"/>
      <c r="CP227" s="26"/>
      <c r="CQ227" s="26"/>
      <c r="CR227" s="26"/>
      <c r="CS227" s="27"/>
      <c r="CT227" s="28"/>
      <c r="CU227" s="28"/>
      <c r="CV227" s="28"/>
      <c r="CW227" s="28"/>
      <c r="CX227" s="25"/>
      <c r="CY227" s="26"/>
      <c r="CZ227" s="26"/>
      <c r="DA227" s="26"/>
      <c r="DB227" s="26"/>
      <c r="DC227" s="27"/>
      <c r="DD227" s="28"/>
      <c r="DE227" s="28"/>
      <c r="DF227" s="28"/>
      <c r="DG227" s="28"/>
      <c r="DH227" s="25"/>
      <c r="DI227" s="26"/>
      <c r="DJ227" s="26"/>
      <c r="DK227" s="26"/>
      <c r="DL227" s="26"/>
      <c r="DM227" s="27"/>
      <c r="DN227" s="28"/>
      <c r="DO227" s="28"/>
      <c r="DP227" s="28"/>
      <c r="DQ227" s="28"/>
      <c r="DR227" s="25"/>
      <c r="DS227" s="26"/>
      <c r="DT227" s="26"/>
      <c r="DU227" s="26"/>
      <c r="DV227" s="26"/>
      <c r="DW227" s="27"/>
      <c r="DX227" s="28"/>
      <c r="DY227" s="28"/>
      <c r="DZ227" s="28"/>
      <c r="EA227" s="28"/>
      <c r="EB227" s="29"/>
      <c r="EC227" s="30"/>
      <c r="ED227" s="30"/>
      <c r="EE227" s="30"/>
      <c r="EF227" s="30"/>
      <c r="EG227" s="31"/>
      <c r="EH227" s="32"/>
      <c r="EI227" s="32"/>
      <c r="EJ227" s="32"/>
      <c r="EK227" s="32"/>
      <c r="EL227" s="29"/>
      <c r="EM227" s="30"/>
      <c r="EN227" s="30"/>
      <c r="EO227" s="30"/>
      <c r="EP227" s="30"/>
      <c r="EQ227" s="31"/>
      <c r="ER227" s="32"/>
      <c r="ES227" s="32"/>
      <c r="ET227" s="32"/>
      <c r="EU227" s="32"/>
      <c r="EV227" s="29"/>
      <c r="EW227" s="30"/>
      <c r="EX227" s="30"/>
      <c r="EY227" s="30"/>
      <c r="EZ227" s="30"/>
      <c r="FA227" s="31"/>
      <c r="FB227" s="32"/>
      <c r="FC227" s="32"/>
      <c r="FD227" s="32"/>
      <c r="FE227" s="32"/>
      <c r="FF227" s="29"/>
      <c r="FG227" s="30"/>
      <c r="FH227" s="30"/>
      <c r="FI227" s="30"/>
      <c r="FJ227" s="30"/>
      <c r="FK227" s="31"/>
      <c r="FL227" s="32"/>
      <c r="FM227" s="32"/>
      <c r="FN227" s="32"/>
      <c r="FO227" s="32"/>
      <c r="FP227" s="29"/>
      <c r="FQ227" s="30"/>
      <c r="FR227" s="30"/>
      <c r="FS227" s="30"/>
      <c r="FT227" s="30"/>
      <c r="FU227" s="31"/>
      <c r="FV227" s="32"/>
      <c r="FW227" s="32"/>
      <c r="FX227" s="32"/>
      <c r="FY227" s="32"/>
      <c r="FZ227" s="29"/>
      <c r="GA227" s="30"/>
      <c r="GB227" s="30"/>
      <c r="GC227" s="30"/>
      <c r="GD227" s="30"/>
    </row>
    <row r="228" spans="1:186" ht="48" x14ac:dyDescent="0.25">
      <c r="A228" s="156">
        <v>219</v>
      </c>
      <c r="B228" s="395">
        <f>'Tier 3 Intervention'!B883</f>
        <v>0</v>
      </c>
      <c r="C228" s="395"/>
      <c r="D228" s="395"/>
      <c r="E228" s="395"/>
      <c r="F228" s="395"/>
      <c r="G228" s="395"/>
      <c r="H228" s="761" t="e">
        <f>'Tier 3 Intervention'!AA883+30</f>
        <v>#VALUE!</v>
      </c>
      <c r="I228" s="761"/>
      <c r="J228" s="762" t="e">
        <f t="shared" si="4"/>
        <v>#VALUE!</v>
      </c>
      <c r="K228" s="395"/>
      <c r="L228" s="47" t="s">
        <v>1005</v>
      </c>
      <c r="M228" s="46"/>
      <c r="N228" s="46"/>
      <c r="O228" s="46"/>
      <c r="P228" s="49"/>
      <c r="Q228" s="19"/>
      <c r="R228" s="20"/>
      <c r="S228" s="20"/>
      <c r="T228" s="20"/>
      <c r="U228" s="20"/>
      <c r="V228" s="21"/>
      <c r="W228" s="22"/>
      <c r="X228" s="22"/>
      <c r="Y228" s="22"/>
      <c r="Z228" s="22"/>
      <c r="AA228" s="19"/>
      <c r="AB228" s="20"/>
      <c r="AC228" s="20"/>
      <c r="AD228" s="20"/>
      <c r="AE228" s="20"/>
      <c r="AF228" s="21"/>
      <c r="AG228" s="22"/>
      <c r="AH228" s="22"/>
      <c r="AI228" s="22"/>
      <c r="AJ228" s="22"/>
      <c r="AK228" s="19"/>
      <c r="AL228" s="20"/>
      <c r="AM228" s="20"/>
      <c r="AN228" s="20"/>
      <c r="AO228" s="20"/>
      <c r="AP228" s="21"/>
      <c r="AQ228" s="22"/>
      <c r="AR228" s="22"/>
      <c r="AS228" s="22"/>
      <c r="AT228" s="22"/>
      <c r="AU228" s="19"/>
      <c r="AV228" s="20"/>
      <c r="AW228" s="20"/>
      <c r="AX228" s="20"/>
      <c r="AY228" s="20"/>
      <c r="AZ228" s="21"/>
      <c r="BA228" s="22"/>
      <c r="BB228" s="22"/>
      <c r="BC228" s="22"/>
      <c r="BD228" s="22"/>
      <c r="BE228" s="19"/>
      <c r="BF228" s="20"/>
      <c r="BG228" s="20"/>
      <c r="BH228" s="20"/>
      <c r="BI228" s="20"/>
      <c r="BJ228" s="21"/>
      <c r="BK228" s="22"/>
      <c r="BL228" s="22"/>
      <c r="BM228" s="22"/>
      <c r="BN228" s="22"/>
      <c r="BO228" s="19"/>
      <c r="BP228" s="20"/>
      <c r="BQ228" s="20"/>
      <c r="BR228" s="20"/>
      <c r="BS228" s="20"/>
      <c r="BT228" s="21"/>
      <c r="BU228" s="22"/>
      <c r="BV228" s="22"/>
      <c r="BW228" s="22"/>
      <c r="BX228" s="22"/>
      <c r="BY228" s="23"/>
      <c r="BZ228" s="24"/>
      <c r="CA228" s="24"/>
      <c r="CB228" s="24"/>
      <c r="CC228" s="24"/>
      <c r="CD228" s="25"/>
      <c r="CE228" s="26"/>
      <c r="CF228" s="26"/>
      <c r="CG228" s="26"/>
      <c r="CH228" s="26"/>
      <c r="CI228" s="27"/>
      <c r="CJ228" s="28"/>
      <c r="CK228" s="28"/>
      <c r="CL228" s="28"/>
      <c r="CM228" s="28"/>
      <c r="CN228" s="25"/>
      <c r="CO228" s="26"/>
      <c r="CP228" s="26"/>
      <c r="CQ228" s="26"/>
      <c r="CR228" s="26"/>
      <c r="CS228" s="27"/>
      <c r="CT228" s="28"/>
      <c r="CU228" s="28"/>
      <c r="CV228" s="28"/>
      <c r="CW228" s="28"/>
      <c r="CX228" s="25"/>
      <c r="CY228" s="26"/>
      <c r="CZ228" s="26"/>
      <c r="DA228" s="26"/>
      <c r="DB228" s="26"/>
      <c r="DC228" s="27"/>
      <c r="DD228" s="28"/>
      <c r="DE228" s="28"/>
      <c r="DF228" s="28"/>
      <c r="DG228" s="28"/>
      <c r="DH228" s="25"/>
      <c r="DI228" s="26"/>
      <c r="DJ228" s="26"/>
      <c r="DK228" s="26"/>
      <c r="DL228" s="26"/>
      <c r="DM228" s="27"/>
      <c r="DN228" s="28"/>
      <c r="DO228" s="28"/>
      <c r="DP228" s="28"/>
      <c r="DQ228" s="28"/>
      <c r="DR228" s="25"/>
      <c r="DS228" s="26"/>
      <c r="DT228" s="26"/>
      <c r="DU228" s="26"/>
      <c r="DV228" s="26"/>
      <c r="DW228" s="27"/>
      <c r="DX228" s="28"/>
      <c r="DY228" s="28"/>
      <c r="DZ228" s="28"/>
      <c r="EA228" s="28"/>
      <c r="EB228" s="29"/>
      <c r="EC228" s="30"/>
      <c r="ED228" s="30"/>
      <c r="EE228" s="30"/>
      <c r="EF228" s="30"/>
      <c r="EG228" s="31"/>
      <c r="EH228" s="32"/>
      <c r="EI228" s="32"/>
      <c r="EJ228" s="32"/>
      <c r="EK228" s="32"/>
      <c r="EL228" s="29"/>
      <c r="EM228" s="30"/>
      <c r="EN228" s="30"/>
      <c r="EO228" s="30"/>
      <c r="EP228" s="30"/>
      <c r="EQ228" s="31"/>
      <c r="ER228" s="32"/>
      <c r="ES228" s="32"/>
      <c r="ET228" s="32"/>
      <c r="EU228" s="32"/>
      <c r="EV228" s="29"/>
      <c r="EW228" s="30"/>
      <c r="EX228" s="30"/>
      <c r="EY228" s="30"/>
      <c r="EZ228" s="30"/>
      <c r="FA228" s="31"/>
      <c r="FB228" s="32"/>
      <c r="FC228" s="32"/>
      <c r="FD228" s="32"/>
      <c r="FE228" s="32"/>
      <c r="FF228" s="29"/>
      <c r="FG228" s="30"/>
      <c r="FH228" s="30"/>
      <c r="FI228" s="30"/>
      <c r="FJ228" s="30"/>
      <c r="FK228" s="31"/>
      <c r="FL228" s="32"/>
      <c r="FM228" s="32"/>
      <c r="FN228" s="32"/>
      <c r="FO228" s="32"/>
      <c r="FP228" s="29"/>
      <c r="FQ228" s="30"/>
      <c r="FR228" s="30"/>
      <c r="FS228" s="30"/>
      <c r="FT228" s="30"/>
      <c r="FU228" s="31"/>
      <c r="FV228" s="32"/>
      <c r="FW228" s="32"/>
      <c r="FX228" s="32"/>
      <c r="FY228" s="32"/>
      <c r="FZ228" s="29"/>
      <c r="GA228" s="30"/>
      <c r="GB228" s="30"/>
      <c r="GC228" s="30"/>
      <c r="GD228" s="30"/>
    </row>
    <row r="229" spans="1:186" ht="48" x14ac:dyDescent="0.25">
      <c r="A229" s="156">
        <v>220</v>
      </c>
      <c r="B229" s="395">
        <f>'Tier 3 Intervention'!B887</f>
        <v>0</v>
      </c>
      <c r="C229" s="395"/>
      <c r="D229" s="395"/>
      <c r="E229" s="395"/>
      <c r="F229" s="395"/>
      <c r="G229" s="395"/>
      <c r="H229" s="761" t="e">
        <f>'Tier 3 Intervention'!AA887+30</f>
        <v>#VALUE!</v>
      </c>
      <c r="I229" s="761"/>
      <c r="J229" s="762" t="e">
        <f t="shared" si="4"/>
        <v>#VALUE!</v>
      </c>
      <c r="K229" s="395"/>
      <c r="L229" s="47" t="s">
        <v>1006</v>
      </c>
      <c r="M229" s="46"/>
      <c r="N229" s="46"/>
      <c r="O229" s="46"/>
      <c r="P229" s="49"/>
      <c r="Q229" s="19"/>
      <c r="R229" s="20"/>
      <c r="S229" s="20"/>
      <c r="T229" s="20"/>
      <c r="U229" s="20"/>
      <c r="V229" s="21"/>
      <c r="W229" s="22"/>
      <c r="X229" s="22"/>
      <c r="Y229" s="22"/>
      <c r="Z229" s="22"/>
      <c r="AA229" s="19"/>
      <c r="AB229" s="20"/>
      <c r="AC229" s="20"/>
      <c r="AD229" s="20"/>
      <c r="AE229" s="20"/>
      <c r="AF229" s="21"/>
      <c r="AG229" s="22"/>
      <c r="AH229" s="22"/>
      <c r="AI229" s="22"/>
      <c r="AJ229" s="22"/>
      <c r="AK229" s="19"/>
      <c r="AL229" s="20"/>
      <c r="AM229" s="20"/>
      <c r="AN229" s="20"/>
      <c r="AO229" s="20"/>
      <c r="AP229" s="21"/>
      <c r="AQ229" s="22"/>
      <c r="AR229" s="22"/>
      <c r="AS229" s="22"/>
      <c r="AT229" s="22"/>
      <c r="AU229" s="19"/>
      <c r="AV229" s="20"/>
      <c r="AW229" s="20"/>
      <c r="AX229" s="20"/>
      <c r="AY229" s="20"/>
      <c r="AZ229" s="21"/>
      <c r="BA229" s="22"/>
      <c r="BB229" s="22"/>
      <c r="BC229" s="22"/>
      <c r="BD229" s="22"/>
      <c r="BE229" s="19"/>
      <c r="BF229" s="20"/>
      <c r="BG229" s="20"/>
      <c r="BH229" s="20"/>
      <c r="BI229" s="20"/>
      <c r="BJ229" s="21"/>
      <c r="BK229" s="22"/>
      <c r="BL229" s="22"/>
      <c r="BM229" s="22"/>
      <c r="BN229" s="22"/>
      <c r="BO229" s="19"/>
      <c r="BP229" s="20"/>
      <c r="BQ229" s="20"/>
      <c r="BR229" s="20"/>
      <c r="BS229" s="20"/>
      <c r="BT229" s="21"/>
      <c r="BU229" s="22"/>
      <c r="BV229" s="22"/>
      <c r="BW229" s="22"/>
      <c r="BX229" s="22"/>
      <c r="BY229" s="23"/>
      <c r="BZ229" s="24"/>
      <c r="CA229" s="24"/>
      <c r="CB229" s="24"/>
      <c r="CC229" s="24"/>
      <c r="CD229" s="25"/>
      <c r="CE229" s="26"/>
      <c r="CF229" s="26"/>
      <c r="CG229" s="26"/>
      <c r="CH229" s="26"/>
      <c r="CI229" s="27"/>
      <c r="CJ229" s="28"/>
      <c r="CK229" s="28"/>
      <c r="CL229" s="28"/>
      <c r="CM229" s="28"/>
      <c r="CN229" s="25"/>
      <c r="CO229" s="26"/>
      <c r="CP229" s="26"/>
      <c r="CQ229" s="26"/>
      <c r="CR229" s="26"/>
      <c r="CS229" s="27"/>
      <c r="CT229" s="28"/>
      <c r="CU229" s="28"/>
      <c r="CV229" s="28"/>
      <c r="CW229" s="28"/>
      <c r="CX229" s="25"/>
      <c r="CY229" s="26"/>
      <c r="CZ229" s="26"/>
      <c r="DA229" s="26"/>
      <c r="DB229" s="26"/>
      <c r="DC229" s="27"/>
      <c r="DD229" s="28"/>
      <c r="DE229" s="28"/>
      <c r="DF229" s="28"/>
      <c r="DG229" s="28"/>
      <c r="DH229" s="25"/>
      <c r="DI229" s="26"/>
      <c r="DJ229" s="26"/>
      <c r="DK229" s="26"/>
      <c r="DL229" s="26"/>
      <c r="DM229" s="27"/>
      <c r="DN229" s="28"/>
      <c r="DO229" s="28"/>
      <c r="DP229" s="28"/>
      <c r="DQ229" s="28"/>
      <c r="DR229" s="25"/>
      <c r="DS229" s="26"/>
      <c r="DT229" s="26"/>
      <c r="DU229" s="26"/>
      <c r="DV229" s="26"/>
      <c r="DW229" s="27"/>
      <c r="DX229" s="28"/>
      <c r="DY229" s="28"/>
      <c r="DZ229" s="28"/>
      <c r="EA229" s="28"/>
      <c r="EB229" s="29"/>
      <c r="EC229" s="30"/>
      <c r="ED229" s="30"/>
      <c r="EE229" s="30"/>
      <c r="EF229" s="30"/>
      <c r="EG229" s="31"/>
      <c r="EH229" s="32"/>
      <c r="EI229" s="32"/>
      <c r="EJ229" s="32"/>
      <c r="EK229" s="32"/>
      <c r="EL229" s="29"/>
      <c r="EM229" s="30"/>
      <c r="EN229" s="30"/>
      <c r="EO229" s="30"/>
      <c r="EP229" s="30"/>
      <c r="EQ229" s="31"/>
      <c r="ER229" s="32"/>
      <c r="ES229" s="32"/>
      <c r="ET229" s="32"/>
      <c r="EU229" s="32"/>
      <c r="EV229" s="29"/>
      <c r="EW229" s="30"/>
      <c r="EX229" s="30"/>
      <c r="EY229" s="30"/>
      <c r="EZ229" s="30"/>
      <c r="FA229" s="31"/>
      <c r="FB229" s="32"/>
      <c r="FC229" s="32"/>
      <c r="FD229" s="32"/>
      <c r="FE229" s="32"/>
      <c r="FF229" s="29"/>
      <c r="FG229" s="30"/>
      <c r="FH229" s="30"/>
      <c r="FI229" s="30"/>
      <c r="FJ229" s="30"/>
      <c r="FK229" s="31"/>
      <c r="FL229" s="32"/>
      <c r="FM229" s="32"/>
      <c r="FN229" s="32"/>
      <c r="FO229" s="32"/>
      <c r="FP229" s="29"/>
      <c r="FQ229" s="30"/>
      <c r="FR229" s="30"/>
      <c r="FS229" s="30"/>
      <c r="FT229" s="30"/>
      <c r="FU229" s="31"/>
      <c r="FV229" s="32"/>
      <c r="FW229" s="32"/>
      <c r="FX229" s="32"/>
      <c r="FY229" s="32"/>
      <c r="FZ229" s="29"/>
      <c r="GA229" s="30"/>
      <c r="GB229" s="30"/>
      <c r="GC229" s="30"/>
      <c r="GD229" s="30"/>
    </row>
    <row r="230" spans="1:186" ht="48" x14ac:dyDescent="0.25">
      <c r="A230" s="156">
        <v>221</v>
      </c>
      <c r="B230" s="395">
        <f>'Tier 3 Intervention'!B891</f>
        <v>0</v>
      </c>
      <c r="C230" s="395"/>
      <c r="D230" s="395"/>
      <c r="E230" s="395"/>
      <c r="F230" s="395"/>
      <c r="G230" s="395"/>
      <c r="H230" s="761" t="e">
        <f>'Tier 3 Intervention'!AA891+30</f>
        <v>#VALUE!</v>
      </c>
      <c r="I230" s="761"/>
      <c r="J230" s="762" t="e">
        <f t="shared" si="4"/>
        <v>#VALUE!</v>
      </c>
      <c r="K230" s="395"/>
      <c r="L230" s="47" t="s">
        <v>1007</v>
      </c>
      <c r="M230" s="46"/>
      <c r="N230" s="46"/>
      <c r="O230" s="46"/>
      <c r="P230" s="49"/>
      <c r="Q230" s="19"/>
      <c r="R230" s="20"/>
      <c r="S230" s="20"/>
      <c r="T230" s="20"/>
      <c r="U230" s="20"/>
      <c r="V230" s="21"/>
      <c r="W230" s="22"/>
      <c r="X230" s="22"/>
      <c r="Y230" s="22"/>
      <c r="Z230" s="22"/>
      <c r="AA230" s="19"/>
      <c r="AB230" s="20"/>
      <c r="AC230" s="20"/>
      <c r="AD230" s="20"/>
      <c r="AE230" s="20"/>
      <c r="AF230" s="21"/>
      <c r="AG230" s="22"/>
      <c r="AH230" s="22"/>
      <c r="AI230" s="22"/>
      <c r="AJ230" s="22"/>
      <c r="AK230" s="19"/>
      <c r="AL230" s="20"/>
      <c r="AM230" s="20"/>
      <c r="AN230" s="20"/>
      <c r="AO230" s="20"/>
      <c r="AP230" s="21"/>
      <c r="AQ230" s="22"/>
      <c r="AR230" s="22"/>
      <c r="AS230" s="22"/>
      <c r="AT230" s="22"/>
      <c r="AU230" s="19"/>
      <c r="AV230" s="20"/>
      <c r="AW230" s="20"/>
      <c r="AX230" s="20"/>
      <c r="AY230" s="20"/>
      <c r="AZ230" s="21"/>
      <c r="BA230" s="22"/>
      <c r="BB230" s="22"/>
      <c r="BC230" s="22"/>
      <c r="BD230" s="22"/>
      <c r="BE230" s="19"/>
      <c r="BF230" s="20"/>
      <c r="BG230" s="20"/>
      <c r="BH230" s="20"/>
      <c r="BI230" s="20"/>
      <c r="BJ230" s="21"/>
      <c r="BK230" s="22"/>
      <c r="BL230" s="22"/>
      <c r="BM230" s="22"/>
      <c r="BN230" s="22"/>
      <c r="BO230" s="19"/>
      <c r="BP230" s="20"/>
      <c r="BQ230" s="20"/>
      <c r="BR230" s="20"/>
      <c r="BS230" s="20"/>
      <c r="BT230" s="21"/>
      <c r="BU230" s="22"/>
      <c r="BV230" s="22"/>
      <c r="BW230" s="22"/>
      <c r="BX230" s="22"/>
      <c r="BY230" s="23"/>
      <c r="BZ230" s="24"/>
      <c r="CA230" s="24"/>
      <c r="CB230" s="24"/>
      <c r="CC230" s="24"/>
      <c r="CD230" s="25"/>
      <c r="CE230" s="26"/>
      <c r="CF230" s="26"/>
      <c r="CG230" s="26"/>
      <c r="CH230" s="26"/>
      <c r="CI230" s="27"/>
      <c r="CJ230" s="28"/>
      <c r="CK230" s="28"/>
      <c r="CL230" s="28"/>
      <c r="CM230" s="28"/>
      <c r="CN230" s="25"/>
      <c r="CO230" s="26"/>
      <c r="CP230" s="26"/>
      <c r="CQ230" s="26"/>
      <c r="CR230" s="26"/>
      <c r="CS230" s="27"/>
      <c r="CT230" s="28"/>
      <c r="CU230" s="28"/>
      <c r="CV230" s="28"/>
      <c r="CW230" s="28"/>
      <c r="CX230" s="25"/>
      <c r="CY230" s="26"/>
      <c r="CZ230" s="26"/>
      <c r="DA230" s="26"/>
      <c r="DB230" s="26"/>
      <c r="DC230" s="27"/>
      <c r="DD230" s="28"/>
      <c r="DE230" s="28"/>
      <c r="DF230" s="28"/>
      <c r="DG230" s="28"/>
      <c r="DH230" s="25"/>
      <c r="DI230" s="26"/>
      <c r="DJ230" s="26"/>
      <c r="DK230" s="26"/>
      <c r="DL230" s="26"/>
      <c r="DM230" s="27"/>
      <c r="DN230" s="28"/>
      <c r="DO230" s="28"/>
      <c r="DP230" s="28"/>
      <c r="DQ230" s="28"/>
      <c r="DR230" s="25"/>
      <c r="DS230" s="26"/>
      <c r="DT230" s="26"/>
      <c r="DU230" s="26"/>
      <c r="DV230" s="26"/>
      <c r="DW230" s="27"/>
      <c r="DX230" s="28"/>
      <c r="DY230" s="28"/>
      <c r="DZ230" s="28"/>
      <c r="EA230" s="28"/>
      <c r="EB230" s="29"/>
      <c r="EC230" s="30"/>
      <c r="ED230" s="30"/>
      <c r="EE230" s="30"/>
      <c r="EF230" s="30"/>
      <c r="EG230" s="31"/>
      <c r="EH230" s="32"/>
      <c r="EI230" s="32"/>
      <c r="EJ230" s="32"/>
      <c r="EK230" s="32"/>
      <c r="EL230" s="29"/>
      <c r="EM230" s="30"/>
      <c r="EN230" s="30"/>
      <c r="EO230" s="30"/>
      <c r="EP230" s="30"/>
      <c r="EQ230" s="31"/>
      <c r="ER230" s="32"/>
      <c r="ES230" s="32"/>
      <c r="ET230" s="32"/>
      <c r="EU230" s="32"/>
      <c r="EV230" s="29"/>
      <c r="EW230" s="30"/>
      <c r="EX230" s="30"/>
      <c r="EY230" s="30"/>
      <c r="EZ230" s="30"/>
      <c r="FA230" s="31"/>
      <c r="FB230" s="32"/>
      <c r="FC230" s="32"/>
      <c r="FD230" s="32"/>
      <c r="FE230" s="32"/>
      <c r="FF230" s="29"/>
      <c r="FG230" s="30"/>
      <c r="FH230" s="30"/>
      <c r="FI230" s="30"/>
      <c r="FJ230" s="30"/>
      <c r="FK230" s="31"/>
      <c r="FL230" s="32"/>
      <c r="FM230" s="32"/>
      <c r="FN230" s="32"/>
      <c r="FO230" s="32"/>
      <c r="FP230" s="29"/>
      <c r="FQ230" s="30"/>
      <c r="FR230" s="30"/>
      <c r="FS230" s="30"/>
      <c r="FT230" s="30"/>
      <c r="FU230" s="31"/>
      <c r="FV230" s="32"/>
      <c r="FW230" s="32"/>
      <c r="FX230" s="32"/>
      <c r="FY230" s="32"/>
      <c r="FZ230" s="29"/>
      <c r="GA230" s="30"/>
      <c r="GB230" s="30"/>
      <c r="GC230" s="30"/>
      <c r="GD230" s="30"/>
    </row>
    <row r="231" spans="1:186" ht="48" x14ac:dyDescent="0.25">
      <c r="A231" s="156">
        <v>222</v>
      </c>
      <c r="B231" s="395">
        <f>'Tier 3 Intervention'!B895</f>
        <v>0</v>
      </c>
      <c r="C231" s="395"/>
      <c r="D231" s="395"/>
      <c r="E231" s="395"/>
      <c r="F231" s="395"/>
      <c r="G231" s="395"/>
      <c r="H231" s="761" t="e">
        <f>'Tier 3 Intervention'!AA895+30</f>
        <v>#VALUE!</v>
      </c>
      <c r="I231" s="761"/>
      <c r="J231" s="762" t="e">
        <f t="shared" si="4"/>
        <v>#VALUE!</v>
      </c>
      <c r="K231" s="395"/>
      <c r="L231" s="47" t="s">
        <v>1008</v>
      </c>
      <c r="M231" s="46"/>
      <c r="N231" s="46"/>
      <c r="O231" s="46"/>
      <c r="P231" s="49"/>
      <c r="Q231" s="19"/>
      <c r="R231" s="20"/>
      <c r="S231" s="20"/>
      <c r="T231" s="20"/>
      <c r="U231" s="20"/>
      <c r="V231" s="21"/>
      <c r="W231" s="22"/>
      <c r="X231" s="22"/>
      <c r="Y231" s="22"/>
      <c r="Z231" s="22"/>
      <c r="AA231" s="19"/>
      <c r="AB231" s="20"/>
      <c r="AC231" s="20"/>
      <c r="AD231" s="20"/>
      <c r="AE231" s="20"/>
      <c r="AF231" s="21"/>
      <c r="AG231" s="22"/>
      <c r="AH231" s="22"/>
      <c r="AI231" s="22"/>
      <c r="AJ231" s="22"/>
      <c r="AK231" s="19"/>
      <c r="AL231" s="20"/>
      <c r="AM231" s="20"/>
      <c r="AN231" s="20"/>
      <c r="AO231" s="20"/>
      <c r="AP231" s="21"/>
      <c r="AQ231" s="22"/>
      <c r="AR231" s="22"/>
      <c r="AS231" s="22"/>
      <c r="AT231" s="22"/>
      <c r="AU231" s="19"/>
      <c r="AV231" s="20"/>
      <c r="AW231" s="20"/>
      <c r="AX231" s="20"/>
      <c r="AY231" s="20"/>
      <c r="AZ231" s="21"/>
      <c r="BA231" s="22"/>
      <c r="BB231" s="22"/>
      <c r="BC231" s="22"/>
      <c r="BD231" s="22"/>
      <c r="BE231" s="19"/>
      <c r="BF231" s="20"/>
      <c r="BG231" s="20"/>
      <c r="BH231" s="20"/>
      <c r="BI231" s="20"/>
      <c r="BJ231" s="21"/>
      <c r="BK231" s="22"/>
      <c r="BL231" s="22"/>
      <c r="BM231" s="22"/>
      <c r="BN231" s="22"/>
      <c r="BO231" s="19"/>
      <c r="BP231" s="20"/>
      <c r="BQ231" s="20"/>
      <c r="BR231" s="20"/>
      <c r="BS231" s="20"/>
      <c r="BT231" s="21"/>
      <c r="BU231" s="22"/>
      <c r="BV231" s="22"/>
      <c r="BW231" s="22"/>
      <c r="BX231" s="22"/>
      <c r="BY231" s="23"/>
      <c r="BZ231" s="24"/>
      <c r="CA231" s="24"/>
      <c r="CB231" s="24"/>
      <c r="CC231" s="24"/>
      <c r="CD231" s="25"/>
      <c r="CE231" s="26"/>
      <c r="CF231" s="26"/>
      <c r="CG231" s="26"/>
      <c r="CH231" s="26"/>
      <c r="CI231" s="27"/>
      <c r="CJ231" s="28"/>
      <c r="CK231" s="28"/>
      <c r="CL231" s="28"/>
      <c r="CM231" s="28"/>
      <c r="CN231" s="25"/>
      <c r="CO231" s="26"/>
      <c r="CP231" s="26"/>
      <c r="CQ231" s="26"/>
      <c r="CR231" s="26"/>
      <c r="CS231" s="27"/>
      <c r="CT231" s="28"/>
      <c r="CU231" s="28"/>
      <c r="CV231" s="28"/>
      <c r="CW231" s="28"/>
      <c r="CX231" s="25"/>
      <c r="CY231" s="26"/>
      <c r="CZ231" s="26"/>
      <c r="DA231" s="26"/>
      <c r="DB231" s="26"/>
      <c r="DC231" s="27"/>
      <c r="DD231" s="28"/>
      <c r="DE231" s="28"/>
      <c r="DF231" s="28"/>
      <c r="DG231" s="28"/>
      <c r="DH231" s="25"/>
      <c r="DI231" s="26"/>
      <c r="DJ231" s="26"/>
      <c r="DK231" s="26"/>
      <c r="DL231" s="26"/>
      <c r="DM231" s="27"/>
      <c r="DN231" s="28"/>
      <c r="DO231" s="28"/>
      <c r="DP231" s="28"/>
      <c r="DQ231" s="28"/>
      <c r="DR231" s="25"/>
      <c r="DS231" s="26"/>
      <c r="DT231" s="26"/>
      <c r="DU231" s="26"/>
      <c r="DV231" s="26"/>
      <c r="DW231" s="27"/>
      <c r="DX231" s="28"/>
      <c r="DY231" s="28"/>
      <c r="DZ231" s="28"/>
      <c r="EA231" s="28"/>
      <c r="EB231" s="29"/>
      <c r="EC231" s="30"/>
      <c r="ED231" s="30"/>
      <c r="EE231" s="30"/>
      <c r="EF231" s="30"/>
      <c r="EG231" s="31"/>
      <c r="EH231" s="32"/>
      <c r="EI231" s="32"/>
      <c r="EJ231" s="32"/>
      <c r="EK231" s="32"/>
      <c r="EL231" s="29"/>
      <c r="EM231" s="30"/>
      <c r="EN231" s="30"/>
      <c r="EO231" s="30"/>
      <c r="EP231" s="30"/>
      <c r="EQ231" s="31"/>
      <c r="ER231" s="32"/>
      <c r="ES231" s="32"/>
      <c r="ET231" s="32"/>
      <c r="EU231" s="32"/>
      <c r="EV231" s="29"/>
      <c r="EW231" s="30"/>
      <c r="EX231" s="30"/>
      <c r="EY231" s="30"/>
      <c r="EZ231" s="30"/>
      <c r="FA231" s="31"/>
      <c r="FB231" s="32"/>
      <c r="FC231" s="32"/>
      <c r="FD231" s="32"/>
      <c r="FE231" s="32"/>
      <c r="FF231" s="29"/>
      <c r="FG231" s="30"/>
      <c r="FH231" s="30"/>
      <c r="FI231" s="30"/>
      <c r="FJ231" s="30"/>
      <c r="FK231" s="31"/>
      <c r="FL231" s="32"/>
      <c r="FM231" s="32"/>
      <c r="FN231" s="32"/>
      <c r="FO231" s="32"/>
      <c r="FP231" s="29"/>
      <c r="FQ231" s="30"/>
      <c r="FR231" s="30"/>
      <c r="FS231" s="30"/>
      <c r="FT231" s="30"/>
      <c r="FU231" s="31"/>
      <c r="FV231" s="32"/>
      <c r="FW231" s="32"/>
      <c r="FX231" s="32"/>
      <c r="FY231" s="32"/>
      <c r="FZ231" s="29"/>
      <c r="GA231" s="30"/>
      <c r="GB231" s="30"/>
      <c r="GC231" s="30"/>
      <c r="GD231" s="30"/>
    </row>
    <row r="232" spans="1:186" ht="48" x14ac:dyDescent="0.25">
      <c r="A232" s="156">
        <v>223</v>
      </c>
      <c r="B232" s="395">
        <f>'Tier 3 Intervention'!B899</f>
        <v>0</v>
      </c>
      <c r="C232" s="395"/>
      <c r="D232" s="395"/>
      <c r="E232" s="395"/>
      <c r="F232" s="395"/>
      <c r="G232" s="395"/>
      <c r="H232" s="761" t="e">
        <f>'Tier 3 Intervention'!AA899+30</f>
        <v>#VALUE!</v>
      </c>
      <c r="I232" s="761"/>
      <c r="J232" s="762" t="e">
        <f t="shared" si="4"/>
        <v>#VALUE!</v>
      </c>
      <c r="K232" s="395"/>
      <c r="L232" s="47" t="s">
        <v>1009</v>
      </c>
      <c r="M232" s="46"/>
      <c r="N232" s="46"/>
      <c r="O232" s="46"/>
      <c r="P232" s="49"/>
      <c r="Q232" s="19"/>
      <c r="R232" s="20"/>
      <c r="S232" s="20"/>
      <c r="T232" s="20"/>
      <c r="U232" s="20"/>
      <c r="V232" s="21"/>
      <c r="W232" s="22"/>
      <c r="X232" s="22"/>
      <c r="Y232" s="22"/>
      <c r="Z232" s="22"/>
      <c r="AA232" s="19"/>
      <c r="AB232" s="20"/>
      <c r="AC232" s="20"/>
      <c r="AD232" s="20"/>
      <c r="AE232" s="20"/>
      <c r="AF232" s="21"/>
      <c r="AG232" s="22"/>
      <c r="AH232" s="22"/>
      <c r="AI232" s="22"/>
      <c r="AJ232" s="22"/>
      <c r="AK232" s="19"/>
      <c r="AL232" s="20"/>
      <c r="AM232" s="20"/>
      <c r="AN232" s="20"/>
      <c r="AO232" s="20"/>
      <c r="AP232" s="21"/>
      <c r="AQ232" s="22"/>
      <c r="AR232" s="22"/>
      <c r="AS232" s="22"/>
      <c r="AT232" s="22"/>
      <c r="AU232" s="19"/>
      <c r="AV232" s="20"/>
      <c r="AW232" s="20"/>
      <c r="AX232" s="20"/>
      <c r="AY232" s="20"/>
      <c r="AZ232" s="21"/>
      <c r="BA232" s="22"/>
      <c r="BB232" s="22"/>
      <c r="BC232" s="22"/>
      <c r="BD232" s="22"/>
      <c r="BE232" s="19"/>
      <c r="BF232" s="20"/>
      <c r="BG232" s="20"/>
      <c r="BH232" s="20"/>
      <c r="BI232" s="20"/>
      <c r="BJ232" s="21"/>
      <c r="BK232" s="22"/>
      <c r="BL232" s="22"/>
      <c r="BM232" s="22"/>
      <c r="BN232" s="22"/>
      <c r="BO232" s="19"/>
      <c r="BP232" s="20"/>
      <c r="BQ232" s="20"/>
      <c r="BR232" s="20"/>
      <c r="BS232" s="20"/>
      <c r="BT232" s="21"/>
      <c r="BU232" s="22"/>
      <c r="BV232" s="22"/>
      <c r="BW232" s="22"/>
      <c r="BX232" s="22"/>
      <c r="BY232" s="23"/>
      <c r="BZ232" s="24"/>
      <c r="CA232" s="24"/>
      <c r="CB232" s="24"/>
      <c r="CC232" s="24"/>
      <c r="CD232" s="25"/>
      <c r="CE232" s="26"/>
      <c r="CF232" s="26"/>
      <c r="CG232" s="26"/>
      <c r="CH232" s="26"/>
      <c r="CI232" s="27"/>
      <c r="CJ232" s="28"/>
      <c r="CK232" s="28"/>
      <c r="CL232" s="28"/>
      <c r="CM232" s="28"/>
      <c r="CN232" s="25"/>
      <c r="CO232" s="26"/>
      <c r="CP232" s="26"/>
      <c r="CQ232" s="26"/>
      <c r="CR232" s="26"/>
      <c r="CS232" s="27"/>
      <c r="CT232" s="28"/>
      <c r="CU232" s="28"/>
      <c r="CV232" s="28"/>
      <c r="CW232" s="28"/>
      <c r="CX232" s="25"/>
      <c r="CY232" s="26"/>
      <c r="CZ232" s="26"/>
      <c r="DA232" s="26"/>
      <c r="DB232" s="26"/>
      <c r="DC232" s="27"/>
      <c r="DD232" s="28"/>
      <c r="DE232" s="28"/>
      <c r="DF232" s="28"/>
      <c r="DG232" s="28"/>
      <c r="DH232" s="25"/>
      <c r="DI232" s="26"/>
      <c r="DJ232" s="26"/>
      <c r="DK232" s="26"/>
      <c r="DL232" s="26"/>
      <c r="DM232" s="27"/>
      <c r="DN232" s="28"/>
      <c r="DO232" s="28"/>
      <c r="DP232" s="28"/>
      <c r="DQ232" s="28"/>
      <c r="DR232" s="25"/>
      <c r="DS232" s="26"/>
      <c r="DT232" s="26"/>
      <c r="DU232" s="26"/>
      <c r="DV232" s="26"/>
      <c r="DW232" s="27"/>
      <c r="DX232" s="28"/>
      <c r="DY232" s="28"/>
      <c r="DZ232" s="28"/>
      <c r="EA232" s="28"/>
      <c r="EB232" s="29"/>
      <c r="EC232" s="30"/>
      <c r="ED232" s="30"/>
      <c r="EE232" s="30"/>
      <c r="EF232" s="30"/>
      <c r="EG232" s="31"/>
      <c r="EH232" s="32"/>
      <c r="EI232" s="32"/>
      <c r="EJ232" s="32"/>
      <c r="EK232" s="32"/>
      <c r="EL232" s="29"/>
      <c r="EM232" s="30"/>
      <c r="EN232" s="30"/>
      <c r="EO232" s="30"/>
      <c r="EP232" s="30"/>
      <c r="EQ232" s="31"/>
      <c r="ER232" s="32"/>
      <c r="ES232" s="32"/>
      <c r="ET232" s="32"/>
      <c r="EU232" s="32"/>
      <c r="EV232" s="29"/>
      <c r="EW232" s="30"/>
      <c r="EX232" s="30"/>
      <c r="EY232" s="30"/>
      <c r="EZ232" s="30"/>
      <c r="FA232" s="31"/>
      <c r="FB232" s="32"/>
      <c r="FC232" s="32"/>
      <c r="FD232" s="32"/>
      <c r="FE232" s="32"/>
      <c r="FF232" s="29"/>
      <c r="FG232" s="30"/>
      <c r="FH232" s="30"/>
      <c r="FI232" s="30"/>
      <c r="FJ232" s="30"/>
      <c r="FK232" s="31"/>
      <c r="FL232" s="32"/>
      <c r="FM232" s="32"/>
      <c r="FN232" s="32"/>
      <c r="FO232" s="32"/>
      <c r="FP232" s="29"/>
      <c r="FQ232" s="30"/>
      <c r="FR232" s="30"/>
      <c r="FS232" s="30"/>
      <c r="FT232" s="30"/>
      <c r="FU232" s="31"/>
      <c r="FV232" s="32"/>
      <c r="FW232" s="32"/>
      <c r="FX232" s="32"/>
      <c r="FY232" s="32"/>
      <c r="FZ232" s="29"/>
      <c r="GA232" s="30"/>
      <c r="GB232" s="30"/>
      <c r="GC232" s="30"/>
      <c r="GD232" s="30"/>
    </row>
    <row r="233" spans="1:186" ht="48" x14ac:dyDescent="0.25">
      <c r="A233" s="156">
        <v>224</v>
      </c>
      <c r="B233" s="395">
        <f>'Tier 3 Intervention'!B903</f>
        <v>0</v>
      </c>
      <c r="C233" s="395"/>
      <c r="D233" s="395"/>
      <c r="E233" s="395"/>
      <c r="F233" s="395"/>
      <c r="G233" s="395"/>
      <c r="H233" s="761" t="e">
        <f>'Tier 3 Intervention'!AA903+30</f>
        <v>#VALUE!</v>
      </c>
      <c r="I233" s="761"/>
      <c r="J233" s="762" t="e">
        <f t="shared" si="4"/>
        <v>#VALUE!</v>
      </c>
      <c r="K233" s="395"/>
      <c r="L233" s="47" t="s">
        <v>1010</v>
      </c>
      <c r="M233" s="46"/>
      <c r="N233" s="46"/>
      <c r="O233" s="46"/>
      <c r="P233" s="49"/>
      <c r="Q233" s="19"/>
      <c r="R233" s="20"/>
      <c r="S233" s="20"/>
      <c r="T233" s="20"/>
      <c r="U233" s="20"/>
      <c r="V233" s="21"/>
      <c r="W233" s="22"/>
      <c r="X233" s="22"/>
      <c r="Y233" s="22"/>
      <c r="Z233" s="22"/>
      <c r="AA233" s="19"/>
      <c r="AB233" s="20"/>
      <c r="AC233" s="20"/>
      <c r="AD233" s="20"/>
      <c r="AE233" s="20"/>
      <c r="AF233" s="21"/>
      <c r="AG233" s="22"/>
      <c r="AH233" s="22"/>
      <c r="AI233" s="22"/>
      <c r="AJ233" s="22"/>
      <c r="AK233" s="19"/>
      <c r="AL233" s="20"/>
      <c r="AM233" s="20"/>
      <c r="AN233" s="20"/>
      <c r="AO233" s="20"/>
      <c r="AP233" s="21"/>
      <c r="AQ233" s="22"/>
      <c r="AR233" s="22"/>
      <c r="AS233" s="22"/>
      <c r="AT233" s="22"/>
      <c r="AU233" s="19"/>
      <c r="AV233" s="20"/>
      <c r="AW233" s="20"/>
      <c r="AX233" s="20"/>
      <c r="AY233" s="20"/>
      <c r="AZ233" s="21"/>
      <c r="BA233" s="22"/>
      <c r="BB233" s="22"/>
      <c r="BC233" s="22"/>
      <c r="BD233" s="22"/>
      <c r="BE233" s="19"/>
      <c r="BF233" s="20"/>
      <c r="BG233" s="20"/>
      <c r="BH233" s="20"/>
      <c r="BI233" s="20"/>
      <c r="BJ233" s="21"/>
      <c r="BK233" s="22"/>
      <c r="BL233" s="22"/>
      <c r="BM233" s="22"/>
      <c r="BN233" s="22"/>
      <c r="BO233" s="19"/>
      <c r="BP233" s="20"/>
      <c r="BQ233" s="20"/>
      <c r="BR233" s="20"/>
      <c r="BS233" s="20"/>
      <c r="BT233" s="21"/>
      <c r="BU233" s="22"/>
      <c r="BV233" s="22"/>
      <c r="BW233" s="22"/>
      <c r="BX233" s="22"/>
      <c r="BY233" s="23"/>
      <c r="BZ233" s="24"/>
      <c r="CA233" s="24"/>
      <c r="CB233" s="24"/>
      <c r="CC233" s="24"/>
      <c r="CD233" s="25"/>
      <c r="CE233" s="26"/>
      <c r="CF233" s="26"/>
      <c r="CG233" s="26"/>
      <c r="CH233" s="26"/>
      <c r="CI233" s="27"/>
      <c r="CJ233" s="28"/>
      <c r="CK233" s="28"/>
      <c r="CL233" s="28"/>
      <c r="CM233" s="28"/>
      <c r="CN233" s="25"/>
      <c r="CO233" s="26"/>
      <c r="CP233" s="26"/>
      <c r="CQ233" s="26"/>
      <c r="CR233" s="26"/>
      <c r="CS233" s="27"/>
      <c r="CT233" s="28"/>
      <c r="CU233" s="28"/>
      <c r="CV233" s="28"/>
      <c r="CW233" s="28"/>
      <c r="CX233" s="25"/>
      <c r="CY233" s="26"/>
      <c r="CZ233" s="26"/>
      <c r="DA233" s="26"/>
      <c r="DB233" s="26"/>
      <c r="DC233" s="27"/>
      <c r="DD233" s="28"/>
      <c r="DE233" s="28"/>
      <c r="DF233" s="28"/>
      <c r="DG233" s="28"/>
      <c r="DH233" s="25"/>
      <c r="DI233" s="26"/>
      <c r="DJ233" s="26"/>
      <c r="DK233" s="26"/>
      <c r="DL233" s="26"/>
      <c r="DM233" s="27"/>
      <c r="DN233" s="28"/>
      <c r="DO233" s="28"/>
      <c r="DP233" s="28"/>
      <c r="DQ233" s="28"/>
      <c r="DR233" s="25"/>
      <c r="DS233" s="26"/>
      <c r="DT233" s="26"/>
      <c r="DU233" s="26"/>
      <c r="DV233" s="26"/>
      <c r="DW233" s="27"/>
      <c r="DX233" s="28"/>
      <c r="DY233" s="28"/>
      <c r="DZ233" s="28"/>
      <c r="EA233" s="28"/>
      <c r="EB233" s="29"/>
      <c r="EC233" s="30"/>
      <c r="ED233" s="30"/>
      <c r="EE233" s="30"/>
      <c r="EF233" s="30"/>
      <c r="EG233" s="31"/>
      <c r="EH233" s="32"/>
      <c r="EI233" s="32"/>
      <c r="EJ233" s="32"/>
      <c r="EK233" s="32"/>
      <c r="EL233" s="29"/>
      <c r="EM233" s="30"/>
      <c r="EN233" s="30"/>
      <c r="EO233" s="30"/>
      <c r="EP233" s="30"/>
      <c r="EQ233" s="31"/>
      <c r="ER233" s="32"/>
      <c r="ES233" s="32"/>
      <c r="ET233" s="32"/>
      <c r="EU233" s="32"/>
      <c r="EV233" s="29"/>
      <c r="EW233" s="30"/>
      <c r="EX233" s="30"/>
      <c r="EY233" s="30"/>
      <c r="EZ233" s="30"/>
      <c r="FA233" s="31"/>
      <c r="FB233" s="32"/>
      <c r="FC233" s="32"/>
      <c r="FD233" s="32"/>
      <c r="FE233" s="32"/>
      <c r="FF233" s="29"/>
      <c r="FG233" s="30"/>
      <c r="FH233" s="30"/>
      <c r="FI233" s="30"/>
      <c r="FJ233" s="30"/>
      <c r="FK233" s="31"/>
      <c r="FL233" s="32"/>
      <c r="FM233" s="32"/>
      <c r="FN233" s="32"/>
      <c r="FO233" s="32"/>
      <c r="FP233" s="29"/>
      <c r="FQ233" s="30"/>
      <c r="FR233" s="30"/>
      <c r="FS233" s="30"/>
      <c r="FT233" s="30"/>
      <c r="FU233" s="31"/>
      <c r="FV233" s="32"/>
      <c r="FW233" s="32"/>
      <c r="FX233" s="32"/>
      <c r="FY233" s="32"/>
      <c r="FZ233" s="29"/>
      <c r="GA233" s="30"/>
      <c r="GB233" s="30"/>
      <c r="GC233" s="30"/>
      <c r="GD233" s="30"/>
    </row>
    <row r="234" spans="1:186" ht="48" x14ac:dyDescent="0.25">
      <c r="A234" s="156">
        <v>225</v>
      </c>
      <c r="B234" s="395">
        <f>'Tier 3 Intervention'!B907</f>
        <v>0</v>
      </c>
      <c r="C234" s="395"/>
      <c r="D234" s="395"/>
      <c r="E234" s="395"/>
      <c r="F234" s="395"/>
      <c r="G234" s="395"/>
      <c r="H234" s="761" t="e">
        <f>'Tier 3 Intervention'!AA907+30</f>
        <v>#VALUE!</v>
      </c>
      <c r="I234" s="761"/>
      <c r="J234" s="762" t="e">
        <f t="shared" si="4"/>
        <v>#VALUE!</v>
      </c>
      <c r="K234" s="395"/>
      <c r="L234" s="47" t="s">
        <v>1011</v>
      </c>
      <c r="M234" s="46"/>
      <c r="N234" s="46"/>
      <c r="O234" s="46"/>
      <c r="P234" s="49"/>
      <c r="Q234" s="19"/>
      <c r="R234" s="20"/>
      <c r="S234" s="20"/>
      <c r="T234" s="20"/>
      <c r="U234" s="20"/>
      <c r="V234" s="21"/>
      <c r="W234" s="22"/>
      <c r="X234" s="22"/>
      <c r="Y234" s="22"/>
      <c r="Z234" s="22"/>
      <c r="AA234" s="19"/>
      <c r="AB234" s="20"/>
      <c r="AC234" s="20"/>
      <c r="AD234" s="20"/>
      <c r="AE234" s="20"/>
      <c r="AF234" s="21"/>
      <c r="AG234" s="22"/>
      <c r="AH234" s="22"/>
      <c r="AI234" s="22"/>
      <c r="AJ234" s="22"/>
      <c r="AK234" s="19"/>
      <c r="AL234" s="20"/>
      <c r="AM234" s="20"/>
      <c r="AN234" s="20"/>
      <c r="AO234" s="20"/>
      <c r="AP234" s="21"/>
      <c r="AQ234" s="22"/>
      <c r="AR234" s="22"/>
      <c r="AS234" s="22"/>
      <c r="AT234" s="22"/>
      <c r="AU234" s="19"/>
      <c r="AV234" s="20"/>
      <c r="AW234" s="20"/>
      <c r="AX234" s="20"/>
      <c r="AY234" s="20"/>
      <c r="AZ234" s="21"/>
      <c r="BA234" s="22"/>
      <c r="BB234" s="22"/>
      <c r="BC234" s="22"/>
      <c r="BD234" s="22"/>
      <c r="BE234" s="19"/>
      <c r="BF234" s="20"/>
      <c r="BG234" s="20"/>
      <c r="BH234" s="20"/>
      <c r="BI234" s="20"/>
      <c r="BJ234" s="21"/>
      <c r="BK234" s="22"/>
      <c r="BL234" s="22"/>
      <c r="BM234" s="22"/>
      <c r="BN234" s="22"/>
      <c r="BO234" s="19"/>
      <c r="BP234" s="20"/>
      <c r="BQ234" s="20"/>
      <c r="BR234" s="20"/>
      <c r="BS234" s="20"/>
      <c r="BT234" s="21"/>
      <c r="BU234" s="22"/>
      <c r="BV234" s="22"/>
      <c r="BW234" s="22"/>
      <c r="BX234" s="22"/>
      <c r="BY234" s="23"/>
      <c r="BZ234" s="24"/>
      <c r="CA234" s="24"/>
      <c r="CB234" s="24"/>
      <c r="CC234" s="24"/>
      <c r="CD234" s="25"/>
      <c r="CE234" s="26"/>
      <c r="CF234" s="26"/>
      <c r="CG234" s="26"/>
      <c r="CH234" s="26"/>
      <c r="CI234" s="27"/>
      <c r="CJ234" s="28"/>
      <c r="CK234" s="28"/>
      <c r="CL234" s="28"/>
      <c r="CM234" s="28"/>
      <c r="CN234" s="25"/>
      <c r="CO234" s="26"/>
      <c r="CP234" s="26"/>
      <c r="CQ234" s="26"/>
      <c r="CR234" s="26"/>
      <c r="CS234" s="27"/>
      <c r="CT234" s="28"/>
      <c r="CU234" s="28"/>
      <c r="CV234" s="28"/>
      <c r="CW234" s="28"/>
      <c r="CX234" s="25"/>
      <c r="CY234" s="26"/>
      <c r="CZ234" s="26"/>
      <c r="DA234" s="26"/>
      <c r="DB234" s="26"/>
      <c r="DC234" s="27"/>
      <c r="DD234" s="28"/>
      <c r="DE234" s="28"/>
      <c r="DF234" s="28"/>
      <c r="DG234" s="28"/>
      <c r="DH234" s="25"/>
      <c r="DI234" s="26"/>
      <c r="DJ234" s="26"/>
      <c r="DK234" s="26"/>
      <c r="DL234" s="26"/>
      <c r="DM234" s="27"/>
      <c r="DN234" s="28"/>
      <c r="DO234" s="28"/>
      <c r="DP234" s="28"/>
      <c r="DQ234" s="28"/>
      <c r="DR234" s="25"/>
      <c r="DS234" s="26"/>
      <c r="DT234" s="26"/>
      <c r="DU234" s="26"/>
      <c r="DV234" s="26"/>
      <c r="DW234" s="27"/>
      <c r="DX234" s="28"/>
      <c r="DY234" s="28"/>
      <c r="DZ234" s="28"/>
      <c r="EA234" s="28"/>
      <c r="EB234" s="29"/>
      <c r="EC234" s="30"/>
      <c r="ED234" s="30"/>
      <c r="EE234" s="30"/>
      <c r="EF234" s="30"/>
      <c r="EG234" s="31"/>
      <c r="EH234" s="32"/>
      <c r="EI234" s="32"/>
      <c r="EJ234" s="32"/>
      <c r="EK234" s="32"/>
      <c r="EL234" s="29"/>
      <c r="EM234" s="30"/>
      <c r="EN234" s="30"/>
      <c r="EO234" s="30"/>
      <c r="EP234" s="30"/>
      <c r="EQ234" s="31"/>
      <c r="ER234" s="32"/>
      <c r="ES234" s="32"/>
      <c r="ET234" s="32"/>
      <c r="EU234" s="32"/>
      <c r="EV234" s="29"/>
      <c r="EW234" s="30"/>
      <c r="EX234" s="30"/>
      <c r="EY234" s="30"/>
      <c r="EZ234" s="30"/>
      <c r="FA234" s="31"/>
      <c r="FB234" s="32"/>
      <c r="FC234" s="32"/>
      <c r="FD234" s="32"/>
      <c r="FE234" s="32"/>
      <c r="FF234" s="29"/>
      <c r="FG234" s="30"/>
      <c r="FH234" s="30"/>
      <c r="FI234" s="30"/>
      <c r="FJ234" s="30"/>
      <c r="FK234" s="31"/>
      <c r="FL234" s="32"/>
      <c r="FM234" s="32"/>
      <c r="FN234" s="32"/>
      <c r="FO234" s="32"/>
      <c r="FP234" s="29"/>
      <c r="FQ234" s="30"/>
      <c r="FR234" s="30"/>
      <c r="FS234" s="30"/>
      <c r="FT234" s="30"/>
      <c r="FU234" s="31"/>
      <c r="FV234" s="32"/>
      <c r="FW234" s="32"/>
      <c r="FX234" s="32"/>
      <c r="FY234" s="32"/>
      <c r="FZ234" s="29"/>
      <c r="GA234" s="30"/>
      <c r="GB234" s="30"/>
      <c r="GC234" s="30"/>
      <c r="GD234" s="30"/>
    </row>
    <row r="235" spans="1:186" ht="48" x14ac:dyDescent="0.25">
      <c r="A235" s="156">
        <v>226</v>
      </c>
      <c r="B235" s="395">
        <f>'Tier 3 Intervention'!B911</f>
        <v>0</v>
      </c>
      <c r="C235" s="395"/>
      <c r="D235" s="395"/>
      <c r="E235" s="395"/>
      <c r="F235" s="395"/>
      <c r="G235" s="395"/>
      <c r="H235" s="761" t="e">
        <f>'Tier 3 Intervention'!AA911+30</f>
        <v>#VALUE!</v>
      </c>
      <c r="I235" s="761"/>
      <c r="J235" s="762" t="e">
        <f t="shared" si="4"/>
        <v>#VALUE!</v>
      </c>
      <c r="K235" s="395"/>
      <c r="L235" s="47" t="s">
        <v>1012</v>
      </c>
      <c r="M235" s="46"/>
      <c r="N235" s="46"/>
      <c r="O235" s="46"/>
      <c r="P235" s="49"/>
      <c r="Q235" s="19"/>
      <c r="R235" s="20"/>
      <c r="S235" s="20"/>
      <c r="T235" s="20"/>
      <c r="U235" s="20"/>
      <c r="V235" s="21"/>
      <c r="W235" s="22"/>
      <c r="X235" s="22"/>
      <c r="Y235" s="22"/>
      <c r="Z235" s="22"/>
      <c r="AA235" s="19"/>
      <c r="AB235" s="20"/>
      <c r="AC235" s="20"/>
      <c r="AD235" s="20"/>
      <c r="AE235" s="20"/>
      <c r="AF235" s="21"/>
      <c r="AG235" s="22"/>
      <c r="AH235" s="22"/>
      <c r="AI235" s="22"/>
      <c r="AJ235" s="22"/>
      <c r="AK235" s="19"/>
      <c r="AL235" s="20"/>
      <c r="AM235" s="20"/>
      <c r="AN235" s="20"/>
      <c r="AO235" s="20"/>
      <c r="AP235" s="21"/>
      <c r="AQ235" s="22"/>
      <c r="AR235" s="22"/>
      <c r="AS235" s="22"/>
      <c r="AT235" s="22"/>
      <c r="AU235" s="19"/>
      <c r="AV235" s="20"/>
      <c r="AW235" s="20"/>
      <c r="AX235" s="20"/>
      <c r="AY235" s="20"/>
      <c r="AZ235" s="21"/>
      <c r="BA235" s="22"/>
      <c r="BB235" s="22"/>
      <c r="BC235" s="22"/>
      <c r="BD235" s="22"/>
      <c r="BE235" s="19"/>
      <c r="BF235" s="20"/>
      <c r="BG235" s="20"/>
      <c r="BH235" s="20"/>
      <c r="BI235" s="20"/>
      <c r="BJ235" s="21"/>
      <c r="BK235" s="22"/>
      <c r="BL235" s="22"/>
      <c r="BM235" s="22"/>
      <c r="BN235" s="22"/>
      <c r="BO235" s="19"/>
      <c r="BP235" s="20"/>
      <c r="BQ235" s="20"/>
      <c r="BR235" s="20"/>
      <c r="BS235" s="20"/>
      <c r="BT235" s="21"/>
      <c r="BU235" s="22"/>
      <c r="BV235" s="22"/>
      <c r="BW235" s="22"/>
      <c r="BX235" s="22"/>
      <c r="BY235" s="23"/>
      <c r="BZ235" s="24"/>
      <c r="CA235" s="24"/>
      <c r="CB235" s="24"/>
      <c r="CC235" s="24"/>
      <c r="CD235" s="25"/>
      <c r="CE235" s="26"/>
      <c r="CF235" s="26"/>
      <c r="CG235" s="26"/>
      <c r="CH235" s="26"/>
      <c r="CI235" s="27"/>
      <c r="CJ235" s="28"/>
      <c r="CK235" s="28"/>
      <c r="CL235" s="28"/>
      <c r="CM235" s="28"/>
      <c r="CN235" s="25"/>
      <c r="CO235" s="26"/>
      <c r="CP235" s="26"/>
      <c r="CQ235" s="26"/>
      <c r="CR235" s="26"/>
      <c r="CS235" s="27"/>
      <c r="CT235" s="28"/>
      <c r="CU235" s="28"/>
      <c r="CV235" s="28"/>
      <c r="CW235" s="28"/>
      <c r="CX235" s="25"/>
      <c r="CY235" s="26"/>
      <c r="CZ235" s="26"/>
      <c r="DA235" s="26"/>
      <c r="DB235" s="26"/>
      <c r="DC235" s="27"/>
      <c r="DD235" s="28"/>
      <c r="DE235" s="28"/>
      <c r="DF235" s="28"/>
      <c r="DG235" s="28"/>
      <c r="DH235" s="25"/>
      <c r="DI235" s="26"/>
      <c r="DJ235" s="26"/>
      <c r="DK235" s="26"/>
      <c r="DL235" s="26"/>
      <c r="DM235" s="27"/>
      <c r="DN235" s="28"/>
      <c r="DO235" s="28"/>
      <c r="DP235" s="28"/>
      <c r="DQ235" s="28"/>
      <c r="DR235" s="25"/>
      <c r="DS235" s="26"/>
      <c r="DT235" s="26"/>
      <c r="DU235" s="26"/>
      <c r="DV235" s="26"/>
      <c r="DW235" s="27"/>
      <c r="DX235" s="28"/>
      <c r="DY235" s="28"/>
      <c r="DZ235" s="28"/>
      <c r="EA235" s="28"/>
      <c r="EB235" s="29"/>
      <c r="EC235" s="30"/>
      <c r="ED235" s="30"/>
      <c r="EE235" s="30"/>
      <c r="EF235" s="30"/>
      <c r="EG235" s="31"/>
      <c r="EH235" s="32"/>
      <c r="EI235" s="32"/>
      <c r="EJ235" s="32"/>
      <c r="EK235" s="32"/>
      <c r="EL235" s="29"/>
      <c r="EM235" s="30"/>
      <c r="EN235" s="30"/>
      <c r="EO235" s="30"/>
      <c r="EP235" s="30"/>
      <c r="EQ235" s="31"/>
      <c r="ER235" s="32"/>
      <c r="ES235" s="32"/>
      <c r="ET235" s="32"/>
      <c r="EU235" s="32"/>
      <c r="EV235" s="29"/>
      <c r="EW235" s="30"/>
      <c r="EX235" s="30"/>
      <c r="EY235" s="30"/>
      <c r="EZ235" s="30"/>
      <c r="FA235" s="31"/>
      <c r="FB235" s="32"/>
      <c r="FC235" s="32"/>
      <c r="FD235" s="32"/>
      <c r="FE235" s="32"/>
      <c r="FF235" s="29"/>
      <c r="FG235" s="30"/>
      <c r="FH235" s="30"/>
      <c r="FI235" s="30"/>
      <c r="FJ235" s="30"/>
      <c r="FK235" s="31"/>
      <c r="FL235" s="32"/>
      <c r="FM235" s="32"/>
      <c r="FN235" s="32"/>
      <c r="FO235" s="32"/>
      <c r="FP235" s="29"/>
      <c r="FQ235" s="30"/>
      <c r="FR235" s="30"/>
      <c r="FS235" s="30"/>
      <c r="FT235" s="30"/>
      <c r="FU235" s="31"/>
      <c r="FV235" s="32"/>
      <c r="FW235" s="32"/>
      <c r="FX235" s="32"/>
      <c r="FY235" s="32"/>
      <c r="FZ235" s="29"/>
      <c r="GA235" s="30"/>
      <c r="GB235" s="30"/>
      <c r="GC235" s="30"/>
      <c r="GD235" s="30"/>
    </row>
    <row r="236" spans="1:186" ht="48" x14ac:dyDescent="0.25">
      <c r="A236" s="156">
        <v>227</v>
      </c>
      <c r="B236" s="395">
        <f>'Tier 3 Intervention'!B915</f>
        <v>0</v>
      </c>
      <c r="C236" s="395"/>
      <c r="D236" s="395"/>
      <c r="E236" s="395"/>
      <c r="F236" s="395"/>
      <c r="G236" s="395"/>
      <c r="H236" s="761" t="e">
        <f>'Tier 3 Intervention'!AA915+30</f>
        <v>#VALUE!</v>
      </c>
      <c r="I236" s="761"/>
      <c r="J236" s="762" t="e">
        <f t="shared" si="4"/>
        <v>#VALUE!</v>
      </c>
      <c r="K236" s="395"/>
      <c r="L236" s="47" t="s">
        <v>1013</v>
      </c>
      <c r="M236" s="46"/>
      <c r="N236" s="46"/>
      <c r="O236" s="46"/>
      <c r="P236" s="49"/>
      <c r="Q236" s="19"/>
      <c r="R236" s="20"/>
      <c r="S236" s="20"/>
      <c r="T236" s="20"/>
      <c r="U236" s="20"/>
      <c r="V236" s="21"/>
      <c r="W236" s="22"/>
      <c r="X236" s="22"/>
      <c r="Y236" s="22"/>
      <c r="Z236" s="22"/>
      <c r="AA236" s="19"/>
      <c r="AB236" s="20"/>
      <c r="AC236" s="20"/>
      <c r="AD236" s="20"/>
      <c r="AE236" s="20"/>
      <c r="AF236" s="21"/>
      <c r="AG236" s="22"/>
      <c r="AH236" s="22"/>
      <c r="AI236" s="22"/>
      <c r="AJ236" s="22"/>
      <c r="AK236" s="19"/>
      <c r="AL236" s="20"/>
      <c r="AM236" s="20"/>
      <c r="AN236" s="20"/>
      <c r="AO236" s="20"/>
      <c r="AP236" s="21"/>
      <c r="AQ236" s="22"/>
      <c r="AR236" s="22"/>
      <c r="AS236" s="22"/>
      <c r="AT236" s="22"/>
      <c r="AU236" s="19"/>
      <c r="AV236" s="20"/>
      <c r="AW236" s="20"/>
      <c r="AX236" s="20"/>
      <c r="AY236" s="20"/>
      <c r="AZ236" s="21"/>
      <c r="BA236" s="22"/>
      <c r="BB236" s="22"/>
      <c r="BC236" s="22"/>
      <c r="BD236" s="22"/>
      <c r="BE236" s="19"/>
      <c r="BF236" s="20"/>
      <c r="BG236" s="20"/>
      <c r="BH236" s="20"/>
      <c r="BI236" s="20"/>
      <c r="BJ236" s="21"/>
      <c r="BK236" s="22"/>
      <c r="BL236" s="22"/>
      <c r="BM236" s="22"/>
      <c r="BN236" s="22"/>
      <c r="BO236" s="19"/>
      <c r="BP236" s="20"/>
      <c r="BQ236" s="20"/>
      <c r="BR236" s="20"/>
      <c r="BS236" s="20"/>
      <c r="BT236" s="21"/>
      <c r="BU236" s="22"/>
      <c r="BV236" s="22"/>
      <c r="BW236" s="22"/>
      <c r="BX236" s="22"/>
      <c r="BY236" s="23"/>
      <c r="BZ236" s="24"/>
      <c r="CA236" s="24"/>
      <c r="CB236" s="24"/>
      <c r="CC236" s="24"/>
      <c r="CD236" s="25"/>
      <c r="CE236" s="26"/>
      <c r="CF236" s="26"/>
      <c r="CG236" s="26"/>
      <c r="CH236" s="26"/>
      <c r="CI236" s="27"/>
      <c r="CJ236" s="28"/>
      <c r="CK236" s="28"/>
      <c r="CL236" s="28"/>
      <c r="CM236" s="28"/>
      <c r="CN236" s="25"/>
      <c r="CO236" s="26"/>
      <c r="CP236" s="26"/>
      <c r="CQ236" s="26"/>
      <c r="CR236" s="26"/>
      <c r="CS236" s="27"/>
      <c r="CT236" s="28"/>
      <c r="CU236" s="28"/>
      <c r="CV236" s="28"/>
      <c r="CW236" s="28"/>
      <c r="CX236" s="25"/>
      <c r="CY236" s="26"/>
      <c r="CZ236" s="26"/>
      <c r="DA236" s="26"/>
      <c r="DB236" s="26"/>
      <c r="DC236" s="27"/>
      <c r="DD236" s="28"/>
      <c r="DE236" s="28"/>
      <c r="DF236" s="28"/>
      <c r="DG236" s="28"/>
      <c r="DH236" s="25"/>
      <c r="DI236" s="26"/>
      <c r="DJ236" s="26"/>
      <c r="DK236" s="26"/>
      <c r="DL236" s="26"/>
      <c r="DM236" s="27"/>
      <c r="DN236" s="28"/>
      <c r="DO236" s="28"/>
      <c r="DP236" s="28"/>
      <c r="DQ236" s="28"/>
      <c r="DR236" s="25"/>
      <c r="DS236" s="26"/>
      <c r="DT236" s="26"/>
      <c r="DU236" s="26"/>
      <c r="DV236" s="26"/>
      <c r="DW236" s="27"/>
      <c r="DX236" s="28"/>
      <c r="DY236" s="28"/>
      <c r="DZ236" s="28"/>
      <c r="EA236" s="28"/>
      <c r="EB236" s="29"/>
      <c r="EC236" s="30"/>
      <c r="ED236" s="30"/>
      <c r="EE236" s="30"/>
      <c r="EF236" s="30"/>
      <c r="EG236" s="31"/>
      <c r="EH236" s="32"/>
      <c r="EI236" s="32"/>
      <c r="EJ236" s="32"/>
      <c r="EK236" s="32"/>
      <c r="EL236" s="29"/>
      <c r="EM236" s="30"/>
      <c r="EN236" s="30"/>
      <c r="EO236" s="30"/>
      <c r="EP236" s="30"/>
      <c r="EQ236" s="31"/>
      <c r="ER236" s="32"/>
      <c r="ES236" s="32"/>
      <c r="ET236" s="32"/>
      <c r="EU236" s="32"/>
      <c r="EV236" s="29"/>
      <c r="EW236" s="30"/>
      <c r="EX236" s="30"/>
      <c r="EY236" s="30"/>
      <c r="EZ236" s="30"/>
      <c r="FA236" s="31"/>
      <c r="FB236" s="32"/>
      <c r="FC236" s="32"/>
      <c r="FD236" s="32"/>
      <c r="FE236" s="32"/>
      <c r="FF236" s="29"/>
      <c r="FG236" s="30"/>
      <c r="FH236" s="30"/>
      <c r="FI236" s="30"/>
      <c r="FJ236" s="30"/>
      <c r="FK236" s="31"/>
      <c r="FL236" s="32"/>
      <c r="FM236" s="32"/>
      <c r="FN236" s="32"/>
      <c r="FO236" s="32"/>
      <c r="FP236" s="29"/>
      <c r="FQ236" s="30"/>
      <c r="FR236" s="30"/>
      <c r="FS236" s="30"/>
      <c r="FT236" s="30"/>
      <c r="FU236" s="31"/>
      <c r="FV236" s="32"/>
      <c r="FW236" s="32"/>
      <c r="FX236" s="32"/>
      <c r="FY236" s="32"/>
      <c r="FZ236" s="29"/>
      <c r="GA236" s="30"/>
      <c r="GB236" s="30"/>
      <c r="GC236" s="30"/>
      <c r="GD236" s="30"/>
    </row>
    <row r="237" spans="1:186" ht="48" x14ac:dyDescent="0.25">
      <c r="A237" s="156">
        <v>228</v>
      </c>
      <c r="B237" s="395">
        <f>'Tier 3 Intervention'!B919</f>
        <v>0</v>
      </c>
      <c r="C237" s="395"/>
      <c r="D237" s="395"/>
      <c r="E237" s="395"/>
      <c r="F237" s="395"/>
      <c r="G237" s="395"/>
      <c r="H237" s="761" t="e">
        <f>'Tier 3 Intervention'!AA919+30</f>
        <v>#VALUE!</v>
      </c>
      <c r="I237" s="761"/>
      <c r="J237" s="762" t="e">
        <f t="shared" si="4"/>
        <v>#VALUE!</v>
      </c>
      <c r="K237" s="395"/>
      <c r="L237" s="47" t="s">
        <v>1014</v>
      </c>
      <c r="M237" s="46"/>
      <c r="N237" s="46"/>
      <c r="O237" s="46"/>
      <c r="P237" s="49"/>
      <c r="Q237" s="19"/>
      <c r="R237" s="20"/>
      <c r="S237" s="20"/>
      <c r="T237" s="20"/>
      <c r="U237" s="20"/>
      <c r="V237" s="21"/>
      <c r="W237" s="22"/>
      <c r="X237" s="22"/>
      <c r="Y237" s="22"/>
      <c r="Z237" s="22"/>
      <c r="AA237" s="19"/>
      <c r="AB237" s="20"/>
      <c r="AC237" s="20"/>
      <c r="AD237" s="20"/>
      <c r="AE237" s="20"/>
      <c r="AF237" s="21"/>
      <c r="AG237" s="22"/>
      <c r="AH237" s="22"/>
      <c r="AI237" s="22"/>
      <c r="AJ237" s="22"/>
      <c r="AK237" s="19"/>
      <c r="AL237" s="20"/>
      <c r="AM237" s="20"/>
      <c r="AN237" s="20"/>
      <c r="AO237" s="20"/>
      <c r="AP237" s="21"/>
      <c r="AQ237" s="22"/>
      <c r="AR237" s="22"/>
      <c r="AS237" s="22"/>
      <c r="AT237" s="22"/>
      <c r="AU237" s="19"/>
      <c r="AV237" s="20"/>
      <c r="AW237" s="20"/>
      <c r="AX237" s="20"/>
      <c r="AY237" s="20"/>
      <c r="AZ237" s="21"/>
      <c r="BA237" s="22"/>
      <c r="BB237" s="22"/>
      <c r="BC237" s="22"/>
      <c r="BD237" s="22"/>
      <c r="BE237" s="19"/>
      <c r="BF237" s="20"/>
      <c r="BG237" s="20"/>
      <c r="BH237" s="20"/>
      <c r="BI237" s="20"/>
      <c r="BJ237" s="21"/>
      <c r="BK237" s="22"/>
      <c r="BL237" s="22"/>
      <c r="BM237" s="22"/>
      <c r="BN237" s="22"/>
      <c r="BO237" s="19"/>
      <c r="BP237" s="20"/>
      <c r="BQ237" s="20"/>
      <c r="BR237" s="20"/>
      <c r="BS237" s="20"/>
      <c r="BT237" s="21"/>
      <c r="BU237" s="22"/>
      <c r="BV237" s="22"/>
      <c r="BW237" s="22"/>
      <c r="BX237" s="22"/>
      <c r="BY237" s="23"/>
      <c r="BZ237" s="24"/>
      <c r="CA237" s="24"/>
      <c r="CB237" s="24"/>
      <c r="CC237" s="24"/>
      <c r="CD237" s="25"/>
      <c r="CE237" s="26"/>
      <c r="CF237" s="26"/>
      <c r="CG237" s="26"/>
      <c r="CH237" s="26"/>
      <c r="CI237" s="27"/>
      <c r="CJ237" s="28"/>
      <c r="CK237" s="28"/>
      <c r="CL237" s="28"/>
      <c r="CM237" s="28"/>
      <c r="CN237" s="25"/>
      <c r="CO237" s="26"/>
      <c r="CP237" s="26"/>
      <c r="CQ237" s="26"/>
      <c r="CR237" s="26"/>
      <c r="CS237" s="27"/>
      <c r="CT237" s="28"/>
      <c r="CU237" s="28"/>
      <c r="CV237" s="28"/>
      <c r="CW237" s="28"/>
      <c r="CX237" s="25"/>
      <c r="CY237" s="26"/>
      <c r="CZ237" s="26"/>
      <c r="DA237" s="26"/>
      <c r="DB237" s="26"/>
      <c r="DC237" s="27"/>
      <c r="DD237" s="28"/>
      <c r="DE237" s="28"/>
      <c r="DF237" s="28"/>
      <c r="DG237" s="28"/>
      <c r="DH237" s="25"/>
      <c r="DI237" s="26"/>
      <c r="DJ237" s="26"/>
      <c r="DK237" s="26"/>
      <c r="DL237" s="26"/>
      <c r="DM237" s="27"/>
      <c r="DN237" s="28"/>
      <c r="DO237" s="28"/>
      <c r="DP237" s="28"/>
      <c r="DQ237" s="28"/>
      <c r="DR237" s="25"/>
      <c r="DS237" s="26"/>
      <c r="DT237" s="26"/>
      <c r="DU237" s="26"/>
      <c r="DV237" s="26"/>
      <c r="DW237" s="27"/>
      <c r="DX237" s="28"/>
      <c r="DY237" s="28"/>
      <c r="DZ237" s="28"/>
      <c r="EA237" s="28"/>
      <c r="EB237" s="29"/>
      <c r="EC237" s="30"/>
      <c r="ED237" s="30"/>
      <c r="EE237" s="30"/>
      <c r="EF237" s="30"/>
      <c r="EG237" s="31"/>
      <c r="EH237" s="32"/>
      <c r="EI237" s="32"/>
      <c r="EJ237" s="32"/>
      <c r="EK237" s="32"/>
      <c r="EL237" s="29"/>
      <c r="EM237" s="30"/>
      <c r="EN237" s="30"/>
      <c r="EO237" s="30"/>
      <c r="EP237" s="30"/>
      <c r="EQ237" s="31"/>
      <c r="ER237" s="32"/>
      <c r="ES237" s="32"/>
      <c r="ET237" s="32"/>
      <c r="EU237" s="32"/>
      <c r="EV237" s="29"/>
      <c r="EW237" s="30"/>
      <c r="EX237" s="30"/>
      <c r="EY237" s="30"/>
      <c r="EZ237" s="30"/>
      <c r="FA237" s="31"/>
      <c r="FB237" s="32"/>
      <c r="FC237" s="32"/>
      <c r="FD237" s="32"/>
      <c r="FE237" s="32"/>
      <c r="FF237" s="29"/>
      <c r="FG237" s="30"/>
      <c r="FH237" s="30"/>
      <c r="FI237" s="30"/>
      <c r="FJ237" s="30"/>
      <c r="FK237" s="31"/>
      <c r="FL237" s="32"/>
      <c r="FM237" s="32"/>
      <c r="FN237" s="32"/>
      <c r="FO237" s="32"/>
      <c r="FP237" s="29"/>
      <c r="FQ237" s="30"/>
      <c r="FR237" s="30"/>
      <c r="FS237" s="30"/>
      <c r="FT237" s="30"/>
      <c r="FU237" s="31"/>
      <c r="FV237" s="32"/>
      <c r="FW237" s="32"/>
      <c r="FX237" s="32"/>
      <c r="FY237" s="32"/>
      <c r="FZ237" s="29"/>
      <c r="GA237" s="30"/>
      <c r="GB237" s="30"/>
      <c r="GC237" s="30"/>
      <c r="GD237" s="30"/>
    </row>
    <row r="238" spans="1:186" ht="48" x14ac:dyDescent="0.25">
      <c r="A238" s="156">
        <v>229</v>
      </c>
      <c r="B238" s="395">
        <f>'Tier 3 Intervention'!B923</f>
        <v>0</v>
      </c>
      <c r="C238" s="395"/>
      <c r="D238" s="395"/>
      <c r="E238" s="395"/>
      <c r="F238" s="395"/>
      <c r="G238" s="395"/>
      <c r="H238" s="761" t="e">
        <f>'Tier 3 Intervention'!AA923+30</f>
        <v>#VALUE!</v>
      </c>
      <c r="I238" s="761"/>
      <c r="J238" s="762" t="e">
        <f t="shared" si="4"/>
        <v>#VALUE!</v>
      </c>
      <c r="K238" s="395"/>
      <c r="L238" s="47" t="s">
        <v>1015</v>
      </c>
      <c r="M238" s="46"/>
      <c r="N238" s="46"/>
      <c r="O238" s="46"/>
      <c r="P238" s="49"/>
      <c r="Q238" s="19"/>
      <c r="R238" s="20"/>
      <c r="S238" s="20"/>
      <c r="T238" s="20"/>
      <c r="U238" s="20"/>
      <c r="V238" s="21"/>
      <c r="W238" s="22"/>
      <c r="X238" s="22"/>
      <c r="Y238" s="22"/>
      <c r="Z238" s="22"/>
      <c r="AA238" s="19"/>
      <c r="AB238" s="20"/>
      <c r="AC238" s="20"/>
      <c r="AD238" s="20"/>
      <c r="AE238" s="20"/>
      <c r="AF238" s="21"/>
      <c r="AG238" s="22"/>
      <c r="AH238" s="22"/>
      <c r="AI238" s="22"/>
      <c r="AJ238" s="22"/>
      <c r="AK238" s="19"/>
      <c r="AL238" s="20"/>
      <c r="AM238" s="20"/>
      <c r="AN238" s="20"/>
      <c r="AO238" s="20"/>
      <c r="AP238" s="21"/>
      <c r="AQ238" s="22"/>
      <c r="AR238" s="22"/>
      <c r="AS238" s="22"/>
      <c r="AT238" s="22"/>
      <c r="AU238" s="19"/>
      <c r="AV238" s="20"/>
      <c r="AW238" s="20"/>
      <c r="AX238" s="20"/>
      <c r="AY238" s="20"/>
      <c r="AZ238" s="21"/>
      <c r="BA238" s="22"/>
      <c r="BB238" s="22"/>
      <c r="BC238" s="22"/>
      <c r="BD238" s="22"/>
      <c r="BE238" s="19"/>
      <c r="BF238" s="20"/>
      <c r="BG238" s="20"/>
      <c r="BH238" s="20"/>
      <c r="BI238" s="20"/>
      <c r="BJ238" s="21"/>
      <c r="BK238" s="22"/>
      <c r="BL238" s="22"/>
      <c r="BM238" s="22"/>
      <c r="BN238" s="22"/>
      <c r="BO238" s="19"/>
      <c r="BP238" s="20"/>
      <c r="BQ238" s="20"/>
      <c r="BR238" s="20"/>
      <c r="BS238" s="20"/>
      <c r="BT238" s="21"/>
      <c r="BU238" s="22"/>
      <c r="BV238" s="22"/>
      <c r="BW238" s="22"/>
      <c r="BX238" s="22"/>
      <c r="BY238" s="23"/>
      <c r="BZ238" s="24"/>
      <c r="CA238" s="24"/>
      <c r="CB238" s="24"/>
      <c r="CC238" s="24"/>
      <c r="CD238" s="25"/>
      <c r="CE238" s="26"/>
      <c r="CF238" s="26"/>
      <c r="CG238" s="26"/>
      <c r="CH238" s="26"/>
      <c r="CI238" s="27"/>
      <c r="CJ238" s="28"/>
      <c r="CK238" s="28"/>
      <c r="CL238" s="28"/>
      <c r="CM238" s="28"/>
      <c r="CN238" s="25"/>
      <c r="CO238" s="26"/>
      <c r="CP238" s="26"/>
      <c r="CQ238" s="26"/>
      <c r="CR238" s="26"/>
      <c r="CS238" s="27"/>
      <c r="CT238" s="28"/>
      <c r="CU238" s="28"/>
      <c r="CV238" s="28"/>
      <c r="CW238" s="28"/>
      <c r="CX238" s="25"/>
      <c r="CY238" s="26"/>
      <c r="CZ238" s="26"/>
      <c r="DA238" s="26"/>
      <c r="DB238" s="26"/>
      <c r="DC238" s="27"/>
      <c r="DD238" s="28"/>
      <c r="DE238" s="28"/>
      <c r="DF238" s="28"/>
      <c r="DG238" s="28"/>
      <c r="DH238" s="25"/>
      <c r="DI238" s="26"/>
      <c r="DJ238" s="26"/>
      <c r="DK238" s="26"/>
      <c r="DL238" s="26"/>
      <c r="DM238" s="27"/>
      <c r="DN238" s="28"/>
      <c r="DO238" s="28"/>
      <c r="DP238" s="28"/>
      <c r="DQ238" s="28"/>
      <c r="DR238" s="25"/>
      <c r="DS238" s="26"/>
      <c r="DT238" s="26"/>
      <c r="DU238" s="26"/>
      <c r="DV238" s="26"/>
      <c r="DW238" s="27"/>
      <c r="DX238" s="28"/>
      <c r="DY238" s="28"/>
      <c r="DZ238" s="28"/>
      <c r="EA238" s="28"/>
      <c r="EB238" s="29"/>
      <c r="EC238" s="30"/>
      <c r="ED238" s="30"/>
      <c r="EE238" s="30"/>
      <c r="EF238" s="30"/>
      <c r="EG238" s="31"/>
      <c r="EH238" s="32"/>
      <c r="EI238" s="32"/>
      <c r="EJ238" s="32"/>
      <c r="EK238" s="32"/>
      <c r="EL238" s="29"/>
      <c r="EM238" s="30"/>
      <c r="EN238" s="30"/>
      <c r="EO238" s="30"/>
      <c r="EP238" s="30"/>
      <c r="EQ238" s="31"/>
      <c r="ER238" s="32"/>
      <c r="ES238" s="32"/>
      <c r="ET238" s="32"/>
      <c r="EU238" s="32"/>
      <c r="EV238" s="29"/>
      <c r="EW238" s="30"/>
      <c r="EX238" s="30"/>
      <c r="EY238" s="30"/>
      <c r="EZ238" s="30"/>
      <c r="FA238" s="31"/>
      <c r="FB238" s="32"/>
      <c r="FC238" s="32"/>
      <c r="FD238" s="32"/>
      <c r="FE238" s="32"/>
      <c r="FF238" s="29"/>
      <c r="FG238" s="30"/>
      <c r="FH238" s="30"/>
      <c r="FI238" s="30"/>
      <c r="FJ238" s="30"/>
      <c r="FK238" s="31"/>
      <c r="FL238" s="32"/>
      <c r="FM238" s="32"/>
      <c r="FN238" s="32"/>
      <c r="FO238" s="32"/>
      <c r="FP238" s="29"/>
      <c r="FQ238" s="30"/>
      <c r="FR238" s="30"/>
      <c r="FS238" s="30"/>
      <c r="FT238" s="30"/>
      <c r="FU238" s="31"/>
      <c r="FV238" s="32"/>
      <c r="FW238" s="32"/>
      <c r="FX238" s="32"/>
      <c r="FY238" s="32"/>
      <c r="FZ238" s="29"/>
      <c r="GA238" s="30"/>
      <c r="GB238" s="30"/>
      <c r="GC238" s="30"/>
      <c r="GD238" s="30"/>
    </row>
    <row r="239" spans="1:186" ht="48" x14ac:dyDescent="0.25">
      <c r="A239" s="156">
        <v>230</v>
      </c>
      <c r="B239" s="395">
        <f>'Tier 3 Intervention'!B927</f>
        <v>0</v>
      </c>
      <c r="C239" s="395"/>
      <c r="D239" s="395"/>
      <c r="E239" s="395"/>
      <c r="F239" s="395"/>
      <c r="G239" s="395"/>
      <c r="H239" s="761" t="e">
        <f>'Tier 3 Intervention'!AA927+30</f>
        <v>#VALUE!</v>
      </c>
      <c r="I239" s="761"/>
      <c r="J239" s="762" t="e">
        <f t="shared" si="4"/>
        <v>#VALUE!</v>
      </c>
      <c r="K239" s="395"/>
      <c r="L239" s="47" t="s">
        <v>1016</v>
      </c>
      <c r="M239" s="46"/>
      <c r="N239" s="46"/>
      <c r="O239" s="46"/>
      <c r="P239" s="49"/>
      <c r="Q239" s="19"/>
      <c r="R239" s="20"/>
      <c r="S239" s="20"/>
      <c r="T239" s="20"/>
      <c r="U239" s="20"/>
      <c r="V239" s="21"/>
      <c r="W239" s="22"/>
      <c r="X239" s="22"/>
      <c r="Y239" s="22"/>
      <c r="Z239" s="22"/>
      <c r="AA239" s="19"/>
      <c r="AB239" s="20"/>
      <c r="AC239" s="20"/>
      <c r="AD239" s="20"/>
      <c r="AE239" s="20"/>
      <c r="AF239" s="21"/>
      <c r="AG239" s="22"/>
      <c r="AH239" s="22"/>
      <c r="AI239" s="22"/>
      <c r="AJ239" s="22"/>
      <c r="AK239" s="19"/>
      <c r="AL239" s="20"/>
      <c r="AM239" s="20"/>
      <c r="AN239" s="20"/>
      <c r="AO239" s="20"/>
      <c r="AP239" s="21"/>
      <c r="AQ239" s="22"/>
      <c r="AR239" s="22"/>
      <c r="AS239" s="22"/>
      <c r="AT239" s="22"/>
      <c r="AU239" s="19"/>
      <c r="AV239" s="20"/>
      <c r="AW239" s="20"/>
      <c r="AX239" s="20"/>
      <c r="AY239" s="20"/>
      <c r="AZ239" s="21"/>
      <c r="BA239" s="22"/>
      <c r="BB239" s="22"/>
      <c r="BC239" s="22"/>
      <c r="BD239" s="22"/>
      <c r="BE239" s="19"/>
      <c r="BF239" s="20"/>
      <c r="BG239" s="20"/>
      <c r="BH239" s="20"/>
      <c r="BI239" s="20"/>
      <c r="BJ239" s="21"/>
      <c r="BK239" s="22"/>
      <c r="BL239" s="22"/>
      <c r="BM239" s="22"/>
      <c r="BN239" s="22"/>
      <c r="BO239" s="19"/>
      <c r="BP239" s="20"/>
      <c r="BQ239" s="20"/>
      <c r="BR239" s="20"/>
      <c r="BS239" s="20"/>
      <c r="BT239" s="21"/>
      <c r="BU239" s="22"/>
      <c r="BV239" s="22"/>
      <c r="BW239" s="22"/>
      <c r="BX239" s="22"/>
      <c r="BY239" s="23"/>
      <c r="BZ239" s="24"/>
      <c r="CA239" s="24"/>
      <c r="CB239" s="24"/>
      <c r="CC239" s="24"/>
      <c r="CD239" s="25"/>
      <c r="CE239" s="26"/>
      <c r="CF239" s="26"/>
      <c r="CG239" s="26"/>
      <c r="CH239" s="26"/>
      <c r="CI239" s="27"/>
      <c r="CJ239" s="28"/>
      <c r="CK239" s="28"/>
      <c r="CL239" s="28"/>
      <c r="CM239" s="28"/>
      <c r="CN239" s="25"/>
      <c r="CO239" s="26"/>
      <c r="CP239" s="26"/>
      <c r="CQ239" s="26"/>
      <c r="CR239" s="26"/>
      <c r="CS239" s="27"/>
      <c r="CT239" s="28"/>
      <c r="CU239" s="28"/>
      <c r="CV239" s="28"/>
      <c r="CW239" s="28"/>
      <c r="CX239" s="25"/>
      <c r="CY239" s="26"/>
      <c r="CZ239" s="26"/>
      <c r="DA239" s="26"/>
      <c r="DB239" s="26"/>
      <c r="DC239" s="27"/>
      <c r="DD239" s="28"/>
      <c r="DE239" s="28"/>
      <c r="DF239" s="28"/>
      <c r="DG239" s="28"/>
      <c r="DH239" s="25"/>
      <c r="DI239" s="26"/>
      <c r="DJ239" s="26"/>
      <c r="DK239" s="26"/>
      <c r="DL239" s="26"/>
      <c r="DM239" s="27"/>
      <c r="DN239" s="28"/>
      <c r="DO239" s="28"/>
      <c r="DP239" s="28"/>
      <c r="DQ239" s="28"/>
      <c r="DR239" s="25"/>
      <c r="DS239" s="26"/>
      <c r="DT239" s="26"/>
      <c r="DU239" s="26"/>
      <c r="DV239" s="26"/>
      <c r="DW239" s="27"/>
      <c r="DX239" s="28"/>
      <c r="DY239" s="28"/>
      <c r="DZ239" s="28"/>
      <c r="EA239" s="28"/>
      <c r="EB239" s="29"/>
      <c r="EC239" s="30"/>
      <c r="ED239" s="30"/>
      <c r="EE239" s="30"/>
      <c r="EF239" s="30"/>
      <c r="EG239" s="31"/>
      <c r="EH239" s="32"/>
      <c r="EI239" s="32"/>
      <c r="EJ239" s="32"/>
      <c r="EK239" s="32"/>
      <c r="EL239" s="29"/>
      <c r="EM239" s="30"/>
      <c r="EN239" s="30"/>
      <c r="EO239" s="30"/>
      <c r="EP239" s="30"/>
      <c r="EQ239" s="31"/>
      <c r="ER239" s="32"/>
      <c r="ES239" s="32"/>
      <c r="ET239" s="32"/>
      <c r="EU239" s="32"/>
      <c r="EV239" s="29"/>
      <c r="EW239" s="30"/>
      <c r="EX239" s="30"/>
      <c r="EY239" s="30"/>
      <c r="EZ239" s="30"/>
      <c r="FA239" s="31"/>
      <c r="FB239" s="32"/>
      <c r="FC239" s="32"/>
      <c r="FD239" s="32"/>
      <c r="FE239" s="32"/>
      <c r="FF239" s="29"/>
      <c r="FG239" s="30"/>
      <c r="FH239" s="30"/>
      <c r="FI239" s="30"/>
      <c r="FJ239" s="30"/>
      <c r="FK239" s="31"/>
      <c r="FL239" s="32"/>
      <c r="FM239" s="32"/>
      <c r="FN239" s="32"/>
      <c r="FO239" s="32"/>
      <c r="FP239" s="29"/>
      <c r="FQ239" s="30"/>
      <c r="FR239" s="30"/>
      <c r="FS239" s="30"/>
      <c r="FT239" s="30"/>
      <c r="FU239" s="31"/>
      <c r="FV239" s="32"/>
      <c r="FW239" s="32"/>
      <c r="FX239" s="32"/>
      <c r="FY239" s="32"/>
      <c r="FZ239" s="29"/>
      <c r="GA239" s="30"/>
      <c r="GB239" s="30"/>
      <c r="GC239" s="30"/>
      <c r="GD239" s="30"/>
    </row>
    <row r="240" spans="1:186" ht="48" x14ac:dyDescent="0.25">
      <c r="A240" s="156">
        <v>231</v>
      </c>
      <c r="B240" s="395">
        <f>'Tier 3 Intervention'!B931</f>
        <v>0</v>
      </c>
      <c r="C240" s="395"/>
      <c r="D240" s="395"/>
      <c r="E240" s="395"/>
      <c r="F240" s="395"/>
      <c r="G240" s="395"/>
      <c r="H240" s="761" t="e">
        <f>'Tier 3 Intervention'!AA931+30</f>
        <v>#VALUE!</v>
      </c>
      <c r="I240" s="761"/>
      <c r="J240" s="762" t="e">
        <f t="shared" si="4"/>
        <v>#VALUE!</v>
      </c>
      <c r="K240" s="395"/>
      <c r="L240" s="47" t="s">
        <v>1017</v>
      </c>
      <c r="M240" s="46"/>
      <c r="N240" s="46"/>
      <c r="O240" s="46"/>
      <c r="P240" s="49"/>
      <c r="Q240" s="19"/>
      <c r="R240" s="20"/>
      <c r="S240" s="20"/>
      <c r="T240" s="20"/>
      <c r="U240" s="20"/>
      <c r="V240" s="21"/>
      <c r="W240" s="22"/>
      <c r="X240" s="22"/>
      <c r="Y240" s="22"/>
      <c r="Z240" s="22"/>
      <c r="AA240" s="19"/>
      <c r="AB240" s="20"/>
      <c r="AC240" s="20"/>
      <c r="AD240" s="20"/>
      <c r="AE240" s="20"/>
      <c r="AF240" s="21"/>
      <c r="AG240" s="22"/>
      <c r="AH240" s="22"/>
      <c r="AI240" s="22"/>
      <c r="AJ240" s="22"/>
      <c r="AK240" s="19"/>
      <c r="AL240" s="20"/>
      <c r="AM240" s="20"/>
      <c r="AN240" s="20"/>
      <c r="AO240" s="20"/>
      <c r="AP240" s="21"/>
      <c r="AQ240" s="22"/>
      <c r="AR240" s="22"/>
      <c r="AS240" s="22"/>
      <c r="AT240" s="22"/>
      <c r="AU240" s="19"/>
      <c r="AV240" s="20"/>
      <c r="AW240" s="20"/>
      <c r="AX240" s="20"/>
      <c r="AY240" s="20"/>
      <c r="AZ240" s="21"/>
      <c r="BA240" s="22"/>
      <c r="BB240" s="22"/>
      <c r="BC240" s="22"/>
      <c r="BD240" s="22"/>
      <c r="BE240" s="19"/>
      <c r="BF240" s="20"/>
      <c r="BG240" s="20"/>
      <c r="BH240" s="20"/>
      <c r="BI240" s="20"/>
      <c r="BJ240" s="21"/>
      <c r="BK240" s="22"/>
      <c r="BL240" s="22"/>
      <c r="BM240" s="22"/>
      <c r="BN240" s="22"/>
      <c r="BO240" s="19"/>
      <c r="BP240" s="20"/>
      <c r="BQ240" s="20"/>
      <c r="BR240" s="20"/>
      <c r="BS240" s="20"/>
      <c r="BT240" s="21"/>
      <c r="BU240" s="22"/>
      <c r="BV240" s="22"/>
      <c r="BW240" s="22"/>
      <c r="BX240" s="22"/>
      <c r="BY240" s="23"/>
      <c r="BZ240" s="24"/>
      <c r="CA240" s="24"/>
      <c r="CB240" s="24"/>
      <c r="CC240" s="24"/>
      <c r="CD240" s="25"/>
      <c r="CE240" s="26"/>
      <c r="CF240" s="26"/>
      <c r="CG240" s="26"/>
      <c r="CH240" s="26"/>
      <c r="CI240" s="27"/>
      <c r="CJ240" s="28"/>
      <c r="CK240" s="28"/>
      <c r="CL240" s="28"/>
      <c r="CM240" s="28"/>
      <c r="CN240" s="25"/>
      <c r="CO240" s="26"/>
      <c r="CP240" s="26"/>
      <c r="CQ240" s="26"/>
      <c r="CR240" s="26"/>
      <c r="CS240" s="27"/>
      <c r="CT240" s="28"/>
      <c r="CU240" s="28"/>
      <c r="CV240" s="28"/>
      <c r="CW240" s="28"/>
      <c r="CX240" s="25"/>
      <c r="CY240" s="26"/>
      <c r="CZ240" s="26"/>
      <c r="DA240" s="26"/>
      <c r="DB240" s="26"/>
      <c r="DC240" s="27"/>
      <c r="DD240" s="28"/>
      <c r="DE240" s="28"/>
      <c r="DF240" s="28"/>
      <c r="DG240" s="28"/>
      <c r="DH240" s="25"/>
      <c r="DI240" s="26"/>
      <c r="DJ240" s="26"/>
      <c r="DK240" s="26"/>
      <c r="DL240" s="26"/>
      <c r="DM240" s="27"/>
      <c r="DN240" s="28"/>
      <c r="DO240" s="28"/>
      <c r="DP240" s="28"/>
      <c r="DQ240" s="28"/>
      <c r="DR240" s="25"/>
      <c r="DS240" s="26"/>
      <c r="DT240" s="26"/>
      <c r="DU240" s="26"/>
      <c r="DV240" s="26"/>
      <c r="DW240" s="27"/>
      <c r="DX240" s="28"/>
      <c r="DY240" s="28"/>
      <c r="DZ240" s="28"/>
      <c r="EA240" s="28"/>
      <c r="EB240" s="29"/>
      <c r="EC240" s="30"/>
      <c r="ED240" s="30"/>
      <c r="EE240" s="30"/>
      <c r="EF240" s="30"/>
      <c r="EG240" s="31"/>
      <c r="EH240" s="32"/>
      <c r="EI240" s="32"/>
      <c r="EJ240" s="32"/>
      <c r="EK240" s="32"/>
      <c r="EL240" s="29"/>
      <c r="EM240" s="30"/>
      <c r="EN240" s="30"/>
      <c r="EO240" s="30"/>
      <c r="EP240" s="30"/>
      <c r="EQ240" s="31"/>
      <c r="ER240" s="32"/>
      <c r="ES240" s="32"/>
      <c r="ET240" s="32"/>
      <c r="EU240" s="32"/>
      <c r="EV240" s="29"/>
      <c r="EW240" s="30"/>
      <c r="EX240" s="30"/>
      <c r="EY240" s="30"/>
      <c r="EZ240" s="30"/>
      <c r="FA240" s="31"/>
      <c r="FB240" s="32"/>
      <c r="FC240" s="32"/>
      <c r="FD240" s="32"/>
      <c r="FE240" s="32"/>
      <c r="FF240" s="29"/>
      <c r="FG240" s="30"/>
      <c r="FH240" s="30"/>
      <c r="FI240" s="30"/>
      <c r="FJ240" s="30"/>
      <c r="FK240" s="31"/>
      <c r="FL240" s="32"/>
      <c r="FM240" s="32"/>
      <c r="FN240" s="32"/>
      <c r="FO240" s="32"/>
      <c r="FP240" s="29"/>
      <c r="FQ240" s="30"/>
      <c r="FR240" s="30"/>
      <c r="FS240" s="30"/>
      <c r="FT240" s="30"/>
      <c r="FU240" s="31"/>
      <c r="FV240" s="32"/>
      <c r="FW240" s="32"/>
      <c r="FX240" s="32"/>
      <c r="FY240" s="32"/>
      <c r="FZ240" s="29"/>
      <c r="GA240" s="30"/>
      <c r="GB240" s="30"/>
      <c r="GC240" s="30"/>
      <c r="GD240" s="30"/>
    </row>
    <row r="241" spans="1:186" ht="48" x14ac:dyDescent="0.25">
      <c r="A241" s="156">
        <v>232</v>
      </c>
      <c r="B241" s="395">
        <f>'Tier 3 Intervention'!B935</f>
        <v>0</v>
      </c>
      <c r="C241" s="395"/>
      <c r="D241" s="395"/>
      <c r="E241" s="395"/>
      <c r="F241" s="395"/>
      <c r="G241" s="395"/>
      <c r="H241" s="761" t="e">
        <f>'Tier 3 Intervention'!AA935+30</f>
        <v>#VALUE!</v>
      </c>
      <c r="I241" s="761"/>
      <c r="J241" s="762" t="e">
        <f t="shared" si="4"/>
        <v>#VALUE!</v>
      </c>
      <c r="K241" s="395"/>
      <c r="L241" s="47" t="s">
        <v>1018</v>
      </c>
      <c r="M241" s="46"/>
      <c r="N241" s="46"/>
      <c r="O241" s="46"/>
      <c r="P241" s="49"/>
      <c r="Q241" s="19"/>
      <c r="R241" s="20"/>
      <c r="S241" s="20"/>
      <c r="T241" s="20"/>
      <c r="U241" s="20"/>
      <c r="V241" s="21"/>
      <c r="W241" s="22"/>
      <c r="X241" s="22"/>
      <c r="Y241" s="22"/>
      <c r="Z241" s="22"/>
      <c r="AA241" s="19"/>
      <c r="AB241" s="20"/>
      <c r="AC241" s="20"/>
      <c r="AD241" s="20"/>
      <c r="AE241" s="20"/>
      <c r="AF241" s="21"/>
      <c r="AG241" s="22"/>
      <c r="AH241" s="22"/>
      <c r="AI241" s="22"/>
      <c r="AJ241" s="22"/>
      <c r="AK241" s="19"/>
      <c r="AL241" s="20"/>
      <c r="AM241" s="20"/>
      <c r="AN241" s="20"/>
      <c r="AO241" s="20"/>
      <c r="AP241" s="21"/>
      <c r="AQ241" s="22"/>
      <c r="AR241" s="22"/>
      <c r="AS241" s="22"/>
      <c r="AT241" s="22"/>
      <c r="AU241" s="19"/>
      <c r="AV241" s="20"/>
      <c r="AW241" s="20"/>
      <c r="AX241" s="20"/>
      <c r="AY241" s="20"/>
      <c r="AZ241" s="21"/>
      <c r="BA241" s="22"/>
      <c r="BB241" s="22"/>
      <c r="BC241" s="22"/>
      <c r="BD241" s="22"/>
      <c r="BE241" s="19"/>
      <c r="BF241" s="20"/>
      <c r="BG241" s="20"/>
      <c r="BH241" s="20"/>
      <c r="BI241" s="20"/>
      <c r="BJ241" s="21"/>
      <c r="BK241" s="22"/>
      <c r="BL241" s="22"/>
      <c r="BM241" s="22"/>
      <c r="BN241" s="22"/>
      <c r="BO241" s="19"/>
      <c r="BP241" s="20"/>
      <c r="BQ241" s="20"/>
      <c r="BR241" s="20"/>
      <c r="BS241" s="20"/>
      <c r="BT241" s="21"/>
      <c r="BU241" s="22"/>
      <c r="BV241" s="22"/>
      <c r="BW241" s="22"/>
      <c r="BX241" s="22"/>
      <c r="BY241" s="23"/>
      <c r="BZ241" s="24"/>
      <c r="CA241" s="24"/>
      <c r="CB241" s="24"/>
      <c r="CC241" s="24"/>
      <c r="CD241" s="25"/>
      <c r="CE241" s="26"/>
      <c r="CF241" s="26"/>
      <c r="CG241" s="26"/>
      <c r="CH241" s="26"/>
      <c r="CI241" s="27"/>
      <c r="CJ241" s="28"/>
      <c r="CK241" s="28"/>
      <c r="CL241" s="28"/>
      <c r="CM241" s="28"/>
      <c r="CN241" s="25"/>
      <c r="CO241" s="26"/>
      <c r="CP241" s="26"/>
      <c r="CQ241" s="26"/>
      <c r="CR241" s="26"/>
      <c r="CS241" s="27"/>
      <c r="CT241" s="28"/>
      <c r="CU241" s="28"/>
      <c r="CV241" s="28"/>
      <c r="CW241" s="28"/>
      <c r="CX241" s="25"/>
      <c r="CY241" s="26"/>
      <c r="CZ241" s="26"/>
      <c r="DA241" s="26"/>
      <c r="DB241" s="26"/>
      <c r="DC241" s="27"/>
      <c r="DD241" s="28"/>
      <c r="DE241" s="28"/>
      <c r="DF241" s="28"/>
      <c r="DG241" s="28"/>
      <c r="DH241" s="25"/>
      <c r="DI241" s="26"/>
      <c r="DJ241" s="26"/>
      <c r="DK241" s="26"/>
      <c r="DL241" s="26"/>
      <c r="DM241" s="27"/>
      <c r="DN241" s="28"/>
      <c r="DO241" s="28"/>
      <c r="DP241" s="28"/>
      <c r="DQ241" s="28"/>
      <c r="DR241" s="25"/>
      <c r="DS241" s="26"/>
      <c r="DT241" s="26"/>
      <c r="DU241" s="26"/>
      <c r="DV241" s="26"/>
      <c r="DW241" s="27"/>
      <c r="DX241" s="28"/>
      <c r="DY241" s="28"/>
      <c r="DZ241" s="28"/>
      <c r="EA241" s="28"/>
      <c r="EB241" s="29"/>
      <c r="EC241" s="30"/>
      <c r="ED241" s="30"/>
      <c r="EE241" s="30"/>
      <c r="EF241" s="30"/>
      <c r="EG241" s="31"/>
      <c r="EH241" s="32"/>
      <c r="EI241" s="32"/>
      <c r="EJ241" s="32"/>
      <c r="EK241" s="32"/>
      <c r="EL241" s="29"/>
      <c r="EM241" s="30"/>
      <c r="EN241" s="30"/>
      <c r="EO241" s="30"/>
      <c r="EP241" s="30"/>
      <c r="EQ241" s="31"/>
      <c r="ER241" s="32"/>
      <c r="ES241" s="32"/>
      <c r="ET241" s="32"/>
      <c r="EU241" s="32"/>
      <c r="EV241" s="29"/>
      <c r="EW241" s="30"/>
      <c r="EX241" s="30"/>
      <c r="EY241" s="30"/>
      <c r="EZ241" s="30"/>
      <c r="FA241" s="31"/>
      <c r="FB241" s="32"/>
      <c r="FC241" s="32"/>
      <c r="FD241" s="32"/>
      <c r="FE241" s="32"/>
      <c r="FF241" s="29"/>
      <c r="FG241" s="30"/>
      <c r="FH241" s="30"/>
      <c r="FI241" s="30"/>
      <c r="FJ241" s="30"/>
      <c r="FK241" s="31"/>
      <c r="FL241" s="32"/>
      <c r="FM241" s="32"/>
      <c r="FN241" s="32"/>
      <c r="FO241" s="32"/>
      <c r="FP241" s="29"/>
      <c r="FQ241" s="30"/>
      <c r="FR241" s="30"/>
      <c r="FS241" s="30"/>
      <c r="FT241" s="30"/>
      <c r="FU241" s="31"/>
      <c r="FV241" s="32"/>
      <c r="FW241" s="32"/>
      <c r="FX241" s="32"/>
      <c r="FY241" s="32"/>
      <c r="FZ241" s="29"/>
      <c r="GA241" s="30"/>
      <c r="GB241" s="30"/>
      <c r="GC241" s="30"/>
      <c r="GD241" s="30"/>
    </row>
    <row r="242" spans="1:186" ht="48" x14ac:dyDescent="0.25">
      <c r="A242" s="156">
        <v>233</v>
      </c>
      <c r="B242" s="395">
        <f>'Tier 3 Intervention'!B939</f>
        <v>0</v>
      </c>
      <c r="C242" s="395"/>
      <c r="D242" s="395"/>
      <c r="E242" s="395"/>
      <c r="F242" s="395"/>
      <c r="G242" s="395"/>
      <c r="H242" s="761" t="e">
        <f>'Tier 3 Intervention'!AA939+30</f>
        <v>#VALUE!</v>
      </c>
      <c r="I242" s="761"/>
      <c r="J242" s="762" t="e">
        <f t="shared" si="4"/>
        <v>#VALUE!</v>
      </c>
      <c r="K242" s="395"/>
      <c r="L242" s="47" t="s">
        <v>1019</v>
      </c>
      <c r="M242" s="46"/>
      <c r="N242" s="46"/>
      <c r="O242" s="46"/>
      <c r="P242" s="49"/>
      <c r="Q242" s="19"/>
      <c r="R242" s="20"/>
      <c r="S242" s="20"/>
      <c r="T242" s="20"/>
      <c r="U242" s="20"/>
      <c r="V242" s="21"/>
      <c r="W242" s="22"/>
      <c r="X242" s="22"/>
      <c r="Y242" s="22"/>
      <c r="Z242" s="22"/>
      <c r="AA242" s="19"/>
      <c r="AB242" s="20"/>
      <c r="AC242" s="20"/>
      <c r="AD242" s="20"/>
      <c r="AE242" s="20"/>
      <c r="AF242" s="21"/>
      <c r="AG242" s="22"/>
      <c r="AH242" s="22"/>
      <c r="AI242" s="22"/>
      <c r="AJ242" s="22"/>
      <c r="AK242" s="19"/>
      <c r="AL242" s="20"/>
      <c r="AM242" s="20"/>
      <c r="AN242" s="20"/>
      <c r="AO242" s="20"/>
      <c r="AP242" s="21"/>
      <c r="AQ242" s="22"/>
      <c r="AR242" s="22"/>
      <c r="AS242" s="22"/>
      <c r="AT242" s="22"/>
      <c r="AU242" s="19"/>
      <c r="AV242" s="20"/>
      <c r="AW242" s="20"/>
      <c r="AX242" s="20"/>
      <c r="AY242" s="20"/>
      <c r="AZ242" s="21"/>
      <c r="BA242" s="22"/>
      <c r="BB242" s="22"/>
      <c r="BC242" s="22"/>
      <c r="BD242" s="22"/>
      <c r="BE242" s="19"/>
      <c r="BF242" s="20"/>
      <c r="BG242" s="20"/>
      <c r="BH242" s="20"/>
      <c r="BI242" s="20"/>
      <c r="BJ242" s="21"/>
      <c r="BK242" s="22"/>
      <c r="BL242" s="22"/>
      <c r="BM242" s="22"/>
      <c r="BN242" s="22"/>
      <c r="BO242" s="19"/>
      <c r="BP242" s="20"/>
      <c r="BQ242" s="20"/>
      <c r="BR242" s="20"/>
      <c r="BS242" s="20"/>
      <c r="BT242" s="21"/>
      <c r="BU242" s="22"/>
      <c r="BV242" s="22"/>
      <c r="BW242" s="22"/>
      <c r="BX242" s="22"/>
      <c r="BY242" s="23"/>
      <c r="BZ242" s="24"/>
      <c r="CA242" s="24"/>
      <c r="CB242" s="24"/>
      <c r="CC242" s="24"/>
      <c r="CD242" s="25"/>
      <c r="CE242" s="26"/>
      <c r="CF242" s="26"/>
      <c r="CG242" s="26"/>
      <c r="CH242" s="26"/>
      <c r="CI242" s="27"/>
      <c r="CJ242" s="28"/>
      <c r="CK242" s="28"/>
      <c r="CL242" s="28"/>
      <c r="CM242" s="28"/>
      <c r="CN242" s="25"/>
      <c r="CO242" s="26"/>
      <c r="CP242" s="26"/>
      <c r="CQ242" s="26"/>
      <c r="CR242" s="26"/>
      <c r="CS242" s="27"/>
      <c r="CT242" s="28"/>
      <c r="CU242" s="28"/>
      <c r="CV242" s="28"/>
      <c r="CW242" s="28"/>
      <c r="CX242" s="25"/>
      <c r="CY242" s="26"/>
      <c r="CZ242" s="26"/>
      <c r="DA242" s="26"/>
      <c r="DB242" s="26"/>
      <c r="DC242" s="27"/>
      <c r="DD242" s="28"/>
      <c r="DE242" s="28"/>
      <c r="DF242" s="28"/>
      <c r="DG242" s="28"/>
      <c r="DH242" s="25"/>
      <c r="DI242" s="26"/>
      <c r="DJ242" s="26"/>
      <c r="DK242" s="26"/>
      <c r="DL242" s="26"/>
      <c r="DM242" s="27"/>
      <c r="DN242" s="28"/>
      <c r="DO242" s="28"/>
      <c r="DP242" s="28"/>
      <c r="DQ242" s="28"/>
      <c r="DR242" s="25"/>
      <c r="DS242" s="26"/>
      <c r="DT242" s="26"/>
      <c r="DU242" s="26"/>
      <c r="DV242" s="26"/>
      <c r="DW242" s="27"/>
      <c r="DX242" s="28"/>
      <c r="DY242" s="28"/>
      <c r="DZ242" s="28"/>
      <c r="EA242" s="28"/>
      <c r="EB242" s="29"/>
      <c r="EC242" s="30"/>
      <c r="ED242" s="30"/>
      <c r="EE242" s="30"/>
      <c r="EF242" s="30"/>
      <c r="EG242" s="31"/>
      <c r="EH242" s="32"/>
      <c r="EI242" s="32"/>
      <c r="EJ242" s="32"/>
      <c r="EK242" s="32"/>
      <c r="EL242" s="29"/>
      <c r="EM242" s="30"/>
      <c r="EN242" s="30"/>
      <c r="EO242" s="30"/>
      <c r="EP242" s="30"/>
      <c r="EQ242" s="31"/>
      <c r="ER242" s="32"/>
      <c r="ES242" s="32"/>
      <c r="ET242" s="32"/>
      <c r="EU242" s="32"/>
      <c r="EV242" s="29"/>
      <c r="EW242" s="30"/>
      <c r="EX242" s="30"/>
      <c r="EY242" s="30"/>
      <c r="EZ242" s="30"/>
      <c r="FA242" s="31"/>
      <c r="FB242" s="32"/>
      <c r="FC242" s="32"/>
      <c r="FD242" s="32"/>
      <c r="FE242" s="32"/>
      <c r="FF242" s="29"/>
      <c r="FG242" s="30"/>
      <c r="FH242" s="30"/>
      <c r="FI242" s="30"/>
      <c r="FJ242" s="30"/>
      <c r="FK242" s="31"/>
      <c r="FL242" s="32"/>
      <c r="FM242" s="32"/>
      <c r="FN242" s="32"/>
      <c r="FO242" s="32"/>
      <c r="FP242" s="29"/>
      <c r="FQ242" s="30"/>
      <c r="FR242" s="30"/>
      <c r="FS242" s="30"/>
      <c r="FT242" s="30"/>
      <c r="FU242" s="31"/>
      <c r="FV242" s="32"/>
      <c r="FW242" s="32"/>
      <c r="FX242" s="32"/>
      <c r="FY242" s="32"/>
      <c r="FZ242" s="29"/>
      <c r="GA242" s="30"/>
      <c r="GB242" s="30"/>
      <c r="GC242" s="30"/>
      <c r="GD242" s="30"/>
    </row>
    <row r="243" spans="1:186" ht="48" x14ac:dyDescent="0.25">
      <c r="A243" s="156">
        <v>234</v>
      </c>
      <c r="B243" s="395">
        <f>'Tier 3 Intervention'!B943</f>
        <v>0</v>
      </c>
      <c r="C243" s="395"/>
      <c r="D243" s="395"/>
      <c r="E243" s="395"/>
      <c r="F243" s="395"/>
      <c r="G243" s="395"/>
      <c r="H243" s="761" t="e">
        <f>'Tier 3 Intervention'!AA943+30</f>
        <v>#VALUE!</v>
      </c>
      <c r="I243" s="761"/>
      <c r="J243" s="762" t="e">
        <f t="shared" si="4"/>
        <v>#VALUE!</v>
      </c>
      <c r="K243" s="395"/>
      <c r="L243" s="47" t="s">
        <v>1020</v>
      </c>
      <c r="M243" s="46"/>
      <c r="N243" s="46"/>
      <c r="O243" s="46"/>
      <c r="P243" s="49"/>
      <c r="Q243" s="19"/>
      <c r="R243" s="20"/>
      <c r="S243" s="20"/>
      <c r="T243" s="20"/>
      <c r="U243" s="20"/>
      <c r="V243" s="21"/>
      <c r="W243" s="22"/>
      <c r="X243" s="22"/>
      <c r="Y243" s="22"/>
      <c r="Z243" s="22"/>
      <c r="AA243" s="19"/>
      <c r="AB243" s="20"/>
      <c r="AC243" s="20"/>
      <c r="AD243" s="20"/>
      <c r="AE243" s="20"/>
      <c r="AF243" s="21"/>
      <c r="AG243" s="22"/>
      <c r="AH243" s="22"/>
      <c r="AI243" s="22"/>
      <c r="AJ243" s="22"/>
      <c r="AK243" s="19"/>
      <c r="AL243" s="20"/>
      <c r="AM243" s="20"/>
      <c r="AN243" s="20"/>
      <c r="AO243" s="20"/>
      <c r="AP243" s="21"/>
      <c r="AQ243" s="22"/>
      <c r="AR243" s="22"/>
      <c r="AS243" s="22"/>
      <c r="AT243" s="22"/>
      <c r="AU243" s="19"/>
      <c r="AV243" s="20"/>
      <c r="AW243" s="20"/>
      <c r="AX243" s="20"/>
      <c r="AY243" s="20"/>
      <c r="AZ243" s="21"/>
      <c r="BA243" s="22"/>
      <c r="BB243" s="22"/>
      <c r="BC243" s="22"/>
      <c r="BD243" s="22"/>
      <c r="BE243" s="19"/>
      <c r="BF243" s="20"/>
      <c r="BG243" s="20"/>
      <c r="BH243" s="20"/>
      <c r="BI243" s="20"/>
      <c r="BJ243" s="21"/>
      <c r="BK243" s="22"/>
      <c r="BL243" s="22"/>
      <c r="BM243" s="22"/>
      <c r="BN243" s="22"/>
      <c r="BO243" s="19"/>
      <c r="BP243" s="20"/>
      <c r="BQ243" s="20"/>
      <c r="BR243" s="20"/>
      <c r="BS243" s="20"/>
      <c r="BT243" s="21"/>
      <c r="BU243" s="22"/>
      <c r="BV243" s="22"/>
      <c r="BW243" s="22"/>
      <c r="BX243" s="22"/>
      <c r="BY243" s="23"/>
      <c r="BZ243" s="24"/>
      <c r="CA243" s="24"/>
      <c r="CB243" s="24"/>
      <c r="CC243" s="24"/>
      <c r="CD243" s="25"/>
      <c r="CE243" s="26"/>
      <c r="CF243" s="26"/>
      <c r="CG243" s="26"/>
      <c r="CH243" s="26"/>
      <c r="CI243" s="27"/>
      <c r="CJ243" s="28"/>
      <c r="CK243" s="28"/>
      <c r="CL243" s="28"/>
      <c r="CM243" s="28"/>
      <c r="CN243" s="25"/>
      <c r="CO243" s="26"/>
      <c r="CP243" s="26"/>
      <c r="CQ243" s="26"/>
      <c r="CR243" s="26"/>
      <c r="CS243" s="27"/>
      <c r="CT243" s="28"/>
      <c r="CU243" s="28"/>
      <c r="CV243" s="28"/>
      <c r="CW243" s="28"/>
      <c r="CX243" s="25"/>
      <c r="CY243" s="26"/>
      <c r="CZ243" s="26"/>
      <c r="DA243" s="26"/>
      <c r="DB243" s="26"/>
      <c r="DC243" s="27"/>
      <c r="DD243" s="28"/>
      <c r="DE243" s="28"/>
      <c r="DF243" s="28"/>
      <c r="DG243" s="28"/>
      <c r="DH243" s="25"/>
      <c r="DI243" s="26"/>
      <c r="DJ243" s="26"/>
      <c r="DK243" s="26"/>
      <c r="DL243" s="26"/>
      <c r="DM243" s="27"/>
      <c r="DN243" s="28"/>
      <c r="DO243" s="28"/>
      <c r="DP243" s="28"/>
      <c r="DQ243" s="28"/>
      <c r="DR243" s="25"/>
      <c r="DS243" s="26"/>
      <c r="DT243" s="26"/>
      <c r="DU243" s="26"/>
      <c r="DV243" s="26"/>
      <c r="DW243" s="27"/>
      <c r="DX243" s="28"/>
      <c r="DY243" s="28"/>
      <c r="DZ243" s="28"/>
      <c r="EA243" s="28"/>
      <c r="EB243" s="29"/>
      <c r="EC243" s="30"/>
      <c r="ED243" s="30"/>
      <c r="EE243" s="30"/>
      <c r="EF243" s="30"/>
      <c r="EG243" s="31"/>
      <c r="EH243" s="32"/>
      <c r="EI243" s="32"/>
      <c r="EJ243" s="32"/>
      <c r="EK243" s="32"/>
      <c r="EL243" s="29"/>
      <c r="EM243" s="30"/>
      <c r="EN243" s="30"/>
      <c r="EO243" s="30"/>
      <c r="EP243" s="30"/>
      <c r="EQ243" s="31"/>
      <c r="ER243" s="32"/>
      <c r="ES243" s="32"/>
      <c r="ET243" s="32"/>
      <c r="EU243" s="32"/>
      <c r="EV243" s="29"/>
      <c r="EW243" s="30"/>
      <c r="EX243" s="30"/>
      <c r="EY243" s="30"/>
      <c r="EZ243" s="30"/>
      <c r="FA243" s="31"/>
      <c r="FB243" s="32"/>
      <c r="FC243" s="32"/>
      <c r="FD243" s="32"/>
      <c r="FE243" s="32"/>
      <c r="FF243" s="29"/>
      <c r="FG243" s="30"/>
      <c r="FH243" s="30"/>
      <c r="FI243" s="30"/>
      <c r="FJ243" s="30"/>
      <c r="FK243" s="31"/>
      <c r="FL243" s="32"/>
      <c r="FM243" s="32"/>
      <c r="FN243" s="32"/>
      <c r="FO243" s="32"/>
      <c r="FP243" s="29"/>
      <c r="FQ243" s="30"/>
      <c r="FR243" s="30"/>
      <c r="FS243" s="30"/>
      <c r="FT243" s="30"/>
      <c r="FU243" s="31"/>
      <c r="FV243" s="32"/>
      <c r="FW243" s="32"/>
      <c r="FX243" s="32"/>
      <c r="FY243" s="32"/>
      <c r="FZ243" s="29"/>
      <c r="GA243" s="30"/>
      <c r="GB243" s="30"/>
      <c r="GC243" s="30"/>
      <c r="GD243" s="30"/>
    </row>
    <row r="244" spans="1:186" ht="48" x14ac:dyDescent="0.25">
      <c r="A244" s="156">
        <v>235</v>
      </c>
      <c r="B244" s="395">
        <f>'Tier 3 Intervention'!B947</f>
        <v>0</v>
      </c>
      <c r="C244" s="395"/>
      <c r="D244" s="395"/>
      <c r="E244" s="395"/>
      <c r="F244" s="395"/>
      <c r="G244" s="395"/>
      <c r="H244" s="761" t="e">
        <f>'Tier 3 Intervention'!AA947+30</f>
        <v>#VALUE!</v>
      </c>
      <c r="I244" s="761"/>
      <c r="J244" s="762" t="e">
        <f t="shared" si="4"/>
        <v>#VALUE!</v>
      </c>
      <c r="K244" s="395"/>
      <c r="L244" s="47" t="s">
        <v>1021</v>
      </c>
      <c r="M244" s="46"/>
      <c r="N244" s="46"/>
      <c r="O244" s="46"/>
      <c r="P244" s="49"/>
      <c r="Q244" s="19"/>
      <c r="R244" s="20"/>
      <c r="S244" s="20"/>
      <c r="T244" s="20"/>
      <c r="U244" s="20"/>
      <c r="V244" s="21"/>
      <c r="W244" s="22"/>
      <c r="X244" s="22"/>
      <c r="Y244" s="22"/>
      <c r="Z244" s="22"/>
      <c r="AA244" s="19"/>
      <c r="AB244" s="20"/>
      <c r="AC244" s="20"/>
      <c r="AD244" s="20"/>
      <c r="AE244" s="20"/>
      <c r="AF244" s="21"/>
      <c r="AG244" s="22"/>
      <c r="AH244" s="22"/>
      <c r="AI244" s="22"/>
      <c r="AJ244" s="22"/>
      <c r="AK244" s="19"/>
      <c r="AL244" s="20"/>
      <c r="AM244" s="20"/>
      <c r="AN244" s="20"/>
      <c r="AO244" s="20"/>
      <c r="AP244" s="21"/>
      <c r="AQ244" s="22"/>
      <c r="AR244" s="22"/>
      <c r="AS244" s="22"/>
      <c r="AT244" s="22"/>
      <c r="AU244" s="19"/>
      <c r="AV244" s="20"/>
      <c r="AW244" s="20"/>
      <c r="AX244" s="20"/>
      <c r="AY244" s="20"/>
      <c r="AZ244" s="21"/>
      <c r="BA244" s="22"/>
      <c r="BB244" s="22"/>
      <c r="BC244" s="22"/>
      <c r="BD244" s="22"/>
      <c r="BE244" s="19"/>
      <c r="BF244" s="20"/>
      <c r="BG244" s="20"/>
      <c r="BH244" s="20"/>
      <c r="BI244" s="20"/>
      <c r="BJ244" s="21"/>
      <c r="BK244" s="22"/>
      <c r="BL244" s="22"/>
      <c r="BM244" s="22"/>
      <c r="BN244" s="22"/>
      <c r="BO244" s="19"/>
      <c r="BP244" s="20"/>
      <c r="BQ244" s="20"/>
      <c r="BR244" s="20"/>
      <c r="BS244" s="20"/>
      <c r="BT244" s="21"/>
      <c r="BU244" s="22"/>
      <c r="BV244" s="22"/>
      <c r="BW244" s="22"/>
      <c r="BX244" s="22"/>
      <c r="BY244" s="23"/>
      <c r="BZ244" s="24"/>
      <c r="CA244" s="24"/>
      <c r="CB244" s="24"/>
      <c r="CC244" s="24"/>
      <c r="CD244" s="25"/>
      <c r="CE244" s="26"/>
      <c r="CF244" s="26"/>
      <c r="CG244" s="26"/>
      <c r="CH244" s="26"/>
      <c r="CI244" s="27"/>
      <c r="CJ244" s="28"/>
      <c r="CK244" s="28"/>
      <c r="CL244" s="28"/>
      <c r="CM244" s="28"/>
      <c r="CN244" s="25"/>
      <c r="CO244" s="26"/>
      <c r="CP244" s="26"/>
      <c r="CQ244" s="26"/>
      <c r="CR244" s="26"/>
      <c r="CS244" s="27"/>
      <c r="CT244" s="28"/>
      <c r="CU244" s="28"/>
      <c r="CV244" s="28"/>
      <c r="CW244" s="28"/>
      <c r="CX244" s="25"/>
      <c r="CY244" s="26"/>
      <c r="CZ244" s="26"/>
      <c r="DA244" s="26"/>
      <c r="DB244" s="26"/>
      <c r="DC244" s="27"/>
      <c r="DD244" s="28"/>
      <c r="DE244" s="28"/>
      <c r="DF244" s="28"/>
      <c r="DG244" s="28"/>
      <c r="DH244" s="25"/>
      <c r="DI244" s="26"/>
      <c r="DJ244" s="26"/>
      <c r="DK244" s="26"/>
      <c r="DL244" s="26"/>
      <c r="DM244" s="27"/>
      <c r="DN244" s="28"/>
      <c r="DO244" s="28"/>
      <c r="DP244" s="28"/>
      <c r="DQ244" s="28"/>
      <c r="DR244" s="25"/>
      <c r="DS244" s="26"/>
      <c r="DT244" s="26"/>
      <c r="DU244" s="26"/>
      <c r="DV244" s="26"/>
      <c r="DW244" s="27"/>
      <c r="DX244" s="28"/>
      <c r="DY244" s="28"/>
      <c r="DZ244" s="28"/>
      <c r="EA244" s="28"/>
      <c r="EB244" s="29"/>
      <c r="EC244" s="30"/>
      <c r="ED244" s="30"/>
      <c r="EE244" s="30"/>
      <c r="EF244" s="30"/>
      <c r="EG244" s="31"/>
      <c r="EH244" s="32"/>
      <c r="EI244" s="32"/>
      <c r="EJ244" s="32"/>
      <c r="EK244" s="32"/>
      <c r="EL244" s="29"/>
      <c r="EM244" s="30"/>
      <c r="EN244" s="30"/>
      <c r="EO244" s="30"/>
      <c r="EP244" s="30"/>
      <c r="EQ244" s="31"/>
      <c r="ER244" s="32"/>
      <c r="ES244" s="32"/>
      <c r="ET244" s="32"/>
      <c r="EU244" s="32"/>
      <c r="EV244" s="29"/>
      <c r="EW244" s="30"/>
      <c r="EX244" s="30"/>
      <c r="EY244" s="30"/>
      <c r="EZ244" s="30"/>
      <c r="FA244" s="31"/>
      <c r="FB244" s="32"/>
      <c r="FC244" s="32"/>
      <c r="FD244" s="32"/>
      <c r="FE244" s="32"/>
      <c r="FF244" s="29"/>
      <c r="FG244" s="30"/>
      <c r="FH244" s="30"/>
      <c r="FI244" s="30"/>
      <c r="FJ244" s="30"/>
      <c r="FK244" s="31"/>
      <c r="FL244" s="32"/>
      <c r="FM244" s="32"/>
      <c r="FN244" s="32"/>
      <c r="FO244" s="32"/>
      <c r="FP244" s="29"/>
      <c r="FQ244" s="30"/>
      <c r="FR244" s="30"/>
      <c r="FS244" s="30"/>
      <c r="FT244" s="30"/>
      <c r="FU244" s="31"/>
      <c r="FV244" s="32"/>
      <c r="FW244" s="32"/>
      <c r="FX244" s="32"/>
      <c r="FY244" s="32"/>
      <c r="FZ244" s="29"/>
      <c r="GA244" s="30"/>
      <c r="GB244" s="30"/>
      <c r="GC244" s="30"/>
      <c r="GD244" s="30"/>
    </row>
    <row r="245" spans="1:186" ht="48" x14ac:dyDescent="0.25">
      <c r="A245" s="156">
        <v>236</v>
      </c>
      <c r="B245" s="395">
        <f>'Tier 3 Intervention'!B951</f>
        <v>0</v>
      </c>
      <c r="C245" s="395"/>
      <c r="D245" s="395"/>
      <c r="E245" s="395"/>
      <c r="F245" s="395"/>
      <c r="G245" s="395"/>
      <c r="H245" s="761" t="e">
        <f>'Tier 3 Intervention'!AA951+30</f>
        <v>#VALUE!</v>
      </c>
      <c r="I245" s="761"/>
      <c r="J245" s="762" t="e">
        <f t="shared" si="4"/>
        <v>#VALUE!</v>
      </c>
      <c r="K245" s="395"/>
      <c r="L245" s="47" t="s">
        <v>1022</v>
      </c>
      <c r="M245" s="46"/>
      <c r="N245" s="46"/>
      <c r="O245" s="46"/>
      <c r="P245" s="49"/>
      <c r="Q245" s="19"/>
      <c r="R245" s="20"/>
      <c r="S245" s="20"/>
      <c r="T245" s="20"/>
      <c r="U245" s="20"/>
      <c r="V245" s="21"/>
      <c r="W245" s="22"/>
      <c r="X245" s="22"/>
      <c r="Y245" s="22"/>
      <c r="Z245" s="22"/>
      <c r="AA245" s="19"/>
      <c r="AB245" s="20"/>
      <c r="AC245" s="20"/>
      <c r="AD245" s="20"/>
      <c r="AE245" s="20"/>
      <c r="AF245" s="21"/>
      <c r="AG245" s="22"/>
      <c r="AH245" s="22"/>
      <c r="AI245" s="22"/>
      <c r="AJ245" s="22"/>
      <c r="AK245" s="19"/>
      <c r="AL245" s="20"/>
      <c r="AM245" s="20"/>
      <c r="AN245" s="20"/>
      <c r="AO245" s="20"/>
      <c r="AP245" s="21"/>
      <c r="AQ245" s="22"/>
      <c r="AR245" s="22"/>
      <c r="AS245" s="22"/>
      <c r="AT245" s="22"/>
      <c r="AU245" s="19"/>
      <c r="AV245" s="20"/>
      <c r="AW245" s="20"/>
      <c r="AX245" s="20"/>
      <c r="AY245" s="20"/>
      <c r="AZ245" s="21"/>
      <c r="BA245" s="22"/>
      <c r="BB245" s="22"/>
      <c r="BC245" s="22"/>
      <c r="BD245" s="22"/>
      <c r="BE245" s="19"/>
      <c r="BF245" s="20"/>
      <c r="BG245" s="20"/>
      <c r="BH245" s="20"/>
      <c r="BI245" s="20"/>
      <c r="BJ245" s="21"/>
      <c r="BK245" s="22"/>
      <c r="BL245" s="22"/>
      <c r="BM245" s="22"/>
      <c r="BN245" s="22"/>
      <c r="BO245" s="19"/>
      <c r="BP245" s="20"/>
      <c r="BQ245" s="20"/>
      <c r="BR245" s="20"/>
      <c r="BS245" s="20"/>
      <c r="BT245" s="21"/>
      <c r="BU245" s="22"/>
      <c r="BV245" s="22"/>
      <c r="BW245" s="22"/>
      <c r="BX245" s="22"/>
      <c r="BY245" s="23"/>
      <c r="BZ245" s="24"/>
      <c r="CA245" s="24"/>
      <c r="CB245" s="24"/>
      <c r="CC245" s="24"/>
      <c r="CD245" s="25"/>
      <c r="CE245" s="26"/>
      <c r="CF245" s="26"/>
      <c r="CG245" s="26"/>
      <c r="CH245" s="26"/>
      <c r="CI245" s="27"/>
      <c r="CJ245" s="28"/>
      <c r="CK245" s="28"/>
      <c r="CL245" s="28"/>
      <c r="CM245" s="28"/>
      <c r="CN245" s="25"/>
      <c r="CO245" s="26"/>
      <c r="CP245" s="26"/>
      <c r="CQ245" s="26"/>
      <c r="CR245" s="26"/>
      <c r="CS245" s="27"/>
      <c r="CT245" s="28"/>
      <c r="CU245" s="28"/>
      <c r="CV245" s="28"/>
      <c r="CW245" s="28"/>
      <c r="CX245" s="25"/>
      <c r="CY245" s="26"/>
      <c r="CZ245" s="26"/>
      <c r="DA245" s="26"/>
      <c r="DB245" s="26"/>
      <c r="DC245" s="27"/>
      <c r="DD245" s="28"/>
      <c r="DE245" s="28"/>
      <c r="DF245" s="28"/>
      <c r="DG245" s="28"/>
      <c r="DH245" s="25"/>
      <c r="DI245" s="26"/>
      <c r="DJ245" s="26"/>
      <c r="DK245" s="26"/>
      <c r="DL245" s="26"/>
      <c r="DM245" s="27"/>
      <c r="DN245" s="28"/>
      <c r="DO245" s="28"/>
      <c r="DP245" s="28"/>
      <c r="DQ245" s="28"/>
      <c r="DR245" s="25"/>
      <c r="DS245" s="26"/>
      <c r="DT245" s="26"/>
      <c r="DU245" s="26"/>
      <c r="DV245" s="26"/>
      <c r="DW245" s="27"/>
      <c r="DX245" s="28"/>
      <c r="DY245" s="28"/>
      <c r="DZ245" s="28"/>
      <c r="EA245" s="28"/>
      <c r="EB245" s="29"/>
      <c r="EC245" s="30"/>
      <c r="ED245" s="30"/>
      <c r="EE245" s="30"/>
      <c r="EF245" s="30"/>
      <c r="EG245" s="31"/>
      <c r="EH245" s="32"/>
      <c r="EI245" s="32"/>
      <c r="EJ245" s="32"/>
      <c r="EK245" s="32"/>
      <c r="EL245" s="29"/>
      <c r="EM245" s="30"/>
      <c r="EN245" s="30"/>
      <c r="EO245" s="30"/>
      <c r="EP245" s="30"/>
      <c r="EQ245" s="31"/>
      <c r="ER245" s="32"/>
      <c r="ES245" s="32"/>
      <c r="ET245" s="32"/>
      <c r="EU245" s="32"/>
      <c r="EV245" s="29"/>
      <c r="EW245" s="30"/>
      <c r="EX245" s="30"/>
      <c r="EY245" s="30"/>
      <c r="EZ245" s="30"/>
      <c r="FA245" s="31"/>
      <c r="FB245" s="32"/>
      <c r="FC245" s="32"/>
      <c r="FD245" s="32"/>
      <c r="FE245" s="32"/>
      <c r="FF245" s="29"/>
      <c r="FG245" s="30"/>
      <c r="FH245" s="30"/>
      <c r="FI245" s="30"/>
      <c r="FJ245" s="30"/>
      <c r="FK245" s="31"/>
      <c r="FL245" s="32"/>
      <c r="FM245" s="32"/>
      <c r="FN245" s="32"/>
      <c r="FO245" s="32"/>
      <c r="FP245" s="29"/>
      <c r="FQ245" s="30"/>
      <c r="FR245" s="30"/>
      <c r="FS245" s="30"/>
      <c r="FT245" s="30"/>
      <c r="FU245" s="31"/>
      <c r="FV245" s="32"/>
      <c r="FW245" s="32"/>
      <c r="FX245" s="32"/>
      <c r="FY245" s="32"/>
      <c r="FZ245" s="29"/>
      <c r="GA245" s="30"/>
      <c r="GB245" s="30"/>
      <c r="GC245" s="30"/>
      <c r="GD245" s="30"/>
    </row>
    <row r="246" spans="1:186" ht="48" x14ac:dyDescent="0.25">
      <c r="A246" s="156">
        <v>237</v>
      </c>
      <c r="B246" s="395">
        <f>'Tier 3 Intervention'!B955</f>
        <v>0</v>
      </c>
      <c r="C246" s="395"/>
      <c r="D246" s="395"/>
      <c r="E246" s="395"/>
      <c r="F246" s="395"/>
      <c r="G246" s="395"/>
      <c r="H246" s="761" t="e">
        <f>'Tier 3 Intervention'!AA955+30</f>
        <v>#VALUE!</v>
      </c>
      <c r="I246" s="761"/>
      <c r="J246" s="762" t="e">
        <f t="shared" si="4"/>
        <v>#VALUE!</v>
      </c>
      <c r="K246" s="395"/>
      <c r="L246" s="47" t="s">
        <v>1023</v>
      </c>
      <c r="M246" s="46"/>
      <c r="N246" s="46"/>
      <c r="O246" s="46"/>
      <c r="P246" s="49"/>
      <c r="Q246" s="19"/>
      <c r="R246" s="20"/>
      <c r="S246" s="20"/>
      <c r="T246" s="20"/>
      <c r="U246" s="20"/>
      <c r="V246" s="21"/>
      <c r="W246" s="22"/>
      <c r="X246" s="22"/>
      <c r="Y246" s="22"/>
      <c r="Z246" s="22"/>
      <c r="AA246" s="19"/>
      <c r="AB246" s="20"/>
      <c r="AC246" s="20"/>
      <c r="AD246" s="20"/>
      <c r="AE246" s="20"/>
      <c r="AF246" s="21"/>
      <c r="AG246" s="22"/>
      <c r="AH246" s="22"/>
      <c r="AI246" s="22"/>
      <c r="AJ246" s="22"/>
      <c r="AK246" s="19"/>
      <c r="AL246" s="20"/>
      <c r="AM246" s="20"/>
      <c r="AN246" s="20"/>
      <c r="AO246" s="20"/>
      <c r="AP246" s="21"/>
      <c r="AQ246" s="22"/>
      <c r="AR246" s="22"/>
      <c r="AS246" s="22"/>
      <c r="AT246" s="22"/>
      <c r="AU246" s="19"/>
      <c r="AV246" s="20"/>
      <c r="AW246" s="20"/>
      <c r="AX246" s="20"/>
      <c r="AY246" s="20"/>
      <c r="AZ246" s="21"/>
      <c r="BA246" s="22"/>
      <c r="BB246" s="22"/>
      <c r="BC246" s="22"/>
      <c r="BD246" s="22"/>
      <c r="BE246" s="19"/>
      <c r="BF246" s="20"/>
      <c r="BG246" s="20"/>
      <c r="BH246" s="20"/>
      <c r="BI246" s="20"/>
      <c r="BJ246" s="21"/>
      <c r="BK246" s="22"/>
      <c r="BL246" s="22"/>
      <c r="BM246" s="22"/>
      <c r="BN246" s="22"/>
      <c r="BO246" s="19"/>
      <c r="BP246" s="20"/>
      <c r="BQ246" s="20"/>
      <c r="BR246" s="20"/>
      <c r="BS246" s="20"/>
      <c r="BT246" s="21"/>
      <c r="BU246" s="22"/>
      <c r="BV246" s="22"/>
      <c r="BW246" s="22"/>
      <c r="BX246" s="22"/>
      <c r="BY246" s="23"/>
      <c r="BZ246" s="24"/>
      <c r="CA246" s="24"/>
      <c r="CB246" s="24"/>
      <c r="CC246" s="24"/>
      <c r="CD246" s="25"/>
      <c r="CE246" s="26"/>
      <c r="CF246" s="26"/>
      <c r="CG246" s="26"/>
      <c r="CH246" s="26"/>
      <c r="CI246" s="27"/>
      <c r="CJ246" s="28"/>
      <c r="CK246" s="28"/>
      <c r="CL246" s="28"/>
      <c r="CM246" s="28"/>
      <c r="CN246" s="25"/>
      <c r="CO246" s="26"/>
      <c r="CP246" s="26"/>
      <c r="CQ246" s="26"/>
      <c r="CR246" s="26"/>
      <c r="CS246" s="27"/>
      <c r="CT246" s="28"/>
      <c r="CU246" s="28"/>
      <c r="CV246" s="28"/>
      <c r="CW246" s="28"/>
      <c r="CX246" s="25"/>
      <c r="CY246" s="26"/>
      <c r="CZ246" s="26"/>
      <c r="DA246" s="26"/>
      <c r="DB246" s="26"/>
      <c r="DC246" s="27"/>
      <c r="DD246" s="28"/>
      <c r="DE246" s="28"/>
      <c r="DF246" s="28"/>
      <c r="DG246" s="28"/>
      <c r="DH246" s="25"/>
      <c r="DI246" s="26"/>
      <c r="DJ246" s="26"/>
      <c r="DK246" s="26"/>
      <c r="DL246" s="26"/>
      <c r="DM246" s="27"/>
      <c r="DN246" s="28"/>
      <c r="DO246" s="28"/>
      <c r="DP246" s="28"/>
      <c r="DQ246" s="28"/>
      <c r="DR246" s="25"/>
      <c r="DS246" s="26"/>
      <c r="DT246" s="26"/>
      <c r="DU246" s="26"/>
      <c r="DV246" s="26"/>
      <c r="DW246" s="27"/>
      <c r="DX246" s="28"/>
      <c r="DY246" s="28"/>
      <c r="DZ246" s="28"/>
      <c r="EA246" s="28"/>
      <c r="EB246" s="29"/>
      <c r="EC246" s="30"/>
      <c r="ED246" s="30"/>
      <c r="EE246" s="30"/>
      <c r="EF246" s="30"/>
      <c r="EG246" s="31"/>
      <c r="EH246" s="32"/>
      <c r="EI246" s="32"/>
      <c r="EJ246" s="32"/>
      <c r="EK246" s="32"/>
      <c r="EL246" s="29"/>
      <c r="EM246" s="30"/>
      <c r="EN246" s="30"/>
      <c r="EO246" s="30"/>
      <c r="EP246" s="30"/>
      <c r="EQ246" s="31"/>
      <c r="ER246" s="32"/>
      <c r="ES246" s="32"/>
      <c r="ET246" s="32"/>
      <c r="EU246" s="32"/>
      <c r="EV246" s="29"/>
      <c r="EW246" s="30"/>
      <c r="EX246" s="30"/>
      <c r="EY246" s="30"/>
      <c r="EZ246" s="30"/>
      <c r="FA246" s="31"/>
      <c r="FB246" s="32"/>
      <c r="FC246" s="32"/>
      <c r="FD246" s="32"/>
      <c r="FE246" s="32"/>
      <c r="FF246" s="29"/>
      <c r="FG246" s="30"/>
      <c r="FH246" s="30"/>
      <c r="FI246" s="30"/>
      <c r="FJ246" s="30"/>
      <c r="FK246" s="31"/>
      <c r="FL246" s="32"/>
      <c r="FM246" s="32"/>
      <c r="FN246" s="32"/>
      <c r="FO246" s="32"/>
      <c r="FP246" s="29"/>
      <c r="FQ246" s="30"/>
      <c r="FR246" s="30"/>
      <c r="FS246" s="30"/>
      <c r="FT246" s="30"/>
      <c r="FU246" s="31"/>
      <c r="FV246" s="32"/>
      <c r="FW246" s="32"/>
      <c r="FX246" s="32"/>
      <c r="FY246" s="32"/>
      <c r="FZ246" s="29"/>
      <c r="GA246" s="30"/>
      <c r="GB246" s="30"/>
      <c r="GC246" s="30"/>
      <c r="GD246" s="30"/>
    </row>
    <row r="247" spans="1:186" ht="48" x14ac:dyDescent="0.25">
      <c r="A247" s="156">
        <v>238</v>
      </c>
      <c r="B247" s="395">
        <f>'Tier 3 Intervention'!B959</f>
        <v>0</v>
      </c>
      <c r="C247" s="395"/>
      <c r="D247" s="395"/>
      <c r="E247" s="395"/>
      <c r="F247" s="395"/>
      <c r="G247" s="395"/>
      <c r="H247" s="761" t="e">
        <f>'Tier 3 Intervention'!AA959+30</f>
        <v>#VALUE!</v>
      </c>
      <c r="I247" s="761"/>
      <c r="J247" s="762" t="e">
        <f t="shared" si="4"/>
        <v>#VALUE!</v>
      </c>
      <c r="K247" s="395"/>
      <c r="L247" s="47" t="s">
        <v>1024</v>
      </c>
      <c r="M247" s="46"/>
      <c r="N247" s="46"/>
      <c r="O247" s="46"/>
      <c r="P247" s="49"/>
      <c r="Q247" s="19"/>
      <c r="R247" s="20"/>
      <c r="S247" s="20"/>
      <c r="T247" s="20"/>
      <c r="U247" s="20"/>
      <c r="V247" s="21"/>
      <c r="W247" s="22"/>
      <c r="X247" s="22"/>
      <c r="Y247" s="22"/>
      <c r="Z247" s="22"/>
      <c r="AA247" s="19"/>
      <c r="AB247" s="20"/>
      <c r="AC247" s="20"/>
      <c r="AD247" s="20"/>
      <c r="AE247" s="20"/>
      <c r="AF247" s="21"/>
      <c r="AG247" s="22"/>
      <c r="AH247" s="22"/>
      <c r="AI247" s="22"/>
      <c r="AJ247" s="22"/>
      <c r="AK247" s="19"/>
      <c r="AL247" s="20"/>
      <c r="AM247" s="20"/>
      <c r="AN247" s="20"/>
      <c r="AO247" s="20"/>
      <c r="AP247" s="21"/>
      <c r="AQ247" s="22"/>
      <c r="AR247" s="22"/>
      <c r="AS247" s="22"/>
      <c r="AT247" s="22"/>
      <c r="AU247" s="19"/>
      <c r="AV247" s="20"/>
      <c r="AW247" s="20"/>
      <c r="AX247" s="20"/>
      <c r="AY247" s="20"/>
      <c r="AZ247" s="21"/>
      <c r="BA247" s="22"/>
      <c r="BB247" s="22"/>
      <c r="BC247" s="22"/>
      <c r="BD247" s="22"/>
      <c r="BE247" s="19"/>
      <c r="BF247" s="20"/>
      <c r="BG247" s="20"/>
      <c r="BH247" s="20"/>
      <c r="BI247" s="20"/>
      <c r="BJ247" s="21"/>
      <c r="BK247" s="22"/>
      <c r="BL247" s="22"/>
      <c r="BM247" s="22"/>
      <c r="BN247" s="22"/>
      <c r="BO247" s="19"/>
      <c r="BP247" s="20"/>
      <c r="BQ247" s="20"/>
      <c r="BR247" s="20"/>
      <c r="BS247" s="20"/>
      <c r="BT247" s="21"/>
      <c r="BU247" s="22"/>
      <c r="BV247" s="22"/>
      <c r="BW247" s="22"/>
      <c r="BX247" s="22"/>
      <c r="BY247" s="23"/>
      <c r="BZ247" s="24"/>
      <c r="CA247" s="24"/>
      <c r="CB247" s="24"/>
      <c r="CC247" s="24"/>
      <c r="CD247" s="25"/>
      <c r="CE247" s="26"/>
      <c r="CF247" s="26"/>
      <c r="CG247" s="26"/>
      <c r="CH247" s="26"/>
      <c r="CI247" s="27"/>
      <c r="CJ247" s="28"/>
      <c r="CK247" s="28"/>
      <c r="CL247" s="28"/>
      <c r="CM247" s="28"/>
      <c r="CN247" s="25"/>
      <c r="CO247" s="26"/>
      <c r="CP247" s="26"/>
      <c r="CQ247" s="26"/>
      <c r="CR247" s="26"/>
      <c r="CS247" s="27"/>
      <c r="CT247" s="28"/>
      <c r="CU247" s="28"/>
      <c r="CV247" s="28"/>
      <c r="CW247" s="28"/>
      <c r="CX247" s="25"/>
      <c r="CY247" s="26"/>
      <c r="CZ247" s="26"/>
      <c r="DA247" s="26"/>
      <c r="DB247" s="26"/>
      <c r="DC247" s="27"/>
      <c r="DD247" s="28"/>
      <c r="DE247" s="28"/>
      <c r="DF247" s="28"/>
      <c r="DG247" s="28"/>
      <c r="DH247" s="25"/>
      <c r="DI247" s="26"/>
      <c r="DJ247" s="26"/>
      <c r="DK247" s="26"/>
      <c r="DL247" s="26"/>
      <c r="DM247" s="27"/>
      <c r="DN247" s="28"/>
      <c r="DO247" s="28"/>
      <c r="DP247" s="28"/>
      <c r="DQ247" s="28"/>
      <c r="DR247" s="25"/>
      <c r="DS247" s="26"/>
      <c r="DT247" s="26"/>
      <c r="DU247" s="26"/>
      <c r="DV247" s="26"/>
      <c r="DW247" s="27"/>
      <c r="DX247" s="28"/>
      <c r="DY247" s="28"/>
      <c r="DZ247" s="28"/>
      <c r="EA247" s="28"/>
      <c r="EB247" s="29"/>
      <c r="EC247" s="30"/>
      <c r="ED247" s="30"/>
      <c r="EE247" s="30"/>
      <c r="EF247" s="30"/>
      <c r="EG247" s="31"/>
      <c r="EH247" s="32"/>
      <c r="EI247" s="32"/>
      <c r="EJ247" s="32"/>
      <c r="EK247" s="32"/>
      <c r="EL247" s="29"/>
      <c r="EM247" s="30"/>
      <c r="EN247" s="30"/>
      <c r="EO247" s="30"/>
      <c r="EP247" s="30"/>
      <c r="EQ247" s="31"/>
      <c r="ER247" s="32"/>
      <c r="ES247" s="32"/>
      <c r="ET247" s="32"/>
      <c r="EU247" s="32"/>
      <c r="EV247" s="29"/>
      <c r="EW247" s="30"/>
      <c r="EX247" s="30"/>
      <c r="EY247" s="30"/>
      <c r="EZ247" s="30"/>
      <c r="FA247" s="31"/>
      <c r="FB247" s="32"/>
      <c r="FC247" s="32"/>
      <c r="FD247" s="32"/>
      <c r="FE247" s="32"/>
      <c r="FF247" s="29"/>
      <c r="FG247" s="30"/>
      <c r="FH247" s="30"/>
      <c r="FI247" s="30"/>
      <c r="FJ247" s="30"/>
      <c r="FK247" s="31"/>
      <c r="FL247" s="32"/>
      <c r="FM247" s="32"/>
      <c r="FN247" s="32"/>
      <c r="FO247" s="32"/>
      <c r="FP247" s="29"/>
      <c r="FQ247" s="30"/>
      <c r="FR247" s="30"/>
      <c r="FS247" s="30"/>
      <c r="FT247" s="30"/>
      <c r="FU247" s="31"/>
      <c r="FV247" s="32"/>
      <c r="FW247" s="32"/>
      <c r="FX247" s="32"/>
      <c r="FY247" s="32"/>
      <c r="FZ247" s="29"/>
      <c r="GA247" s="30"/>
      <c r="GB247" s="30"/>
      <c r="GC247" s="30"/>
      <c r="GD247" s="30"/>
    </row>
    <row r="248" spans="1:186" ht="48" x14ac:dyDescent="0.25">
      <c r="A248" s="156">
        <v>239</v>
      </c>
      <c r="B248" s="395">
        <f>'Tier 3 Intervention'!B963</f>
        <v>0</v>
      </c>
      <c r="C248" s="395"/>
      <c r="D248" s="395"/>
      <c r="E248" s="395"/>
      <c r="F248" s="395"/>
      <c r="G248" s="395"/>
      <c r="H248" s="761" t="e">
        <f>'Tier 3 Intervention'!AA963+30</f>
        <v>#VALUE!</v>
      </c>
      <c r="I248" s="761"/>
      <c r="J248" s="762" t="e">
        <f t="shared" si="4"/>
        <v>#VALUE!</v>
      </c>
      <c r="K248" s="395"/>
      <c r="L248" s="47" t="s">
        <v>1025</v>
      </c>
      <c r="M248" s="46"/>
      <c r="N248" s="46"/>
      <c r="O248" s="46"/>
      <c r="P248" s="49"/>
      <c r="Q248" s="19"/>
      <c r="R248" s="20"/>
      <c r="S248" s="20"/>
      <c r="T248" s="20"/>
      <c r="U248" s="20"/>
      <c r="V248" s="21"/>
      <c r="W248" s="22"/>
      <c r="X248" s="22"/>
      <c r="Y248" s="22"/>
      <c r="Z248" s="22"/>
      <c r="AA248" s="19"/>
      <c r="AB248" s="20"/>
      <c r="AC248" s="20"/>
      <c r="AD248" s="20"/>
      <c r="AE248" s="20"/>
      <c r="AF248" s="21"/>
      <c r="AG248" s="22"/>
      <c r="AH248" s="22"/>
      <c r="AI248" s="22"/>
      <c r="AJ248" s="22"/>
      <c r="AK248" s="19"/>
      <c r="AL248" s="20"/>
      <c r="AM248" s="20"/>
      <c r="AN248" s="20"/>
      <c r="AO248" s="20"/>
      <c r="AP248" s="21"/>
      <c r="AQ248" s="22"/>
      <c r="AR248" s="22"/>
      <c r="AS248" s="22"/>
      <c r="AT248" s="22"/>
      <c r="AU248" s="19"/>
      <c r="AV248" s="20"/>
      <c r="AW248" s="20"/>
      <c r="AX248" s="20"/>
      <c r="AY248" s="20"/>
      <c r="AZ248" s="21"/>
      <c r="BA248" s="22"/>
      <c r="BB248" s="22"/>
      <c r="BC248" s="22"/>
      <c r="BD248" s="22"/>
      <c r="BE248" s="19"/>
      <c r="BF248" s="20"/>
      <c r="BG248" s="20"/>
      <c r="BH248" s="20"/>
      <c r="BI248" s="20"/>
      <c r="BJ248" s="21"/>
      <c r="BK248" s="22"/>
      <c r="BL248" s="22"/>
      <c r="BM248" s="22"/>
      <c r="BN248" s="22"/>
      <c r="BO248" s="19"/>
      <c r="BP248" s="20"/>
      <c r="BQ248" s="20"/>
      <c r="BR248" s="20"/>
      <c r="BS248" s="20"/>
      <c r="BT248" s="21"/>
      <c r="BU248" s="22"/>
      <c r="BV248" s="22"/>
      <c r="BW248" s="22"/>
      <c r="BX248" s="22"/>
      <c r="BY248" s="23"/>
      <c r="BZ248" s="24"/>
      <c r="CA248" s="24"/>
      <c r="CB248" s="24"/>
      <c r="CC248" s="24"/>
      <c r="CD248" s="25"/>
      <c r="CE248" s="26"/>
      <c r="CF248" s="26"/>
      <c r="CG248" s="26"/>
      <c r="CH248" s="26"/>
      <c r="CI248" s="27"/>
      <c r="CJ248" s="28"/>
      <c r="CK248" s="28"/>
      <c r="CL248" s="28"/>
      <c r="CM248" s="28"/>
      <c r="CN248" s="25"/>
      <c r="CO248" s="26"/>
      <c r="CP248" s="26"/>
      <c r="CQ248" s="26"/>
      <c r="CR248" s="26"/>
      <c r="CS248" s="27"/>
      <c r="CT248" s="28"/>
      <c r="CU248" s="28"/>
      <c r="CV248" s="28"/>
      <c r="CW248" s="28"/>
      <c r="CX248" s="25"/>
      <c r="CY248" s="26"/>
      <c r="CZ248" s="26"/>
      <c r="DA248" s="26"/>
      <c r="DB248" s="26"/>
      <c r="DC248" s="27"/>
      <c r="DD248" s="28"/>
      <c r="DE248" s="28"/>
      <c r="DF248" s="28"/>
      <c r="DG248" s="28"/>
      <c r="DH248" s="25"/>
      <c r="DI248" s="26"/>
      <c r="DJ248" s="26"/>
      <c r="DK248" s="26"/>
      <c r="DL248" s="26"/>
      <c r="DM248" s="27"/>
      <c r="DN248" s="28"/>
      <c r="DO248" s="28"/>
      <c r="DP248" s="28"/>
      <c r="DQ248" s="28"/>
      <c r="DR248" s="25"/>
      <c r="DS248" s="26"/>
      <c r="DT248" s="26"/>
      <c r="DU248" s="26"/>
      <c r="DV248" s="26"/>
      <c r="DW248" s="27"/>
      <c r="DX248" s="28"/>
      <c r="DY248" s="28"/>
      <c r="DZ248" s="28"/>
      <c r="EA248" s="28"/>
      <c r="EB248" s="29"/>
      <c r="EC248" s="30"/>
      <c r="ED248" s="30"/>
      <c r="EE248" s="30"/>
      <c r="EF248" s="30"/>
      <c r="EG248" s="31"/>
      <c r="EH248" s="32"/>
      <c r="EI248" s="32"/>
      <c r="EJ248" s="32"/>
      <c r="EK248" s="32"/>
      <c r="EL248" s="29"/>
      <c r="EM248" s="30"/>
      <c r="EN248" s="30"/>
      <c r="EO248" s="30"/>
      <c r="EP248" s="30"/>
      <c r="EQ248" s="31"/>
      <c r="ER248" s="32"/>
      <c r="ES248" s="32"/>
      <c r="ET248" s="32"/>
      <c r="EU248" s="32"/>
      <c r="EV248" s="29"/>
      <c r="EW248" s="30"/>
      <c r="EX248" s="30"/>
      <c r="EY248" s="30"/>
      <c r="EZ248" s="30"/>
      <c r="FA248" s="31"/>
      <c r="FB248" s="32"/>
      <c r="FC248" s="32"/>
      <c r="FD248" s="32"/>
      <c r="FE248" s="32"/>
      <c r="FF248" s="29"/>
      <c r="FG248" s="30"/>
      <c r="FH248" s="30"/>
      <c r="FI248" s="30"/>
      <c r="FJ248" s="30"/>
      <c r="FK248" s="31"/>
      <c r="FL248" s="32"/>
      <c r="FM248" s="32"/>
      <c r="FN248" s="32"/>
      <c r="FO248" s="32"/>
      <c r="FP248" s="29"/>
      <c r="FQ248" s="30"/>
      <c r="FR248" s="30"/>
      <c r="FS248" s="30"/>
      <c r="FT248" s="30"/>
      <c r="FU248" s="31"/>
      <c r="FV248" s="32"/>
      <c r="FW248" s="32"/>
      <c r="FX248" s="32"/>
      <c r="FY248" s="32"/>
      <c r="FZ248" s="29"/>
      <c r="GA248" s="30"/>
      <c r="GB248" s="30"/>
      <c r="GC248" s="30"/>
      <c r="GD248" s="30"/>
    </row>
    <row r="249" spans="1:186" ht="48" x14ac:dyDescent="0.25">
      <c r="A249" s="156">
        <v>240</v>
      </c>
      <c r="B249" s="395">
        <f>'Tier 3 Intervention'!B967</f>
        <v>0</v>
      </c>
      <c r="C249" s="395"/>
      <c r="D249" s="395"/>
      <c r="E249" s="395"/>
      <c r="F249" s="395"/>
      <c r="G249" s="395"/>
      <c r="H249" s="761" t="e">
        <f>'Tier 3 Intervention'!AA967+30</f>
        <v>#VALUE!</v>
      </c>
      <c r="I249" s="761"/>
      <c r="J249" s="762" t="e">
        <f t="shared" si="4"/>
        <v>#VALUE!</v>
      </c>
      <c r="K249" s="395"/>
      <c r="L249" s="47" t="s">
        <v>1026</v>
      </c>
      <c r="M249" s="46"/>
      <c r="N249" s="46"/>
      <c r="O249" s="46"/>
      <c r="P249" s="49"/>
      <c r="Q249" s="19"/>
      <c r="R249" s="20"/>
      <c r="S249" s="20"/>
      <c r="T249" s="20"/>
      <c r="U249" s="20"/>
      <c r="V249" s="21"/>
      <c r="W249" s="22"/>
      <c r="X249" s="22"/>
      <c r="Y249" s="22"/>
      <c r="Z249" s="22"/>
      <c r="AA249" s="19"/>
      <c r="AB249" s="20"/>
      <c r="AC249" s="20"/>
      <c r="AD249" s="20"/>
      <c r="AE249" s="20"/>
      <c r="AF249" s="21"/>
      <c r="AG249" s="22"/>
      <c r="AH249" s="22"/>
      <c r="AI249" s="22"/>
      <c r="AJ249" s="22"/>
      <c r="AK249" s="19"/>
      <c r="AL249" s="20"/>
      <c r="AM249" s="20"/>
      <c r="AN249" s="20"/>
      <c r="AO249" s="20"/>
      <c r="AP249" s="21"/>
      <c r="AQ249" s="22"/>
      <c r="AR249" s="22"/>
      <c r="AS249" s="22"/>
      <c r="AT249" s="22"/>
      <c r="AU249" s="19"/>
      <c r="AV249" s="20"/>
      <c r="AW249" s="20"/>
      <c r="AX249" s="20"/>
      <c r="AY249" s="20"/>
      <c r="AZ249" s="21"/>
      <c r="BA249" s="22"/>
      <c r="BB249" s="22"/>
      <c r="BC249" s="22"/>
      <c r="BD249" s="22"/>
      <c r="BE249" s="19"/>
      <c r="BF249" s="20"/>
      <c r="BG249" s="20"/>
      <c r="BH249" s="20"/>
      <c r="BI249" s="20"/>
      <c r="BJ249" s="21"/>
      <c r="BK249" s="22"/>
      <c r="BL249" s="22"/>
      <c r="BM249" s="22"/>
      <c r="BN249" s="22"/>
      <c r="BO249" s="19"/>
      <c r="BP249" s="20"/>
      <c r="BQ249" s="20"/>
      <c r="BR249" s="20"/>
      <c r="BS249" s="20"/>
      <c r="BT249" s="21"/>
      <c r="BU249" s="22"/>
      <c r="BV249" s="22"/>
      <c r="BW249" s="22"/>
      <c r="BX249" s="22"/>
      <c r="BY249" s="23"/>
      <c r="BZ249" s="24"/>
      <c r="CA249" s="24"/>
      <c r="CB249" s="24"/>
      <c r="CC249" s="24"/>
      <c r="CD249" s="25"/>
      <c r="CE249" s="26"/>
      <c r="CF249" s="26"/>
      <c r="CG249" s="26"/>
      <c r="CH249" s="26"/>
      <c r="CI249" s="27"/>
      <c r="CJ249" s="28"/>
      <c r="CK249" s="28"/>
      <c r="CL249" s="28"/>
      <c r="CM249" s="28"/>
      <c r="CN249" s="25"/>
      <c r="CO249" s="26"/>
      <c r="CP249" s="26"/>
      <c r="CQ249" s="26"/>
      <c r="CR249" s="26"/>
      <c r="CS249" s="27"/>
      <c r="CT249" s="28"/>
      <c r="CU249" s="28"/>
      <c r="CV249" s="28"/>
      <c r="CW249" s="28"/>
      <c r="CX249" s="25"/>
      <c r="CY249" s="26"/>
      <c r="CZ249" s="26"/>
      <c r="DA249" s="26"/>
      <c r="DB249" s="26"/>
      <c r="DC249" s="27"/>
      <c r="DD249" s="28"/>
      <c r="DE249" s="28"/>
      <c r="DF249" s="28"/>
      <c r="DG249" s="28"/>
      <c r="DH249" s="25"/>
      <c r="DI249" s="26"/>
      <c r="DJ249" s="26"/>
      <c r="DK249" s="26"/>
      <c r="DL249" s="26"/>
      <c r="DM249" s="27"/>
      <c r="DN249" s="28"/>
      <c r="DO249" s="28"/>
      <c r="DP249" s="28"/>
      <c r="DQ249" s="28"/>
      <c r="DR249" s="25"/>
      <c r="DS249" s="26"/>
      <c r="DT249" s="26"/>
      <c r="DU249" s="26"/>
      <c r="DV249" s="26"/>
      <c r="DW249" s="27"/>
      <c r="DX249" s="28"/>
      <c r="DY249" s="28"/>
      <c r="DZ249" s="28"/>
      <c r="EA249" s="28"/>
      <c r="EB249" s="29"/>
      <c r="EC249" s="30"/>
      <c r="ED249" s="30"/>
      <c r="EE249" s="30"/>
      <c r="EF249" s="30"/>
      <c r="EG249" s="31"/>
      <c r="EH249" s="32"/>
      <c r="EI249" s="32"/>
      <c r="EJ249" s="32"/>
      <c r="EK249" s="32"/>
      <c r="EL249" s="29"/>
      <c r="EM249" s="30"/>
      <c r="EN249" s="30"/>
      <c r="EO249" s="30"/>
      <c r="EP249" s="30"/>
      <c r="EQ249" s="31"/>
      <c r="ER249" s="32"/>
      <c r="ES249" s="32"/>
      <c r="ET249" s="32"/>
      <c r="EU249" s="32"/>
      <c r="EV249" s="29"/>
      <c r="EW249" s="30"/>
      <c r="EX249" s="30"/>
      <c r="EY249" s="30"/>
      <c r="EZ249" s="30"/>
      <c r="FA249" s="31"/>
      <c r="FB249" s="32"/>
      <c r="FC249" s="32"/>
      <c r="FD249" s="32"/>
      <c r="FE249" s="32"/>
      <c r="FF249" s="29"/>
      <c r="FG249" s="30"/>
      <c r="FH249" s="30"/>
      <c r="FI249" s="30"/>
      <c r="FJ249" s="30"/>
      <c r="FK249" s="31"/>
      <c r="FL249" s="32"/>
      <c r="FM249" s="32"/>
      <c r="FN249" s="32"/>
      <c r="FO249" s="32"/>
      <c r="FP249" s="29"/>
      <c r="FQ249" s="30"/>
      <c r="FR249" s="30"/>
      <c r="FS249" s="30"/>
      <c r="FT249" s="30"/>
      <c r="FU249" s="31"/>
      <c r="FV249" s="32"/>
      <c r="FW249" s="32"/>
      <c r="FX249" s="32"/>
      <c r="FY249" s="32"/>
      <c r="FZ249" s="29"/>
      <c r="GA249" s="30"/>
      <c r="GB249" s="30"/>
      <c r="GC249" s="30"/>
      <c r="GD249" s="30"/>
    </row>
    <row r="250" spans="1:186" ht="48" x14ac:dyDescent="0.25">
      <c r="A250" s="156">
        <v>241</v>
      </c>
      <c r="B250" s="395">
        <f>'Tier 3 Intervention'!B971</f>
        <v>0</v>
      </c>
      <c r="C250" s="395"/>
      <c r="D250" s="395"/>
      <c r="E250" s="395"/>
      <c r="F250" s="395"/>
      <c r="G250" s="395"/>
      <c r="H250" s="761" t="e">
        <f>'Tier 3 Intervention'!AA971+30</f>
        <v>#VALUE!</v>
      </c>
      <c r="I250" s="761"/>
      <c r="J250" s="762" t="e">
        <f t="shared" si="4"/>
        <v>#VALUE!</v>
      </c>
      <c r="K250" s="395"/>
      <c r="L250" s="47" t="s">
        <v>1027</v>
      </c>
      <c r="M250" s="46"/>
      <c r="N250" s="46"/>
      <c r="O250" s="46"/>
      <c r="P250" s="49"/>
      <c r="Q250" s="19"/>
      <c r="R250" s="20"/>
      <c r="S250" s="20"/>
      <c r="T250" s="20"/>
      <c r="U250" s="20"/>
      <c r="V250" s="21"/>
      <c r="W250" s="22"/>
      <c r="X250" s="22"/>
      <c r="Y250" s="22"/>
      <c r="Z250" s="22"/>
      <c r="AA250" s="19"/>
      <c r="AB250" s="20"/>
      <c r="AC250" s="20"/>
      <c r="AD250" s="20"/>
      <c r="AE250" s="20"/>
      <c r="AF250" s="21"/>
      <c r="AG250" s="22"/>
      <c r="AH250" s="22"/>
      <c r="AI250" s="22"/>
      <c r="AJ250" s="22"/>
      <c r="AK250" s="19"/>
      <c r="AL250" s="20"/>
      <c r="AM250" s="20"/>
      <c r="AN250" s="20"/>
      <c r="AO250" s="20"/>
      <c r="AP250" s="21"/>
      <c r="AQ250" s="22"/>
      <c r="AR250" s="22"/>
      <c r="AS250" s="22"/>
      <c r="AT250" s="22"/>
      <c r="AU250" s="19"/>
      <c r="AV250" s="20"/>
      <c r="AW250" s="20"/>
      <c r="AX250" s="20"/>
      <c r="AY250" s="20"/>
      <c r="AZ250" s="21"/>
      <c r="BA250" s="22"/>
      <c r="BB250" s="22"/>
      <c r="BC250" s="22"/>
      <c r="BD250" s="22"/>
      <c r="BE250" s="19"/>
      <c r="BF250" s="20"/>
      <c r="BG250" s="20"/>
      <c r="BH250" s="20"/>
      <c r="BI250" s="20"/>
      <c r="BJ250" s="21"/>
      <c r="BK250" s="22"/>
      <c r="BL250" s="22"/>
      <c r="BM250" s="22"/>
      <c r="BN250" s="22"/>
      <c r="BO250" s="19"/>
      <c r="BP250" s="20"/>
      <c r="BQ250" s="20"/>
      <c r="BR250" s="20"/>
      <c r="BS250" s="20"/>
      <c r="BT250" s="21"/>
      <c r="BU250" s="22"/>
      <c r="BV250" s="22"/>
      <c r="BW250" s="22"/>
      <c r="BX250" s="22"/>
      <c r="BY250" s="23"/>
      <c r="BZ250" s="24"/>
      <c r="CA250" s="24"/>
      <c r="CB250" s="24"/>
      <c r="CC250" s="24"/>
      <c r="CD250" s="25"/>
      <c r="CE250" s="26"/>
      <c r="CF250" s="26"/>
      <c r="CG250" s="26"/>
      <c r="CH250" s="26"/>
      <c r="CI250" s="27"/>
      <c r="CJ250" s="28"/>
      <c r="CK250" s="28"/>
      <c r="CL250" s="28"/>
      <c r="CM250" s="28"/>
      <c r="CN250" s="25"/>
      <c r="CO250" s="26"/>
      <c r="CP250" s="26"/>
      <c r="CQ250" s="26"/>
      <c r="CR250" s="26"/>
      <c r="CS250" s="27"/>
      <c r="CT250" s="28"/>
      <c r="CU250" s="28"/>
      <c r="CV250" s="28"/>
      <c r="CW250" s="28"/>
      <c r="CX250" s="25"/>
      <c r="CY250" s="26"/>
      <c r="CZ250" s="26"/>
      <c r="DA250" s="26"/>
      <c r="DB250" s="26"/>
      <c r="DC250" s="27"/>
      <c r="DD250" s="28"/>
      <c r="DE250" s="28"/>
      <c r="DF250" s="28"/>
      <c r="DG250" s="28"/>
      <c r="DH250" s="25"/>
      <c r="DI250" s="26"/>
      <c r="DJ250" s="26"/>
      <c r="DK250" s="26"/>
      <c r="DL250" s="26"/>
      <c r="DM250" s="27"/>
      <c r="DN250" s="28"/>
      <c r="DO250" s="28"/>
      <c r="DP250" s="28"/>
      <c r="DQ250" s="28"/>
      <c r="DR250" s="25"/>
      <c r="DS250" s="26"/>
      <c r="DT250" s="26"/>
      <c r="DU250" s="26"/>
      <c r="DV250" s="26"/>
      <c r="DW250" s="27"/>
      <c r="DX250" s="28"/>
      <c r="DY250" s="28"/>
      <c r="DZ250" s="28"/>
      <c r="EA250" s="28"/>
      <c r="EB250" s="29"/>
      <c r="EC250" s="30"/>
      <c r="ED250" s="30"/>
      <c r="EE250" s="30"/>
      <c r="EF250" s="30"/>
      <c r="EG250" s="31"/>
      <c r="EH250" s="32"/>
      <c r="EI250" s="32"/>
      <c r="EJ250" s="32"/>
      <c r="EK250" s="32"/>
      <c r="EL250" s="29"/>
      <c r="EM250" s="30"/>
      <c r="EN250" s="30"/>
      <c r="EO250" s="30"/>
      <c r="EP250" s="30"/>
      <c r="EQ250" s="31"/>
      <c r="ER250" s="32"/>
      <c r="ES250" s="32"/>
      <c r="ET250" s="32"/>
      <c r="EU250" s="32"/>
      <c r="EV250" s="29"/>
      <c r="EW250" s="30"/>
      <c r="EX250" s="30"/>
      <c r="EY250" s="30"/>
      <c r="EZ250" s="30"/>
      <c r="FA250" s="31"/>
      <c r="FB250" s="32"/>
      <c r="FC250" s="32"/>
      <c r="FD250" s="32"/>
      <c r="FE250" s="32"/>
      <c r="FF250" s="29"/>
      <c r="FG250" s="30"/>
      <c r="FH250" s="30"/>
      <c r="FI250" s="30"/>
      <c r="FJ250" s="30"/>
      <c r="FK250" s="31"/>
      <c r="FL250" s="32"/>
      <c r="FM250" s="32"/>
      <c r="FN250" s="32"/>
      <c r="FO250" s="32"/>
      <c r="FP250" s="29"/>
      <c r="FQ250" s="30"/>
      <c r="FR250" s="30"/>
      <c r="FS250" s="30"/>
      <c r="FT250" s="30"/>
      <c r="FU250" s="31"/>
      <c r="FV250" s="32"/>
      <c r="FW250" s="32"/>
      <c r="FX250" s="32"/>
      <c r="FY250" s="32"/>
      <c r="FZ250" s="29"/>
      <c r="GA250" s="30"/>
      <c r="GB250" s="30"/>
      <c r="GC250" s="30"/>
      <c r="GD250" s="30"/>
    </row>
    <row r="251" spans="1:186" ht="48" x14ac:dyDescent="0.25">
      <c r="A251" s="156">
        <v>242</v>
      </c>
      <c r="B251" s="395">
        <f>'Tier 3 Intervention'!B975</f>
        <v>0</v>
      </c>
      <c r="C251" s="395"/>
      <c r="D251" s="395"/>
      <c r="E251" s="395"/>
      <c r="F251" s="395"/>
      <c r="G251" s="395"/>
      <c r="H251" s="761" t="e">
        <f>'Tier 3 Intervention'!AA975+30</f>
        <v>#VALUE!</v>
      </c>
      <c r="I251" s="761"/>
      <c r="J251" s="762" t="e">
        <f t="shared" si="4"/>
        <v>#VALUE!</v>
      </c>
      <c r="K251" s="395"/>
      <c r="L251" s="47" t="s">
        <v>1028</v>
      </c>
      <c r="M251" s="46"/>
      <c r="N251" s="46"/>
      <c r="O251" s="46"/>
      <c r="P251" s="49"/>
      <c r="Q251" s="19"/>
      <c r="R251" s="20"/>
      <c r="S251" s="20"/>
      <c r="T251" s="20"/>
      <c r="U251" s="20"/>
      <c r="V251" s="21"/>
      <c r="W251" s="22"/>
      <c r="X251" s="22"/>
      <c r="Y251" s="22"/>
      <c r="Z251" s="22"/>
      <c r="AA251" s="19"/>
      <c r="AB251" s="20"/>
      <c r="AC251" s="20"/>
      <c r="AD251" s="20"/>
      <c r="AE251" s="20"/>
      <c r="AF251" s="21"/>
      <c r="AG251" s="22"/>
      <c r="AH251" s="22"/>
      <c r="AI251" s="22"/>
      <c r="AJ251" s="22"/>
      <c r="AK251" s="19"/>
      <c r="AL251" s="20"/>
      <c r="AM251" s="20"/>
      <c r="AN251" s="20"/>
      <c r="AO251" s="20"/>
      <c r="AP251" s="21"/>
      <c r="AQ251" s="22"/>
      <c r="AR251" s="22"/>
      <c r="AS251" s="22"/>
      <c r="AT251" s="22"/>
      <c r="AU251" s="19"/>
      <c r="AV251" s="20"/>
      <c r="AW251" s="20"/>
      <c r="AX251" s="20"/>
      <c r="AY251" s="20"/>
      <c r="AZ251" s="21"/>
      <c r="BA251" s="22"/>
      <c r="BB251" s="22"/>
      <c r="BC251" s="22"/>
      <c r="BD251" s="22"/>
      <c r="BE251" s="19"/>
      <c r="BF251" s="20"/>
      <c r="BG251" s="20"/>
      <c r="BH251" s="20"/>
      <c r="BI251" s="20"/>
      <c r="BJ251" s="21"/>
      <c r="BK251" s="22"/>
      <c r="BL251" s="22"/>
      <c r="BM251" s="22"/>
      <c r="BN251" s="22"/>
      <c r="BO251" s="19"/>
      <c r="BP251" s="20"/>
      <c r="BQ251" s="20"/>
      <c r="BR251" s="20"/>
      <c r="BS251" s="20"/>
      <c r="BT251" s="21"/>
      <c r="BU251" s="22"/>
      <c r="BV251" s="22"/>
      <c r="BW251" s="22"/>
      <c r="BX251" s="22"/>
      <c r="BY251" s="23"/>
      <c r="BZ251" s="24"/>
      <c r="CA251" s="24"/>
      <c r="CB251" s="24"/>
      <c r="CC251" s="24"/>
      <c r="CD251" s="25"/>
      <c r="CE251" s="26"/>
      <c r="CF251" s="26"/>
      <c r="CG251" s="26"/>
      <c r="CH251" s="26"/>
      <c r="CI251" s="27"/>
      <c r="CJ251" s="28"/>
      <c r="CK251" s="28"/>
      <c r="CL251" s="28"/>
      <c r="CM251" s="28"/>
      <c r="CN251" s="25"/>
      <c r="CO251" s="26"/>
      <c r="CP251" s="26"/>
      <c r="CQ251" s="26"/>
      <c r="CR251" s="26"/>
      <c r="CS251" s="27"/>
      <c r="CT251" s="28"/>
      <c r="CU251" s="28"/>
      <c r="CV251" s="28"/>
      <c r="CW251" s="28"/>
      <c r="CX251" s="25"/>
      <c r="CY251" s="26"/>
      <c r="CZ251" s="26"/>
      <c r="DA251" s="26"/>
      <c r="DB251" s="26"/>
      <c r="DC251" s="27"/>
      <c r="DD251" s="28"/>
      <c r="DE251" s="28"/>
      <c r="DF251" s="28"/>
      <c r="DG251" s="28"/>
      <c r="DH251" s="25"/>
      <c r="DI251" s="26"/>
      <c r="DJ251" s="26"/>
      <c r="DK251" s="26"/>
      <c r="DL251" s="26"/>
      <c r="DM251" s="27"/>
      <c r="DN251" s="28"/>
      <c r="DO251" s="28"/>
      <c r="DP251" s="28"/>
      <c r="DQ251" s="28"/>
      <c r="DR251" s="25"/>
      <c r="DS251" s="26"/>
      <c r="DT251" s="26"/>
      <c r="DU251" s="26"/>
      <c r="DV251" s="26"/>
      <c r="DW251" s="27"/>
      <c r="DX251" s="28"/>
      <c r="DY251" s="28"/>
      <c r="DZ251" s="28"/>
      <c r="EA251" s="28"/>
      <c r="EB251" s="29"/>
      <c r="EC251" s="30"/>
      <c r="ED251" s="30"/>
      <c r="EE251" s="30"/>
      <c r="EF251" s="30"/>
      <c r="EG251" s="31"/>
      <c r="EH251" s="32"/>
      <c r="EI251" s="32"/>
      <c r="EJ251" s="32"/>
      <c r="EK251" s="32"/>
      <c r="EL251" s="29"/>
      <c r="EM251" s="30"/>
      <c r="EN251" s="30"/>
      <c r="EO251" s="30"/>
      <c r="EP251" s="30"/>
      <c r="EQ251" s="31"/>
      <c r="ER251" s="32"/>
      <c r="ES251" s="32"/>
      <c r="ET251" s="32"/>
      <c r="EU251" s="32"/>
      <c r="EV251" s="29"/>
      <c r="EW251" s="30"/>
      <c r="EX251" s="30"/>
      <c r="EY251" s="30"/>
      <c r="EZ251" s="30"/>
      <c r="FA251" s="31"/>
      <c r="FB251" s="32"/>
      <c r="FC251" s="32"/>
      <c r="FD251" s="32"/>
      <c r="FE251" s="32"/>
      <c r="FF251" s="29"/>
      <c r="FG251" s="30"/>
      <c r="FH251" s="30"/>
      <c r="FI251" s="30"/>
      <c r="FJ251" s="30"/>
      <c r="FK251" s="31"/>
      <c r="FL251" s="32"/>
      <c r="FM251" s="32"/>
      <c r="FN251" s="32"/>
      <c r="FO251" s="32"/>
      <c r="FP251" s="29"/>
      <c r="FQ251" s="30"/>
      <c r="FR251" s="30"/>
      <c r="FS251" s="30"/>
      <c r="FT251" s="30"/>
      <c r="FU251" s="31"/>
      <c r="FV251" s="32"/>
      <c r="FW251" s="32"/>
      <c r="FX251" s="32"/>
      <c r="FY251" s="32"/>
      <c r="FZ251" s="29"/>
      <c r="GA251" s="30"/>
      <c r="GB251" s="30"/>
      <c r="GC251" s="30"/>
      <c r="GD251" s="30"/>
    </row>
    <row r="252" spans="1:186" ht="48" x14ac:dyDescent="0.25">
      <c r="A252" s="156">
        <v>243</v>
      </c>
      <c r="B252" s="395">
        <f>'Tier 3 Intervention'!B979</f>
        <v>0</v>
      </c>
      <c r="C252" s="395"/>
      <c r="D252" s="395"/>
      <c r="E252" s="395"/>
      <c r="F252" s="395"/>
      <c r="G252" s="395"/>
      <c r="H252" s="761" t="e">
        <f>'Tier 3 Intervention'!AA979+30</f>
        <v>#VALUE!</v>
      </c>
      <c r="I252" s="761"/>
      <c r="J252" s="762" t="e">
        <f t="shared" si="4"/>
        <v>#VALUE!</v>
      </c>
      <c r="K252" s="395"/>
      <c r="L252" s="47" t="s">
        <v>1029</v>
      </c>
      <c r="M252" s="46"/>
      <c r="N252" s="46"/>
      <c r="O252" s="46"/>
      <c r="P252" s="49"/>
      <c r="Q252" s="19"/>
      <c r="R252" s="20"/>
      <c r="S252" s="20"/>
      <c r="T252" s="20"/>
      <c r="U252" s="20"/>
      <c r="V252" s="21"/>
      <c r="W252" s="22"/>
      <c r="X252" s="22"/>
      <c r="Y252" s="22"/>
      <c r="Z252" s="22"/>
      <c r="AA252" s="19"/>
      <c r="AB252" s="20"/>
      <c r="AC252" s="20"/>
      <c r="AD252" s="20"/>
      <c r="AE252" s="20"/>
      <c r="AF252" s="21"/>
      <c r="AG252" s="22"/>
      <c r="AH252" s="22"/>
      <c r="AI252" s="22"/>
      <c r="AJ252" s="22"/>
      <c r="AK252" s="19"/>
      <c r="AL252" s="20"/>
      <c r="AM252" s="20"/>
      <c r="AN252" s="20"/>
      <c r="AO252" s="20"/>
      <c r="AP252" s="21"/>
      <c r="AQ252" s="22"/>
      <c r="AR252" s="22"/>
      <c r="AS252" s="22"/>
      <c r="AT252" s="22"/>
      <c r="AU252" s="19"/>
      <c r="AV252" s="20"/>
      <c r="AW252" s="20"/>
      <c r="AX252" s="20"/>
      <c r="AY252" s="20"/>
      <c r="AZ252" s="21"/>
      <c r="BA252" s="22"/>
      <c r="BB252" s="22"/>
      <c r="BC252" s="22"/>
      <c r="BD252" s="22"/>
      <c r="BE252" s="19"/>
      <c r="BF252" s="20"/>
      <c r="BG252" s="20"/>
      <c r="BH252" s="20"/>
      <c r="BI252" s="20"/>
      <c r="BJ252" s="21"/>
      <c r="BK252" s="22"/>
      <c r="BL252" s="22"/>
      <c r="BM252" s="22"/>
      <c r="BN252" s="22"/>
      <c r="BO252" s="19"/>
      <c r="BP252" s="20"/>
      <c r="BQ252" s="20"/>
      <c r="BR252" s="20"/>
      <c r="BS252" s="20"/>
      <c r="BT252" s="21"/>
      <c r="BU252" s="22"/>
      <c r="BV252" s="22"/>
      <c r="BW252" s="22"/>
      <c r="BX252" s="22"/>
      <c r="BY252" s="23"/>
      <c r="BZ252" s="24"/>
      <c r="CA252" s="24"/>
      <c r="CB252" s="24"/>
      <c r="CC252" s="24"/>
      <c r="CD252" s="25"/>
      <c r="CE252" s="26"/>
      <c r="CF252" s="26"/>
      <c r="CG252" s="26"/>
      <c r="CH252" s="26"/>
      <c r="CI252" s="27"/>
      <c r="CJ252" s="28"/>
      <c r="CK252" s="28"/>
      <c r="CL252" s="28"/>
      <c r="CM252" s="28"/>
      <c r="CN252" s="25"/>
      <c r="CO252" s="26"/>
      <c r="CP252" s="26"/>
      <c r="CQ252" s="26"/>
      <c r="CR252" s="26"/>
      <c r="CS252" s="27"/>
      <c r="CT252" s="28"/>
      <c r="CU252" s="28"/>
      <c r="CV252" s="28"/>
      <c r="CW252" s="28"/>
      <c r="CX252" s="25"/>
      <c r="CY252" s="26"/>
      <c r="CZ252" s="26"/>
      <c r="DA252" s="26"/>
      <c r="DB252" s="26"/>
      <c r="DC252" s="27"/>
      <c r="DD252" s="28"/>
      <c r="DE252" s="28"/>
      <c r="DF252" s="28"/>
      <c r="DG252" s="28"/>
      <c r="DH252" s="25"/>
      <c r="DI252" s="26"/>
      <c r="DJ252" s="26"/>
      <c r="DK252" s="26"/>
      <c r="DL252" s="26"/>
      <c r="DM252" s="27"/>
      <c r="DN252" s="28"/>
      <c r="DO252" s="28"/>
      <c r="DP252" s="28"/>
      <c r="DQ252" s="28"/>
      <c r="DR252" s="25"/>
      <c r="DS252" s="26"/>
      <c r="DT252" s="26"/>
      <c r="DU252" s="26"/>
      <c r="DV252" s="26"/>
      <c r="DW252" s="27"/>
      <c r="DX252" s="28"/>
      <c r="DY252" s="28"/>
      <c r="DZ252" s="28"/>
      <c r="EA252" s="28"/>
      <c r="EB252" s="29"/>
      <c r="EC252" s="30"/>
      <c r="ED252" s="30"/>
      <c r="EE252" s="30"/>
      <c r="EF252" s="30"/>
      <c r="EG252" s="31"/>
      <c r="EH252" s="32"/>
      <c r="EI252" s="32"/>
      <c r="EJ252" s="32"/>
      <c r="EK252" s="32"/>
      <c r="EL252" s="29"/>
      <c r="EM252" s="30"/>
      <c r="EN252" s="30"/>
      <c r="EO252" s="30"/>
      <c r="EP252" s="30"/>
      <c r="EQ252" s="31"/>
      <c r="ER252" s="32"/>
      <c r="ES252" s="32"/>
      <c r="ET252" s="32"/>
      <c r="EU252" s="32"/>
      <c r="EV252" s="29"/>
      <c r="EW252" s="30"/>
      <c r="EX252" s="30"/>
      <c r="EY252" s="30"/>
      <c r="EZ252" s="30"/>
      <c r="FA252" s="31"/>
      <c r="FB252" s="32"/>
      <c r="FC252" s="32"/>
      <c r="FD252" s="32"/>
      <c r="FE252" s="32"/>
      <c r="FF252" s="29"/>
      <c r="FG252" s="30"/>
      <c r="FH252" s="30"/>
      <c r="FI252" s="30"/>
      <c r="FJ252" s="30"/>
      <c r="FK252" s="31"/>
      <c r="FL252" s="32"/>
      <c r="FM252" s="32"/>
      <c r="FN252" s="32"/>
      <c r="FO252" s="32"/>
      <c r="FP252" s="29"/>
      <c r="FQ252" s="30"/>
      <c r="FR252" s="30"/>
      <c r="FS252" s="30"/>
      <c r="FT252" s="30"/>
      <c r="FU252" s="31"/>
      <c r="FV252" s="32"/>
      <c r="FW252" s="32"/>
      <c r="FX252" s="32"/>
      <c r="FY252" s="32"/>
      <c r="FZ252" s="29"/>
      <c r="GA252" s="30"/>
      <c r="GB252" s="30"/>
      <c r="GC252" s="30"/>
      <c r="GD252" s="30"/>
    </row>
    <row r="253" spans="1:186" ht="48" x14ac:dyDescent="0.25">
      <c r="A253" s="156">
        <v>244</v>
      </c>
      <c r="B253" s="395">
        <f>'Tier 3 Intervention'!B983</f>
        <v>0</v>
      </c>
      <c r="C253" s="395"/>
      <c r="D253" s="395"/>
      <c r="E253" s="395"/>
      <c r="F253" s="395"/>
      <c r="G253" s="395"/>
      <c r="H253" s="761" t="e">
        <f>'Tier 3 Intervention'!AA983+30</f>
        <v>#VALUE!</v>
      </c>
      <c r="I253" s="761"/>
      <c r="J253" s="762" t="e">
        <f t="shared" si="4"/>
        <v>#VALUE!</v>
      </c>
      <c r="K253" s="395"/>
      <c r="L253" s="47" t="s">
        <v>1030</v>
      </c>
      <c r="M253" s="46"/>
      <c r="N253" s="46"/>
      <c r="O253" s="46"/>
      <c r="P253" s="49"/>
      <c r="Q253" s="19"/>
      <c r="R253" s="20"/>
      <c r="S253" s="20"/>
      <c r="T253" s="20"/>
      <c r="U253" s="20"/>
      <c r="V253" s="21"/>
      <c r="W253" s="22"/>
      <c r="X253" s="22"/>
      <c r="Y253" s="22"/>
      <c r="Z253" s="22"/>
      <c r="AA253" s="19"/>
      <c r="AB253" s="20"/>
      <c r="AC253" s="20"/>
      <c r="AD253" s="20"/>
      <c r="AE253" s="20"/>
      <c r="AF253" s="21"/>
      <c r="AG253" s="22"/>
      <c r="AH253" s="22"/>
      <c r="AI253" s="22"/>
      <c r="AJ253" s="22"/>
      <c r="AK253" s="19"/>
      <c r="AL253" s="20"/>
      <c r="AM253" s="20"/>
      <c r="AN253" s="20"/>
      <c r="AO253" s="20"/>
      <c r="AP253" s="21"/>
      <c r="AQ253" s="22"/>
      <c r="AR253" s="22"/>
      <c r="AS253" s="22"/>
      <c r="AT253" s="22"/>
      <c r="AU253" s="19"/>
      <c r="AV253" s="20"/>
      <c r="AW253" s="20"/>
      <c r="AX253" s="20"/>
      <c r="AY253" s="20"/>
      <c r="AZ253" s="21"/>
      <c r="BA253" s="22"/>
      <c r="BB253" s="22"/>
      <c r="BC253" s="22"/>
      <c r="BD253" s="22"/>
      <c r="BE253" s="19"/>
      <c r="BF253" s="20"/>
      <c r="BG253" s="20"/>
      <c r="BH253" s="20"/>
      <c r="BI253" s="20"/>
      <c r="BJ253" s="21"/>
      <c r="BK253" s="22"/>
      <c r="BL253" s="22"/>
      <c r="BM253" s="22"/>
      <c r="BN253" s="22"/>
      <c r="BO253" s="19"/>
      <c r="BP253" s="20"/>
      <c r="BQ253" s="20"/>
      <c r="BR253" s="20"/>
      <c r="BS253" s="20"/>
      <c r="BT253" s="21"/>
      <c r="BU253" s="22"/>
      <c r="BV253" s="22"/>
      <c r="BW253" s="22"/>
      <c r="BX253" s="22"/>
      <c r="BY253" s="23"/>
      <c r="BZ253" s="24"/>
      <c r="CA253" s="24"/>
      <c r="CB253" s="24"/>
      <c r="CC253" s="24"/>
      <c r="CD253" s="25"/>
      <c r="CE253" s="26"/>
      <c r="CF253" s="26"/>
      <c r="CG253" s="26"/>
      <c r="CH253" s="26"/>
      <c r="CI253" s="27"/>
      <c r="CJ253" s="28"/>
      <c r="CK253" s="28"/>
      <c r="CL253" s="28"/>
      <c r="CM253" s="28"/>
      <c r="CN253" s="25"/>
      <c r="CO253" s="26"/>
      <c r="CP253" s="26"/>
      <c r="CQ253" s="26"/>
      <c r="CR253" s="26"/>
      <c r="CS253" s="27"/>
      <c r="CT253" s="28"/>
      <c r="CU253" s="28"/>
      <c r="CV253" s="28"/>
      <c r="CW253" s="28"/>
      <c r="CX253" s="25"/>
      <c r="CY253" s="26"/>
      <c r="CZ253" s="26"/>
      <c r="DA253" s="26"/>
      <c r="DB253" s="26"/>
      <c r="DC253" s="27"/>
      <c r="DD253" s="28"/>
      <c r="DE253" s="28"/>
      <c r="DF253" s="28"/>
      <c r="DG253" s="28"/>
      <c r="DH253" s="25"/>
      <c r="DI253" s="26"/>
      <c r="DJ253" s="26"/>
      <c r="DK253" s="26"/>
      <c r="DL253" s="26"/>
      <c r="DM253" s="27"/>
      <c r="DN253" s="28"/>
      <c r="DO253" s="28"/>
      <c r="DP253" s="28"/>
      <c r="DQ253" s="28"/>
      <c r="DR253" s="25"/>
      <c r="DS253" s="26"/>
      <c r="DT253" s="26"/>
      <c r="DU253" s="26"/>
      <c r="DV253" s="26"/>
      <c r="DW253" s="27"/>
      <c r="DX253" s="28"/>
      <c r="DY253" s="28"/>
      <c r="DZ253" s="28"/>
      <c r="EA253" s="28"/>
      <c r="EB253" s="29"/>
      <c r="EC253" s="30"/>
      <c r="ED253" s="30"/>
      <c r="EE253" s="30"/>
      <c r="EF253" s="30"/>
      <c r="EG253" s="31"/>
      <c r="EH253" s="32"/>
      <c r="EI253" s="32"/>
      <c r="EJ253" s="32"/>
      <c r="EK253" s="32"/>
      <c r="EL253" s="29"/>
      <c r="EM253" s="30"/>
      <c r="EN253" s="30"/>
      <c r="EO253" s="30"/>
      <c r="EP253" s="30"/>
      <c r="EQ253" s="31"/>
      <c r="ER253" s="32"/>
      <c r="ES253" s="32"/>
      <c r="ET253" s="32"/>
      <c r="EU253" s="32"/>
      <c r="EV253" s="29"/>
      <c r="EW253" s="30"/>
      <c r="EX253" s="30"/>
      <c r="EY253" s="30"/>
      <c r="EZ253" s="30"/>
      <c r="FA253" s="31"/>
      <c r="FB253" s="32"/>
      <c r="FC253" s="32"/>
      <c r="FD253" s="32"/>
      <c r="FE253" s="32"/>
      <c r="FF253" s="29"/>
      <c r="FG253" s="30"/>
      <c r="FH253" s="30"/>
      <c r="FI253" s="30"/>
      <c r="FJ253" s="30"/>
      <c r="FK253" s="31"/>
      <c r="FL253" s="32"/>
      <c r="FM253" s="32"/>
      <c r="FN253" s="32"/>
      <c r="FO253" s="32"/>
      <c r="FP253" s="29"/>
      <c r="FQ253" s="30"/>
      <c r="FR253" s="30"/>
      <c r="FS253" s="30"/>
      <c r="FT253" s="30"/>
      <c r="FU253" s="31"/>
      <c r="FV253" s="32"/>
      <c r="FW253" s="32"/>
      <c r="FX253" s="32"/>
      <c r="FY253" s="32"/>
      <c r="FZ253" s="29"/>
      <c r="GA253" s="30"/>
      <c r="GB253" s="30"/>
      <c r="GC253" s="30"/>
      <c r="GD253" s="30"/>
    </row>
    <row r="254" spans="1:186" ht="48" x14ac:dyDescent="0.25">
      <c r="A254" s="156">
        <v>245</v>
      </c>
      <c r="B254" s="395">
        <f>'Tier 3 Intervention'!B987</f>
        <v>0</v>
      </c>
      <c r="C254" s="395"/>
      <c r="D254" s="395"/>
      <c r="E254" s="395"/>
      <c r="F254" s="395"/>
      <c r="G254" s="395"/>
      <c r="H254" s="761" t="e">
        <f>'Tier 3 Intervention'!AA987+30</f>
        <v>#VALUE!</v>
      </c>
      <c r="I254" s="761"/>
      <c r="J254" s="762" t="e">
        <f t="shared" si="4"/>
        <v>#VALUE!</v>
      </c>
      <c r="K254" s="395"/>
      <c r="L254" s="47" t="s">
        <v>1031</v>
      </c>
      <c r="M254" s="46"/>
      <c r="N254" s="46"/>
      <c r="O254" s="46"/>
      <c r="P254" s="49"/>
      <c r="Q254" s="19"/>
      <c r="R254" s="20"/>
      <c r="S254" s="20"/>
      <c r="T254" s="20"/>
      <c r="U254" s="20"/>
      <c r="V254" s="21"/>
      <c r="W254" s="22"/>
      <c r="X254" s="22"/>
      <c r="Y254" s="22"/>
      <c r="Z254" s="22"/>
      <c r="AA254" s="19"/>
      <c r="AB254" s="20"/>
      <c r="AC254" s="20"/>
      <c r="AD254" s="20"/>
      <c r="AE254" s="20"/>
      <c r="AF254" s="21"/>
      <c r="AG254" s="22"/>
      <c r="AH254" s="22"/>
      <c r="AI254" s="22"/>
      <c r="AJ254" s="22"/>
      <c r="AK254" s="19"/>
      <c r="AL254" s="20"/>
      <c r="AM254" s="20"/>
      <c r="AN254" s="20"/>
      <c r="AO254" s="20"/>
      <c r="AP254" s="21"/>
      <c r="AQ254" s="22"/>
      <c r="AR254" s="22"/>
      <c r="AS254" s="22"/>
      <c r="AT254" s="22"/>
      <c r="AU254" s="19"/>
      <c r="AV254" s="20"/>
      <c r="AW254" s="20"/>
      <c r="AX254" s="20"/>
      <c r="AY254" s="20"/>
      <c r="AZ254" s="21"/>
      <c r="BA254" s="22"/>
      <c r="BB254" s="22"/>
      <c r="BC254" s="22"/>
      <c r="BD254" s="22"/>
      <c r="BE254" s="19"/>
      <c r="BF254" s="20"/>
      <c r="BG254" s="20"/>
      <c r="BH254" s="20"/>
      <c r="BI254" s="20"/>
      <c r="BJ254" s="21"/>
      <c r="BK254" s="22"/>
      <c r="BL254" s="22"/>
      <c r="BM254" s="22"/>
      <c r="BN254" s="22"/>
      <c r="BO254" s="19"/>
      <c r="BP254" s="20"/>
      <c r="BQ254" s="20"/>
      <c r="BR254" s="20"/>
      <c r="BS254" s="20"/>
      <c r="BT254" s="21"/>
      <c r="BU254" s="22"/>
      <c r="BV254" s="22"/>
      <c r="BW254" s="22"/>
      <c r="BX254" s="22"/>
      <c r="BY254" s="23"/>
      <c r="BZ254" s="24"/>
      <c r="CA254" s="24"/>
      <c r="CB254" s="24"/>
      <c r="CC254" s="24"/>
      <c r="CD254" s="25"/>
      <c r="CE254" s="26"/>
      <c r="CF254" s="26"/>
      <c r="CG254" s="26"/>
      <c r="CH254" s="26"/>
      <c r="CI254" s="27"/>
      <c r="CJ254" s="28"/>
      <c r="CK254" s="28"/>
      <c r="CL254" s="28"/>
      <c r="CM254" s="28"/>
      <c r="CN254" s="25"/>
      <c r="CO254" s="26"/>
      <c r="CP254" s="26"/>
      <c r="CQ254" s="26"/>
      <c r="CR254" s="26"/>
      <c r="CS254" s="27"/>
      <c r="CT254" s="28"/>
      <c r="CU254" s="28"/>
      <c r="CV254" s="28"/>
      <c r="CW254" s="28"/>
      <c r="CX254" s="25"/>
      <c r="CY254" s="26"/>
      <c r="CZ254" s="26"/>
      <c r="DA254" s="26"/>
      <c r="DB254" s="26"/>
      <c r="DC254" s="27"/>
      <c r="DD254" s="28"/>
      <c r="DE254" s="28"/>
      <c r="DF254" s="28"/>
      <c r="DG254" s="28"/>
      <c r="DH254" s="25"/>
      <c r="DI254" s="26"/>
      <c r="DJ254" s="26"/>
      <c r="DK254" s="26"/>
      <c r="DL254" s="26"/>
      <c r="DM254" s="27"/>
      <c r="DN254" s="28"/>
      <c r="DO254" s="28"/>
      <c r="DP254" s="28"/>
      <c r="DQ254" s="28"/>
      <c r="DR254" s="25"/>
      <c r="DS254" s="26"/>
      <c r="DT254" s="26"/>
      <c r="DU254" s="26"/>
      <c r="DV254" s="26"/>
      <c r="DW254" s="27"/>
      <c r="DX254" s="28"/>
      <c r="DY254" s="28"/>
      <c r="DZ254" s="28"/>
      <c r="EA254" s="28"/>
      <c r="EB254" s="29"/>
      <c r="EC254" s="30"/>
      <c r="ED254" s="30"/>
      <c r="EE254" s="30"/>
      <c r="EF254" s="30"/>
      <c r="EG254" s="31"/>
      <c r="EH254" s="32"/>
      <c r="EI254" s="32"/>
      <c r="EJ254" s="32"/>
      <c r="EK254" s="32"/>
      <c r="EL254" s="29"/>
      <c r="EM254" s="30"/>
      <c r="EN254" s="30"/>
      <c r="EO254" s="30"/>
      <c r="EP254" s="30"/>
      <c r="EQ254" s="31"/>
      <c r="ER254" s="32"/>
      <c r="ES254" s="32"/>
      <c r="ET254" s="32"/>
      <c r="EU254" s="32"/>
      <c r="EV254" s="29"/>
      <c r="EW254" s="30"/>
      <c r="EX254" s="30"/>
      <c r="EY254" s="30"/>
      <c r="EZ254" s="30"/>
      <c r="FA254" s="31"/>
      <c r="FB254" s="32"/>
      <c r="FC254" s="32"/>
      <c r="FD254" s="32"/>
      <c r="FE254" s="32"/>
      <c r="FF254" s="29"/>
      <c r="FG254" s="30"/>
      <c r="FH254" s="30"/>
      <c r="FI254" s="30"/>
      <c r="FJ254" s="30"/>
      <c r="FK254" s="31"/>
      <c r="FL254" s="32"/>
      <c r="FM254" s="32"/>
      <c r="FN254" s="32"/>
      <c r="FO254" s="32"/>
      <c r="FP254" s="29"/>
      <c r="FQ254" s="30"/>
      <c r="FR254" s="30"/>
      <c r="FS254" s="30"/>
      <c r="FT254" s="30"/>
      <c r="FU254" s="31"/>
      <c r="FV254" s="32"/>
      <c r="FW254" s="32"/>
      <c r="FX254" s="32"/>
      <c r="FY254" s="32"/>
      <c r="FZ254" s="29"/>
      <c r="GA254" s="30"/>
      <c r="GB254" s="30"/>
      <c r="GC254" s="30"/>
      <c r="GD254" s="30"/>
    </row>
    <row r="255" spans="1:186" ht="48" x14ac:dyDescent="0.25">
      <c r="A255" s="156">
        <v>246</v>
      </c>
      <c r="B255" s="395">
        <f>'Tier 3 Intervention'!B991</f>
        <v>0</v>
      </c>
      <c r="C255" s="395"/>
      <c r="D255" s="395"/>
      <c r="E255" s="395"/>
      <c r="F255" s="395"/>
      <c r="G255" s="395"/>
      <c r="H255" s="761" t="e">
        <f>'Tier 3 Intervention'!AA991+30</f>
        <v>#VALUE!</v>
      </c>
      <c r="I255" s="761"/>
      <c r="J255" s="762" t="e">
        <f t="shared" si="4"/>
        <v>#VALUE!</v>
      </c>
      <c r="K255" s="395"/>
      <c r="L255" s="47" t="s">
        <v>1032</v>
      </c>
      <c r="M255" s="46"/>
      <c r="N255" s="46"/>
      <c r="O255" s="46"/>
      <c r="P255" s="49"/>
      <c r="Q255" s="19"/>
      <c r="R255" s="20"/>
      <c r="S255" s="20"/>
      <c r="T255" s="20"/>
      <c r="U255" s="20"/>
      <c r="V255" s="21"/>
      <c r="W255" s="22"/>
      <c r="X255" s="22"/>
      <c r="Y255" s="22"/>
      <c r="Z255" s="22"/>
      <c r="AA255" s="19"/>
      <c r="AB255" s="20"/>
      <c r="AC255" s="20"/>
      <c r="AD255" s="20"/>
      <c r="AE255" s="20"/>
      <c r="AF255" s="21"/>
      <c r="AG255" s="22"/>
      <c r="AH255" s="22"/>
      <c r="AI255" s="22"/>
      <c r="AJ255" s="22"/>
      <c r="AK255" s="19"/>
      <c r="AL255" s="20"/>
      <c r="AM255" s="20"/>
      <c r="AN255" s="20"/>
      <c r="AO255" s="20"/>
      <c r="AP255" s="21"/>
      <c r="AQ255" s="22"/>
      <c r="AR255" s="22"/>
      <c r="AS255" s="22"/>
      <c r="AT255" s="22"/>
      <c r="AU255" s="19"/>
      <c r="AV255" s="20"/>
      <c r="AW255" s="20"/>
      <c r="AX255" s="20"/>
      <c r="AY255" s="20"/>
      <c r="AZ255" s="21"/>
      <c r="BA255" s="22"/>
      <c r="BB255" s="22"/>
      <c r="BC255" s="22"/>
      <c r="BD255" s="22"/>
      <c r="BE255" s="19"/>
      <c r="BF255" s="20"/>
      <c r="BG255" s="20"/>
      <c r="BH255" s="20"/>
      <c r="BI255" s="20"/>
      <c r="BJ255" s="21"/>
      <c r="BK255" s="22"/>
      <c r="BL255" s="22"/>
      <c r="BM255" s="22"/>
      <c r="BN255" s="22"/>
      <c r="BO255" s="19"/>
      <c r="BP255" s="20"/>
      <c r="BQ255" s="20"/>
      <c r="BR255" s="20"/>
      <c r="BS255" s="20"/>
      <c r="BT255" s="21"/>
      <c r="BU255" s="22"/>
      <c r="BV255" s="22"/>
      <c r="BW255" s="22"/>
      <c r="BX255" s="22"/>
      <c r="BY255" s="23"/>
      <c r="BZ255" s="24"/>
      <c r="CA255" s="24"/>
      <c r="CB255" s="24"/>
      <c r="CC255" s="24"/>
      <c r="CD255" s="25"/>
      <c r="CE255" s="26"/>
      <c r="CF255" s="26"/>
      <c r="CG255" s="26"/>
      <c r="CH255" s="26"/>
      <c r="CI255" s="27"/>
      <c r="CJ255" s="28"/>
      <c r="CK255" s="28"/>
      <c r="CL255" s="28"/>
      <c r="CM255" s="28"/>
      <c r="CN255" s="25"/>
      <c r="CO255" s="26"/>
      <c r="CP255" s="26"/>
      <c r="CQ255" s="26"/>
      <c r="CR255" s="26"/>
      <c r="CS255" s="27"/>
      <c r="CT255" s="28"/>
      <c r="CU255" s="28"/>
      <c r="CV255" s="28"/>
      <c r="CW255" s="28"/>
      <c r="CX255" s="25"/>
      <c r="CY255" s="26"/>
      <c r="CZ255" s="26"/>
      <c r="DA255" s="26"/>
      <c r="DB255" s="26"/>
      <c r="DC255" s="27"/>
      <c r="DD255" s="28"/>
      <c r="DE255" s="28"/>
      <c r="DF255" s="28"/>
      <c r="DG255" s="28"/>
      <c r="DH255" s="25"/>
      <c r="DI255" s="26"/>
      <c r="DJ255" s="26"/>
      <c r="DK255" s="26"/>
      <c r="DL255" s="26"/>
      <c r="DM255" s="27"/>
      <c r="DN255" s="28"/>
      <c r="DO255" s="28"/>
      <c r="DP255" s="28"/>
      <c r="DQ255" s="28"/>
      <c r="DR255" s="25"/>
      <c r="DS255" s="26"/>
      <c r="DT255" s="26"/>
      <c r="DU255" s="26"/>
      <c r="DV255" s="26"/>
      <c r="DW255" s="27"/>
      <c r="DX255" s="28"/>
      <c r="DY255" s="28"/>
      <c r="DZ255" s="28"/>
      <c r="EA255" s="28"/>
      <c r="EB255" s="29"/>
      <c r="EC255" s="30"/>
      <c r="ED255" s="30"/>
      <c r="EE255" s="30"/>
      <c r="EF255" s="30"/>
      <c r="EG255" s="31"/>
      <c r="EH255" s="32"/>
      <c r="EI255" s="32"/>
      <c r="EJ255" s="32"/>
      <c r="EK255" s="32"/>
      <c r="EL255" s="29"/>
      <c r="EM255" s="30"/>
      <c r="EN255" s="30"/>
      <c r="EO255" s="30"/>
      <c r="EP255" s="30"/>
      <c r="EQ255" s="31"/>
      <c r="ER255" s="32"/>
      <c r="ES255" s="32"/>
      <c r="ET255" s="32"/>
      <c r="EU255" s="32"/>
      <c r="EV255" s="29"/>
      <c r="EW255" s="30"/>
      <c r="EX255" s="30"/>
      <c r="EY255" s="30"/>
      <c r="EZ255" s="30"/>
      <c r="FA255" s="31"/>
      <c r="FB255" s="32"/>
      <c r="FC255" s="32"/>
      <c r="FD255" s="32"/>
      <c r="FE255" s="32"/>
      <c r="FF255" s="29"/>
      <c r="FG255" s="30"/>
      <c r="FH255" s="30"/>
      <c r="FI255" s="30"/>
      <c r="FJ255" s="30"/>
      <c r="FK255" s="31"/>
      <c r="FL255" s="32"/>
      <c r="FM255" s="32"/>
      <c r="FN255" s="32"/>
      <c r="FO255" s="32"/>
      <c r="FP255" s="29"/>
      <c r="FQ255" s="30"/>
      <c r="FR255" s="30"/>
      <c r="FS255" s="30"/>
      <c r="FT255" s="30"/>
      <c r="FU255" s="31"/>
      <c r="FV255" s="32"/>
      <c r="FW255" s="32"/>
      <c r="FX255" s="32"/>
      <c r="FY255" s="32"/>
      <c r="FZ255" s="29"/>
      <c r="GA255" s="30"/>
      <c r="GB255" s="30"/>
      <c r="GC255" s="30"/>
      <c r="GD255" s="30"/>
    </row>
    <row r="256" spans="1:186" ht="48" x14ac:dyDescent="0.25">
      <c r="A256" s="156">
        <v>247</v>
      </c>
      <c r="B256" s="395">
        <f>'Tier 3 Intervention'!B995</f>
        <v>0</v>
      </c>
      <c r="C256" s="395"/>
      <c r="D256" s="395"/>
      <c r="E256" s="395"/>
      <c r="F256" s="395"/>
      <c r="G256" s="395"/>
      <c r="H256" s="761" t="e">
        <f>'Tier 3 Intervention'!AA995+30</f>
        <v>#VALUE!</v>
      </c>
      <c r="I256" s="761"/>
      <c r="J256" s="762" t="e">
        <f t="shared" si="4"/>
        <v>#VALUE!</v>
      </c>
      <c r="K256" s="395"/>
      <c r="L256" s="47" t="s">
        <v>1033</v>
      </c>
      <c r="M256" s="46"/>
      <c r="N256" s="46"/>
      <c r="O256" s="46"/>
      <c r="P256" s="49"/>
      <c r="Q256" s="19"/>
      <c r="R256" s="20"/>
      <c r="S256" s="20"/>
      <c r="T256" s="20"/>
      <c r="U256" s="20"/>
      <c r="V256" s="21"/>
      <c r="W256" s="22"/>
      <c r="X256" s="22"/>
      <c r="Y256" s="22"/>
      <c r="Z256" s="22"/>
      <c r="AA256" s="19"/>
      <c r="AB256" s="20"/>
      <c r="AC256" s="20"/>
      <c r="AD256" s="20"/>
      <c r="AE256" s="20"/>
      <c r="AF256" s="21"/>
      <c r="AG256" s="22"/>
      <c r="AH256" s="22"/>
      <c r="AI256" s="22"/>
      <c r="AJ256" s="22"/>
      <c r="AK256" s="19"/>
      <c r="AL256" s="20"/>
      <c r="AM256" s="20"/>
      <c r="AN256" s="20"/>
      <c r="AO256" s="20"/>
      <c r="AP256" s="21"/>
      <c r="AQ256" s="22"/>
      <c r="AR256" s="22"/>
      <c r="AS256" s="22"/>
      <c r="AT256" s="22"/>
      <c r="AU256" s="19"/>
      <c r="AV256" s="20"/>
      <c r="AW256" s="20"/>
      <c r="AX256" s="20"/>
      <c r="AY256" s="20"/>
      <c r="AZ256" s="21"/>
      <c r="BA256" s="22"/>
      <c r="BB256" s="22"/>
      <c r="BC256" s="22"/>
      <c r="BD256" s="22"/>
      <c r="BE256" s="19"/>
      <c r="BF256" s="20"/>
      <c r="BG256" s="20"/>
      <c r="BH256" s="20"/>
      <c r="BI256" s="20"/>
      <c r="BJ256" s="21"/>
      <c r="BK256" s="22"/>
      <c r="BL256" s="22"/>
      <c r="BM256" s="22"/>
      <c r="BN256" s="22"/>
      <c r="BO256" s="19"/>
      <c r="BP256" s="20"/>
      <c r="BQ256" s="20"/>
      <c r="BR256" s="20"/>
      <c r="BS256" s="20"/>
      <c r="BT256" s="21"/>
      <c r="BU256" s="22"/>
      <c r="BV256" s="22"/>
      <c r="BW256" s="22"/>
      <c r="BX256" s="22"/>
      <c r="BY256" s="23"/>
      <c r="BZ256" s="24"/>
      <c r="CA256" s="24"/>
      <c r="CB256" s="24"/>
      <c r="CC256" s="24"/>
      <c r="CD256" s="25"/>
      <c r="CE256" s="26"/>
      <c r="CF256" s="26"/>
      <c r="CG256" s="26"/>
      <c r="CH256" s="26"/>
      <c r="CI256" s="27"/>
      <c r="CJ256" s="28"/>
      <c r="CK256" s="28"/>
      <c r="CL256" s="28"/>
      <c r="CM256" s="28"/>
      <c r="CN256" s="25"/>
      <c r="CO256" s="26"/>
      <c r="CP256" s="26"/>
      <c r="CQ256" s="26"/>
      <c r="CR256" s="26"/>
      <c r="CS256" s="27"/>
      <c r="CT256" s="28"/>
      <c r="CU256" s="28"/>
      <c r="CV256" s="28"/>
      <c r="CW256" s="28"/>
      <c r="CX256" s="25"/>
      <c r="CY256" s="26"/>
      <c r="CZ256" s="26"/>
      <c r="DA256" s="26"/>
      <c r="DB256" s="26"/>
      <c r="DC256" s="27"/>
      <c r="DD256" s="28"/>
      <c r="DE256" s="28"/>
      <c r="DF256" s="28"/>
      <c r="DG256" s="28"/>
      <c r="DH256" s="25"/>
      <c r="DI256" s="26"/>
      <c r="DJ256" s="26"/>
      <c r="DK256" s="26"/>
      <c r="DL256" s="26"/>
      <c r="DM256" s="27"/>
      <c r="DN256" s="28"/>
      <c r="DO256" s="28"/>
      <c r="DP256" s="28"/>
      <c r="DQ256" s="28"/>
      <c r="DR256" s="25"/>
      <c r="DS256" s="26"/>
      <c r="DT256" s="26"/>
      <c r="DU256" s="26"/>
      <c r="DV256" s="26"/>
      <c r="DW256" s="27"/>
      <c r="DX256" s="28"/>
      <c r="DY256" s="28"/>
      <c r="DZ256" s="28"/>
      <c r="EA256" s="28"/>
      <c r="EB256" s="29"/>
      <c r="EC256" s="30"/>
      <c r="ED256" s="30"/>
      <c r="EE256" s="30"/>
      <c r="EF256" s="30"/>
      <c r="EG256" s="31"/>
      <c r="EH256" s="32"/>
      <c r="EI256" s="32"/>
      <c r="EJ256" s="32"/>
      <c r="EK256" s="32"/>
      <c r="EL256" s="29"/>
      <c r="EM256" s="30"/>
      <c r="EN256" s="30"/>
      <c r="EO256" s="30"/>
      <c r="EP256" s="30"/>
      <c r="EQ256" s="31"/>
      <c r="ER256" s="32"/>
      <c r="ES256" s="32"/>
      <c r="ET256" s="32"/>
      <c r="EU256" s="32"/>
      <c r="EV256" s="29"/>
      <c r="EW256" s="30"/>
      <c r="EX256" s="30"/>
      <c r="EY256" s="30"/>
      <c r="EZ256" s="30"/>
      <c r="FA256" s="31"/>
      <c r="FB256" s="32"/>
      <c r="FC256" s="32"/>
      <c r="FD256" s="32"/>
      <c r="FE256" s="32"/>
      <c r="FF256" s="29"/>
      <c r="FG256" s="30"/>
      <c r="FH256" s="30"/>
      <c r="FI256" s="30"/>
      <c r="FJ256" s="30"/>
      <c r="FK256" s="31"/>
      <c r="FL256" s="32"/>
      <c r="FM256" s="32"/>
      <c r="FN256" s="32"/>
      <c r="FO256" s="32"/>
      <c r="FP256" s="29"/>
      <c r="FQ256" s="30"/>
      <c r="FR256" s="30"/>
      <c r="FS256" s="30"/>
      <c r="FT256" s="30"/>
      <c r="FU256" s="31"/>
      <c r="FV256" s="32"/>
      <c r="FW256" s="32"/>
      <c r="FX256" s="32"/>
      <c r="FY256" s="32"/>
      <c r="FZ256" s="29"/>
      <c r="GA256" s="30"/>
      <c r="GB256" s="30"/>
      <c r="GC256" s="30"/>
      <c r="GD256" s="30"/>
    </row>
    <row r="257" spans="1:186" ht="48" x14ac:dyDescent="0.25">
      <c r="A257" s="156">
        <v>248</v>
      </c>
      <c r="B257" s="395">
        <f>'Tier 3 Intervention'!B999</f>
        <v>0</v>
      </c>
      <c r="C257" s="395"/>
      <c r="D257" s="395"/>
      <c r="E257" s="395"/>
      <c r="F257" s="395"/>
      <c r="G257" s="395"/>
      <c r="H257" s="761" t="e">
        <f>'Tier 3 Intervention'!AA999+30</f>
        <v>#VALUE!</v>
      </c>
      <c r="I257" s="761"/>
      <c r="J257" s="762" t="e">
        <f t="shared" si="4"/>
        <v>#VALUE!</v>
      </c>
      <c r="K257" s="395"/>
      <c r="L257" s="47" t="s">
        <v>1034</v>
      </c>
      <c r="M257" s="46"/>
      <c r="N257" s="46"/>
      <c r="O257" s="46"/>
      <c r="P257" s="49"/>
      <c r="Q257" s="19"/>
      <c r="R257" s="20"/>
      <c r="S257" s="20"/>
      <c r="T257" s="20"/>
      <c r="U257" s="20"/>
      <c r="V257" s="21"/>
      <c r="W257" s="22"/>
      <c r="X257" s="22"/>
      <c r="Y257" s="22"/>
      <c r="Z257" s="22"/>
      <c r="AA257" s="19"/>
      <c r="AB257" s="20"/>
      <c r="AC257" s="20"/>
      <c r="AD257" s="20"/>
      <c r="AE257" s="20"/>
      <c r="AF257" s="21"/>
      <c r="AG257" s="22"/>
      <c r="AH257" s="22"/>
      <c r="AI257" s="22"/>
      <c r="AJ257" s="22"/>
      <c r="AK257" s="19"/>
      <c r="AL257" s="20"/>
      <c r="AM257" s="20"/>
      <c r="AN257" s="20"/>
      <c r="AO257" s="20"/>
      <c r="AP257" s="21"/>
      <c r="AQ257" s="22"/>
      <c r="AR257" s="22"/>
      <c r="AS257" s="22"/>
      <c r="AT257" s="22"/>
      <c r="AU257" s="19"/>
      <c r="AV257" s="20"/>
      <c r="AW257" s="20"/>
      <c r="AX257" s="20"/>
      <c r="AY257" s="20"/>
      <c r="AZ257" s="21"/>
      <c r="BA257" s="22"/>
      <c r="BB257" s="22"/>
      <c r="BC257" s="22"/>
      <c r="BD257" s="22"/>
      <c r="BE257" s="19"/>
      <c r="BF257" s="20"/>
      <c r="BG257" s="20"/>
      <c r="BH257" s="20"/>
      <c r="BI257" s="20"/>
      <c r="BJ257" s="21"/>
      <c r="BK257" s="22"/>
      <c r="BL257" s="22"/>
      <c r="BM257" s="22"/>
      <c r="BN257" s="22"/>
      <c r="BO257" s="19"/>
      <c r="BP257" s="20"/>
      <c r="BQ257" s="20"/>
      <c r="BR257" s="20"/>
      <c r="BS257" s="20"/>
      <c r="BT257" s="21"/>
      <c r="BU257" s="22"/>
      <c r="BV257" s="22"/>
      <c r="BW257" s="22"/>
      <c r="BX257" s="22"/>
      <c r="BY257" s="23"/>
      <c r="BZ257" s="24"/>
      <c r="CA257" s="24"/>
      <c r="CB257" s="24"/>
      <c r="CC257" s="24"/>
      <c r="CD257" s="25"/>
      <c r="CE257" s="26"/>
      <c r="CF257" s="26"/>
      <c r="CG257" s="26"/>
      <c r="CH257" s="26"/>
      <c r="CI257" s="27"/>
      <c r="CJ257" s="28"/>
      <c r="CK257" s="28"/>
      <c r="CL257" s="28"/>
      <c r="CM257" s="28"/>
      <c r="CN257" s="25"/>
      <c r="CO257" s="26"/>
      <c r="CP257" s="26"/>
      <c r="CQ257" s="26"/>
      <c r="CR257" s="26"/>
      <c r="CS257" s="27"/>
      <c r="CT257" s="28"/>
      <c r="CU257" s="28"/>
      <c r="CV257" s="28"/>
      <c r="CW257" s="28"/>
      <c r="CX257" s="25"/>
      <c r="CY257" s="26"/>
      <c r="CZ257" s="26"/>
      <c r="DA257" s="26"/>
      <c r="DB257" s="26"/>
      <c r="DC257" s="27"/>
      <c r="DD257" s="28"/>
      <c r="DE257" s="28"/>
      <c r="DF257" s="28"/>
      <c r="DG257" s="28"/>
      <c r="DH257" s="25"/>
      <c r="DI257" s="26"/>
      <c r="DJ257" s="26"/>
      <c r="DK257" s="26"/>
      <c r="DL257" s="26"/>
      <c r="DM257" s="27"/>
      <c r="DN257" s="28"/>
      <c r="DO257" s="28"/>
      <c r="DP257" s="28"/>
      <c r="DQ257" s="28"/>
      <c r="DR257" s="25"/>
      <c r="DS257" s="26"/>
      <c r="DT257" s="26"/>
      <c r="DU257" s="26"/>
      <c r="DV257" s="26"/>
      <c r="DW257" s="27"/>
      <c r="DX257" s="28"/>
      <c r="DY257" s="28"/>
      <c r="DZ257" s="28"/>
      <c r="EA257" s="28"/>
      <c r="EB257" s="29"/>
      <c r="EC257" s="30"/>
      <c r="ED257" s="30"/>
      <c r="EE257" s="30"/>
      <c r="EF257" s="30"/>
      <c r="EG257" s="31"/>
      <c r="EH257" s="32"/>
      <c r="EI257" s="32"/>
      <c r="EJ257" s="32"/>
      <c r="EK257" s="32"/>
      <c r="EL257" s="29"/>
      <c r="EM257" s="30"/>
      <c r="EN257" s="30"/>
      <c r="EO257" s="30"/>
      <c r="EP257" s="30"/>
      <c r="EQ257" s="31"/>
      <c r="ER257" s="32"/>
      <c r="ES257" s="32"/>
      <c r="ET257" s="32"/>
      <c r="EU257" s="32"/>
      <c r="EV257" s="29"/>
      <c r="EW257" s="30"/>
      <c r="EX257" s="30"/>
      <c r="EY257" s="30"/>
      <c r="EZ257" s="30"/>
      <c r="FA257" s="31"/>
      <c r="FB257" s="32"/>
      <c r="FC257" s="32"/>
      <c r="FD257" s="32"/>
      <c r="FE257" s="32"/>
      <c r="FF257" s="29"/>
      <c r="FG257" s="30"/>
      <c r="FH257" s="30"/>
      <c r="FI257" s="30"/>
      <c r="FJ257" s="30"/>
      <c r="FK257" s="31"/>
      <c r="FL257" s="32"/>
      <c r="FM257" s="32"/>
      <c r="FN257" s="32"/>
      <c r="FO257" s="32"/>
      <c r="FP257" s="29"/>
      <c r="FQ257" s="30"/>
      <c r="FR257" s="30"/>
      <c r="FS257" s="30"/>
      <c r="FT257" s="30"/>
      <c r="FU257" s="31"/>
      <c r="FV257" s="32"/>
      <c r="FW257" s="32"/>
      <c r="FX257" s="32"/>
      <c r="FY257" s="32"/>
      <c r="FZ257" s="29"/>
      <c r="GA257" s="30"/>
      <c r="GB257" s="30"/>
      <c r="GC257" s="30"/>
      <c r="GD257" s="30"/>
    </row>
    <row r="258" spans="1:186" ht="48" x14ac:dyDescent="0.25">
      <c r="A258" s="156">
        <v>249</v>
      </c>
      <c r="B258" s="395">
        <f>'Tier 3 Intervention'!B1003</f>
        <v>0</v>
      </c>
      <c r="C258" s="395"/>
      <c r="D258" s="395"/>
      <c r="E258" s="395"/>
      <c r="F258" s="395"/>
      <c r="G258" s="395"/>
      <c r="H258" s="761" t="e">
        <f>'Tier 3 Intervention'!AA1003+30</f>
        <v>#VALUE!</v>
      </c>
      <c r="I258" s="761"/>
      <c r="J258" s="762" t="e">
        <f t="shared" si="4"/>
        <v>#VALUE!</v>
      </c>
      <c r="K258" s="395"/>
      <c r="L258" s="47" t="s">
        <v>1035</v>
      </c>
      <c r="M258" s="46"/>
      <c r="N258" s="46"/>
      <c r="O258" s="46"/>
      <c r="P258" s="49"/>
      <c r="Q258" s="19"/>
      <c r="R258" s="20"/>
      <c r="S258" s="20"/>
      <c r="T258" s="20"/>
      <c r="U258" s="20"/>
      <c r="V258" s="21"/>
      <c r="W258" s="22"/>
      <c r="X258" s="22"/>
      <c r="Y258" s="22"/>
      <c r="Z258" s="22"/>
      <c r="AA258" s="19"/>
      <c r="AB258" s="20"/>
      <c r="AC258" s="20"/>
      <c r="AD258" s="20"/>
      <c r="AE258" s="20"/>
      <c r="AF258" s="21"/>
      <c r="AG258" s="22"/>
      <c r="AH258" s="22"/>
      <c r="AI258" s="22"/>
      <c r="AJ258" s="22"/>
      <c r="AK258" s="19"/>
      <c r="AL258" s="20"/>
      <c r="AM258" s="20"/>
      <c r="AN258" s="20"/>
      <c r="AO258" s="20"/>
      <c r="AP258" s="21"/>
      <c r="AQ258" s="22"/>
      <c r="AR258" s="22"/>
      <c r="AS258" s="22"/>
      <c r="AT258" s="22"/>
      <c r="AU258" s="19"/>
      <c r="AV258" s="20"/>
      <c r="AW258" s="20"/>
      <c r="AX258" s="20"/>
      <c r="AY258" s="20"/>
      <c r="AZ258" s="21"/>
      <c r="BA258" s="22"/>
      <c r="BB258" s="22"/>
      <c r="BC258" s="22"/>
      <c r="BD258" s="22"/>
      <c r="BE258" s="19"/>
      <c r="BF258" s="20"/>
      <c r="BG258" s="20"/>
      <c r="BH258" s="20"/>
      <c r="BI258" s="20"/>
      <c r="BJ258" s="21"/>
      <c r="BK258" s="22"/>
      <c r="BL258" s="22"/>
      <c r="BM258" s="22"/>
      <c r="BN258" s="22"/>
      <c r="BO258" s="19"/>
      <c r="BP258" s="20"/>
      <c r="BQ258" s="20"/>
      <c r="BR258" s="20"/>
      <c r="BS258" s="20"/>
      <c r="BT258" s="21"/>
      <c r="BU258" s="22"/>
      <c r="BV258" s="22"/>
      <c r="BW258" s="22"/>
      <c r="BX258" s="22"/>
      <c r="BY258" s="23"/>
      <c r="BZ258" s="24"/>
      <c r="CA258" s="24"/>
      <c r="CB258" s="24"/>
      <c r="CC258" s="24"/>
      <c r="CD258" s="25"/>
      <c r="CE258" s="26"/>
      <c r="CF258" s="26"/>
      <c r="CG258" s="26"/>
      <c r="CH258" s="26"/>
      <c r="CI258" s="27"/>
      <c r="CJ258" s="28"/>
      <c r="CK258" s="28"/>
      <c r="CL258" s="28"/>
      <c r="CM258" s="28"/>
      <c r="CN258" s="25"/>
      <c r="CO258" s="26"/>
      <c r="CP258" s="26"/>
      <c r="CQ258" s="26"/>
      <c r="CR258" s="26"/>
      <c r="CS258" s="27"/>
      <c r="CT258" s="28"/>
      <c r="CU258" s="28"/>
      <c r="CV258" s="28"/>
      <c r="CW258" s="28"/>
      <c r="CX258" s="25"/>
      <c r="CY258" s="26"/>
      <c r="CZ258" s="26"/>
      <c r="DA258" s="26"/>
      <c r="DB258" s="26"/>
      <c r="DC258" s="27"/>
      <c r="DD258" s="28"/>
      <c r="DE258" s="28"/>
      <c r="DF258" s="28"/>
      <c r="DG258" s="28"/>
      <c r="DH258" s="25"/>
      <c r="DI258" s="26"/>
      <c r="DJ258" s="26"/>
      <c r="DK258" s="26"/>
      <c r="DL258" s="26"/>
      <c r="DM258" s="27"/>
      <c r="DN258" s="28"/>
      <c r="DO258" s="28"/>
      <c r="DP258" s="28"/>
      <c r="DQ258" s="28"/>
      <c r="DR258" s="25"/>
      <c r="DS258" s="26"/>
      <c r="DT258" s="26"/>
      <c r="DU258" s="26"/>
      <c r="DV258" s="26"/>
      <c r="DW258" s="27"/>
      <c r="DX258" s="28"/>
      <c r="DY258" s="28"/>
      <c r="DZ258" s="28"/>
      <c r="EA258" s="28"/>
      <c r="EB258" s="29"/>
      <c r="EC258" s="30"/>
      <c r="ED258" s="30"/>
      <c r="EE258" s="30"/>
      <c r="EF258" s="30"/>
      <c r="EG258" s="31"/>
      <c r="EH258" s="32"/>
      <c r="EI258" s="32"/>
      <c r="EJ258" s="32"/>
      <c r="EK258" s="32"/>
      <c r="EL258" s="29"/>
      <c r="EM258" s="30"/>
      <c r="EN258" s="30"/>
      <c r="EO258" s="30"/>
      <c r="EP258" s="30"/>
      <c r="EQ258" s="31"/>
      <c r="ER258" s="32"/>
      <c r="ES258" s="32"/>
      <c r="ET258" s="32"/>
      <c r="EU258" s="32"/>
      <c r="EV258" s="29"/>
      <c r="EW258" s="30"/>
      <c r="EX258" s="30"/>
      <c r="EY258" s="30"/>
      <c r="EZ258" s="30"/>
      <c r="FA258" s="31"/>
      <c r="FB258" s="32"/>
      <c r="FC258" s="32"/>
      <c r="FD258" s="32"/>
      <c r="FE258" s="32"/>
      <c r="FF258" s="29"/>
      <c r="FG258" s="30"/>
      <c r="FH258" s="30"/>
      <c r="FI258" s="30"/>
      <c r="FJ258" s="30"/>
      <c r="FK258" s="31"/>
      <c r="FL258" s="32"/>
      <c r="FM258" s="32"/>
      <c r="FN258" s="32"/>
      <c r="FO258" s="32"/>
      <c r="FP258" s="29"/>
      <c r="FQ258" s="30"/>
      <c r="FR258" s="30"/>
      <c r="FS258" s="30"/>
      <c r="FT258" s="30"/>
      <c r="FU258" s="31"/>
      <c r="FV258" s="32"/>
      <c r="FW258" s="32"/>
      <c r="FX258" s="32"/>
      <c r="FY258" s="32"/>
      <c r="FZ258" s="29"/>
      <c r="GA258" s="30"/>
      <c r="GB258" s="30"/>
      <c r="GC258" s="30"/>
      <c r="GD258" s="30"/>
    </row>
    <row r="259" spans="1:186" ht="48" x14ac:dyDescent="0.25">
      <c r="A259" s="156">
        <v>250</v>
      </c>
      <c r="B259" s="395">
        <f>'Tier 3 Intervention'!B1007</f>
        <v>0</v>
      </c>
      <c r="C259" s="395"/>
      <c r="D259" s="395"/>
      <c r="E259" s="395"/>
      <c r="F259" s="395"/>
      <c r="G259" s="395"/>
      <c r="H259" s="761" t="e">
        <f>'Tier 3 Intervention'!AA1007+30</f>
        <v>#VALUE!</v>
      </c>
      <c r="I259" s="761"/>
      <c r="J259" s="762" t="e">
        <f t="shared" si="4"/>
        <v>#VALUE!</v>
      </c>
      <c r="K259" s="395"/>
      <c r="L259" s="47" t="s">
        <v>1036</v>
      </c>
      <c r="M259" s="46"/>
      <c r="N259" s="46"/>
      <c r="O259" s="46"/>
      <c r="P259" s="49"/>
      <c r="Q259" s="19"/>
      <c r="R259" s="20"/>
      <c r="S259" s="20"/>
      <c r="T259" s="20"/>
      <c r="U259" s="20"/>
      <c r="V259" s="21"/>
      <c r="W259" s="22"/>
      <c r="X259" s="22"/>
      <c r="Y259" s="22"/>
      <c r="Z259" s="22"/>
      <c r="AA259" s="19"/>
      <c r="AB259" s="20"/>
      <c r="AC259" s="20"/>
      <c r="AD259" s="20"/>
      <c r="AE259" s="20"/>
      <c r="AF259" s="21"/>
      <c r="AG259" s="22"/>
      <c r="AH259" s="22"/>
      <c r="AI259" s="22"/>
      <c r="AJ259" s="22"/>
      <c r="AK259" s="19"/>
      <c r="AL259" s="20"/>
      <c r="AM259" s="20"/>
      <c r="AN259" s="20"/>
      <c r="AO259" s="20"/>
      <c r="AP259" s="21"/>
      <c r="AQ259" s="22"/>
      <c r="AR259" s="22"/>
      <c r="AS259" s="22"/>
      <c r="AT259" s="22"/>
      <c r="AU259" s="19"/>
      <c r="AV259" s="20"/>
      <c r="AW259" s="20"/>
      <c r="AX259" s="20"/>
      <c r="AY259" s="20"/>
      <c r="AZ259" s="21"/>
      <c r="BA259" s="22"/>
      <c r="BB259" s="22"/>
      <c r="BC259" s="22"/>
      <c r="BD259" s="22"/>
      <c r="BE259" s="19"/>
      <c r="BF259" s="20"/>
      <c r="BG259" s="20"/>
      <c r="BH259" s="20"/>
      <c r="BI259" s="20"/>
      <c r="BJ259" s="21"/>
      <c r="BK259" s="22"/>
      <c r="BL259" s="22"/>
      <c r="BM259" s="22"/>
      <c r="BN259" s="22"/>
      <c r="BO259" s="19"/>
      <c r="BP259" s="20"/>
      <c r="BQ259" s="20"/>
      <c r="BR259" s="20"/>
      <c r="BS259" s="20"/>
      <c r="BT259" s="21"/>
      <c r="BU259" s="22"/>
      <c r="BV259" s="22"/>
      <c r="BW259" s="22"/>
      <c r="BX259" s="22"/>
      <c r="BY259" s="23"/>
      <c r="BZ259" s="24"/>
      <c r="CA259" s="24"/>
      <c r="CB259" s="24"/>
      <c r="CC259" s="24"/>
      <c r="CD259" s="25"/>
      <c r="CE259" s="26"/>
      <c r="CF259" s="26"/>
      <c r="CG259" s="26"/>
      <c r="CH259" s="26"/>
      <c r="CI259" s="27"/>
      <c r="CJ259" s="28"/>
      <c r="CK259" s="28"/>
      <c r="CL259" s="28"/>
      <c r="CM259" s="28"/>
      <c r="CN259" s="25"/>
      <c r="CO259" s="26"/>
      <c r="CP259" s="26"/>
      <c r="CQ259" s="26"/>
      <c r="CR259" s="26"/>
      <c r="CS259" s="27"/>
      <c r="CT259" s="28"/>
      <c r="CU259" s="28"/>
      <c r="CV259" s="28"/>
      <c r="CW259" s="28"/>
      <c r="CX259" s="25"/>
      <c r="CY259" s="26"/>
      <c r="CZ259" s="26"/>
      <c r="DA259" s="26"/>
      <c r="DB259" s="26"/>
      <c r="DC259" s="27"/>
      <c r="DD259" s="28"/>
      <c r="DE259" s="28"/>
      <c r="DF259" s="28"/>
      <c r="DG259" s="28"/>
      <c r="DH259" s="25"/>
      <c r="DI259" s="26"/>
      <c r="DJ259" s="26"/>
      <c r="DK259" s="26"/>
      <c r="DL259" s="26"/>
      <c r="DM259" s="27"/>
      <c r="DN259" s="28"/>
      <c r="DO259" s="28"/>
      <c r="DP259" s="28"/>
      <c r="DQ259" s="28"/>
      <c r="DR259" s="25"/>
      <c r="DS259" s="26"/>
      <c r="DT259" s="26"/>
      <c r="DU259" s="26"/>
      <c r="DV259" s="26"/>
      <c r="DW259" s="27"/>
      <c r="DX259" s="28"/>
      <c r="DY259" s="28"/>
      <c r="DZ259" s="28"/>
      <c r="EA259" s="28"/>
      <c r="EB259" s="29"/>
      <c r="EC259" s="30"/>
      <c r="ED259" s="30"/>
      <c r="EE259" s="30"/>
      <c r="EF259" s="30"/>
      <c r="EG259" s="31"/>
      <c r="EH259" s="32"/>
      <c r="EI259" s="32"/>
      <c r="EJ259" s="32"/>
      <c r="EK259" s="32"/>
      <c r="EL259" s="29"/>
      <c r="EM259" s="30"/>
      <c r="EN259" s="30"/>
      <c r="EO259" s="30"/>
      <c r="EP259" s="30"/>
      <c r="EQ259" s="31"/>
      <c r="ER259" s="32"/>
      <c r="ES259" s="32"/>
      <c r="ET259" s="32"/>
      <c r="EU259" s="32"/>
      <c r="EV259" s="29"/>
      <c r="EW259" s="30"/>
      <c r="EX259" s="30"/>
      <c r="EY259" s="30"/>
      <c r="EZ259" s="30"/>
      <c r="FA259" s="31"/>
      <c r="FB259" s="32"/>
      <c r="FC259" s="32"/>
      <c r="FD259" s="32"/>
      <c r="FE259" s="32"/>
      <c r="FF259" s="29"/>
      <c r="FG259" s="30"/>
      <c r="FH259" s="30"/>
      <c r="FI259" s="30"/>
      <c r="FJ259" s="30"/>
      <c r="FK259" s="31"/>
      <c r="FL259" s="32"/>
      <c r="FM259" s="32"/>
      <c r="FN259" s="32"/>
      <c r="FO259" s="32"/>
      <c r="FP259" s="29"/>
      <c r="FQ259" s="30"/>
      <c r="FR259" s="30"/>
      <c r="FS259" s="30"/>
      <c r="FT259" s="30"/>
      <c r="FU259" s="31"/>
      <c r="FV259" s="32"/>
      <c r="FW259" s="32"/>
      <c r="FX259" s="32"/>
      <c r="FY259" s="32"/>
      <c r="FZ259" s="29"/>
      <c r="GA259" s="30"/>
      <c r="GB259" s="30"/>
      <c r="GC259" s="30"/>
      <c r="GD259" s="30"/>
    </row>
    <row r="260" spans="1:186" ht="48" x14ac:dyDescent="0.25">
      <c r="A260" s="156">
        <v>251</v>
      </c>
      <c r="B260" s="395">
        <f>'Tier 3 Intervention'!B1011</f>
        <v>0</v>
      </c>
      <c r="C260" s="395"/>
      <c r="D260" s="395"/>
      <c r="E260" s="395"/>
      <c r="F260" s="395"/>
      <c r="G260" s="395"/>
      <c r="H260" s="761" t="e">
        <f>'Tier 3 Intervention'!AA1011+30</f>
        <v>#VALUE!</v>
      </c>
      <c r="I260" s="761"/>
      <c r="J260" s="762" t="e">
        <f t="shared" si="4"/>
        <v>#VALUE!</v>
      </c>
      <c r="K260" s="395"/>
      <c r="L260" s="47" t="s">
        <v>1037</v>
      </c>
      <c r="M260" s="46"/>
      <c r="N260" s="46"/>
      <c r="O260" s="46"/>
      <c r="P260" s="49"/>
      <c r="Q260" s="19"/>
      <c r="R260" s="20"/>
      <c r="S260" s="20"/>
      <c r="T260" s="20"/>
      <c r="U260" s="20"/>
      <c r="V260" s="21"/>
      <c r="W260" s="22"/>
      <c r="X260" s="22"/>
      <c r="Y260" s="22"/>
      <c r="Z260" s="22"/>
      <c r="AA260" s="19"/>
      <c r="AB260" s="20"/>
      <c r="AC260" s="20"/>
      <c r="AD260" s="20"/>
      <c r="AE260" s="20"/>
      <c r="AF260" s="21"/>
      <c r="AG260" s="22"/>
      <c r="AH260" s="22"/>
      <c r="AI260" s="22"/>
      <c r="AJ260" s="22"/>
      <c r="AK260" s="19"/>
      <c r="AL260" s="20"/>
      <c r="AM260" s="20"/>
      <c r="AN260" s="20"/>
      <c r="AO260" s="20"/>
      <c r="AP260" s="21"/>
      <c r="AQ260" s="22"/>
      <c r="AR260" s="22"/>
      <c r="AS260" s="22"/>
      <c r="AT260" s="22"/>
      <c r="AU260" s="19"/>
      <c r="AV260" s="20"/>
      <c r="AW260" s="20"/>
      <c r="AX260" s="20"/>
      <c r="AY260" s="20"/>
      <c r="AZ260" s="21"/>
      <c r="BA260" s="22"/>
      <c r="BB260" s="22"/>
      <c r="BC260" s="22"/>
      <c r="BD260" s="22"/>
      <c r="BE260" s="19"/>
      <c r="BF260" s="20"/>
      <c r="BG260" s="20"/>
      <c r="BH260" s="20"/>
      <c r="BI260" s="20"/>
      <c r="BJ260" s="21"/>
      <c r="BK260" s="22"/>
      <c r="BL260" s="22"/>
      <c r="BM260" s="22"/>
      <c r="BN260" s="22"/>
      <c r="BO260" s="19"/>
      <c r="BP260" s="20"/>
      <c r="BQ260" s="20"/>
      <c r="BR260" s="20"/>
      <c r="BS260" s="20"/>
      <c r="BT260" s="21"/>
      <c r="BU260" s="22"/>
      <c r="BV260" s="22"/>
      <c r="BW260" s="22"/>
      <c r="BX260" s="22"/>
      <c r="BY260" s="23"/>
      <c r="BZ260" s="24"/>
      <c r="CA260" s="24"/>
      <c r="CB260" s="24"/>
      <c r="CC260" s="24"/>
      <c r="CD260" s="25"/>
      <c r="CE260" s="26"/>
      <c r="CF260" s="26"/>
      <c r="CG260" s="26"/>
      <c r="CH260" s="26"/>
      <c r="CI260" s="27"/>
      <c r="CJ260" s="28"/>
      <c r="CK260" s="28"/>
      <c r="CL260" s="28"/>
      <c r="CM260" s="28"/>
      <c r="CN260" s="25"/>
      <c r="CO260" s="26"/>
      <c r="CP260" s="26"/>
      <c r="CQ260" s="26"/>
      <c r="CR260" s="26"/>
      <c r="CS260" s="27"/>
      <c r="CT260" s="28"/>
      <c r="CU260" s="28"/>
      <c r="CV260" s="28"/>
      <c r="CW260" s="28"/>
      <c r="CX260" s="25"/>
      <c r="CY260" s="26"/>
      <c r="CZ260" s="26"/>
      <c r="DA260" s="26"/>
      <c r="DB260" s="26"/>
      <c r="DC260" s="27"/>
      <c r="DD260" s="28"/>
      <c r="DE260" s="28"/>
      <c r="DF260" s="28"/>
      <c r="DG260" s="28"/>
      <c r="DH260" s="25"/>
      <c r="DI260" s="26"/>
      <c r="DJ260" s="26"/>
      <c r="DK260" s="26"/>
      <c r="DL260" s="26"/>
      <c r="DM260" s="27"/>
      <c r="DN260" s="28"/>
      <c r="DO260" s="28"/>
      <c r="DP260" s="28"/>
      <c r="DQ260" s="28"/>
      <c r="DR260" s="25"/>
      <c r="DS260" s="26"/>
      <c r="DT260" s="26"/>
      <c r="DU260" s="26"/>
      <c r="DV260" s="26"/>
      <c r="DW260" s="27"/>
      <c r="DX260" s="28"/>
      <c r="DY260" s="28"/>
      <c r="DZ260" s="28"/>
      <c r="EA260" s="28"/>
      <c r="EB260" s="29"/>
      <c r="EC260" s="30"/>
      <c r="ED260" s="30"/>
      <c r="EE260" s="30"/>
      <c r="EF260" s="30"/>
      <c r="EG260" s="31"/>
      <c r="EH260" s="32"/>
      <c r="EI260" s="32"/>
      <c r="EJ260" s="32"/>
      <c r="EK260" s="32"/>
      <c r="EL260" s="29"/>
      <c r="EM260" s="30"/>
      <c r="EN260" s="30"/>
      <c r="EO260" s="30"/>
      <c r="EP260" s="30"/>
      <c r="EQ260" s="31"/>
      <c r="ER260" s="32"/>
      <c r="ES260" s="32"/>
      <c r="ET260" s="32"/>
      <c r="EU260" s="32"/>
      <c r="EV260" s="29"/>
      <c r="EW260" s="30"/>
      <c r="EX260" s="30"/>
      <c r="EY260" s="30"/>
      <c r="EZ260" s="30"/>
      <c r="FA260" s="31"/>
      <c r="FB260" s="32"/>
      <c r="FC260" s="32"/>
      <c r="FD260" s="32"/>
      <c r="FE260" s="32"/>
      <c r="FF260" s="29"/>
      <c r="FG260" s="30"/>
      <c r="FH260" s="30"/>
      <c r="FI260" s="30"/>
      <c r="FJ260" s="30"/>
      <c r="FK260" s="31"/>
      <c r="FL260" s="32"/>
      <c r="FM260" s="32"/>
      <c r="FN260" s="32"/>
      <c r="FO260" s="32"/>
      <c r="FP260" s="29"/>
      <c r="FQ260" s="30"/>
      <c r="FR260" s="30"/>
      <c r="FS260" s="30"/>
      <c r="FT260" s="30"/>
      <c r="FU260" s="31"/>
      <c r="FV260" s="32"/>
      <c r="FW260" s="32"/>
      <c r="FX260" s="32"/>
      <c r="FY260" s="32"/>
      <c r="FZ260" s="29"/>
      <c r="GA260" s="30"/>
      <c r="GB260" s="30"/>
      <c r="GC260" s="30"/>
      <c r="GD260" s="30"/>
    </row>
    <row r="261" spans="1:186" ht="48" x14ac:dyDescent="0.25">
      <c r="A261" s="156">
        <v>252</v>
      </c>
      <c r="B261" s="395">
        <f>'Tier 3 Intervention'!B1015</f>
        <v>0</v>
      </c>
      <c r="C261" s="395"/>
      <c r="D261" s="395"/>
      <c r="E261" s="395"/>
      <c r="F261" s="395"/>
      <c r="G261" s="395"/>
      <c r="H261" s="761" t="e">
        <f>'Tier 3 Intervention'!AA1015+30</f>
        <v>#VALUE!</v>
      </c>
      <c r="I261" s="761"/>
      <c r="J261" s="762" t="e">
        <f t="shared" si="4"/>
        <v>#VALUE!</v>
      </c>
      <c r="K261" s="395"/>
      <c r="L261" s="47" t="s">
        <v>1038</v>
      </c>
      <c r="M261" s="46"/>
      <c r="N261" s="46"/>
      <c r="O261" s="46"/>
      <c r="P261" s="49"/>
      <c r="Q261" s="19"/>
      <c r="R261" s="20"/>
      <c r="S261" s="20"/>
      <c r="T261" s="20"/>
      <c r="U261" s="20"/>
      <c r="V261" s="21"/>
      <c r="W261" s="22"/>
      <c r="X261" s="22"/>
      <c r="Y261" s="22"/>
      <c r="Z261" s="22"/>
      <c r="AA261" s="19"/>
      <c r="AB261" s="20"/>
      <c r="AC261" s="20"/>
      <c r="AD261" s="20"/>
      <c r="AE261" s="20"/>
      <c r="AF261" s="21"/>
      <c r="AG261" s="22"/>
      <c r="AH261" s="22"/>
      <c r="AI261" s="22"/>
      <c r="AJ261" s="22"/>
      <c r="AK261" s="19"/>
      <c r="AL261" s="20"/>
      <c r="AM261" s="20"/>
      <c r="AN261" s="20"/>
      <c r="AO261" s="20"/>
      <c r="AP261" s="21"/>
      <c r="AQ261" s="22"/>
      <c r="AR261" s="22"/>
      <c r="AS261" s="22"/>
      <c r="AT261" s="22"/>
      <c r="AU261" s="19"/>
      <c r="AV261" s="20"/>
      <c r="AW261" s="20"/>
      <c r="AX261" s="20"/>
      <c r="AY261" s="20"/>
      <c r="AZ261" s="21"/>
      <c r="BA261" s="22"/>
      <c r="BB261" s="22"/>
      <c r="BC261" s="22"/>
      <c r="BD261" s="22"/>
      <c r="BE261" s="19"/>
      <c r="BF261" s="20"/>
      <c r="BG261" s="20"/>
      <c r="BH261" s="20"/>
      <c r="BI261" s="20"/>
      <c r="BJ261" s="21"/>
      <c r="BK261" s="22"/>
      <c r="BL261" s="22"/>
      <c r="BM261" s="22"/>
      <c r="BN261" s="22"/>
      <c r="BO261" s="19"/>
      <c r="BP261" s="20"/>
      <c r="BQ261" s="20"/>
      <c r="BR261" s="20"/>
      <c r="BS261" s="20"/>
      <c r="BT261" s="21"/>
      <c r="BU261" s="22"/>
      <c r="BV261" s="22"/>
      <c r="BW261" s="22"/>
      <c r="BX261" s="22"/>
      <c r="BY261" s="23"/>
      <c r="BZ261" s="24"/>
      <c r="CA261" s="24"/>
      <c r="CB261" s="24"/>
      <c r="CC261" s="24"/>
      <c r="CD261" s="25"/>
      <c r="CE261" s="26"/>
      <c r="CF261" s="26"/>
      <c r="CG261" s="26"/>
      <c r="CH261" s="26"/>
      <c r="CI261" s="27"/>
      <c r="CJ261" s="28"/>
      <c r="CK261" s="28"/>
      <c r="CL261" s="28"/>
      <c r="CM261" s="28"/>
      <c r="CN261" s="25"/>
      <c r="CO261" s="26"/>
      <c r="CP261" s="26"/>
      <c r="CQ261" s="26"/>
      <c r="CR261" s="26"/>
      <c r="CS261" s="27"/>
      <c r="CT261" s="28"/>
      <c r="CU261" s="28"/>
      <c r="CV261" s="28"/>
      <c r="CW261" s="28"/>
      <c r="CX261" s="25"/>
      <c r="CY261" s="26"/>
      <c r="CZ261" s="26"/>
      <c r="DA261" s="26"/>
      <c r="DB261" s="26"/>
      <c r="DC261" s="27"/>
      <c r="DD261" s="28"/>
      <c r="DE261" s="28"/>
      <c r="DF261" s="28"/>
      <c r="DG261" s="28"/>
      <c r="DH261" s="25"/>
      <c r="DI261" s="26"/>
      <c r="DJ261" s="26"/>
      <c r="DK261" s="26"/>
      <c r="DL261" s="26"/>
      <c r="DM261" s="27"/>
      <c r="DN261" s="28"/>
      <c r="DO261" s="28"/>
      <c r="DP261" s="28"/>
      <c r="DQ261" s="28"/>
      <c r="DR261" s="25"/>
      <c r="DS261" s="26"/>
      <c r="DT261" s="26"/>
      <c r="DU261" s="26"/>
      <c r="DV261" s="26"/>
      <c r="DW261" s="27"/>
      <c r="DX261" s="28"/>
      <c r="DY261" s="28"/>
      <c r="DZ261" s="28"/>
      <c r="EA261" s="28"/>
      <c r="EB261" s="29"/>
      <c r="EC261" s="30"/>
      <c r="ED261" s="30"/>
      <c r="EE261" s="30"/>
      <c r="EF261" s="30"/>
      <c r="EG261" s="31"/>
      <c r="EH261" s="32"/>
      <c r="EI261" s="32"/>
      <c r="EJ261" s="32"/>
      <c r="EK261" s="32"/>
      <c r="EL261" s="29"/>
      <c r="EM261" s="30"/>
      <c r="EN261" s="30"/>
      <c r="EO261" s="30"/>
      <c r="EP261" s="30"/>
      <c r="EQ261" s="31"/>
      <c r="ER261" s="32"/>
      <c r="ES261" s="32"/>
      <c r="ET261" s="32"/>
      <c r="EU261" s="32"/>
      <c r="EV261" s="29"/>
      <c r="EW261" s="30"/>
      <c r="EX261" s="30"/>
      <c r="EY261" s="30"/>
      <c r="EZ261" s="30"/>
      <c r="FA261" s="31"/>
      <c r="FB261" s="32"/>
      <c r="FC261" s="32"/>
      <c r="FD261" s="32"/>
      <c r="FE261" s="32"/>
      <c r="FF261" s="29"/>
      <c r="FG261" s="30"/>
      <c r="FH261" s="30"/>
      <c r="FI261" s="30"/>
      <c r="FJ261" s="30"/>
      <c r="FK261" s="31"/>
      <c r="FL261" s="32"/>
      <c r="FM261" s="32"/>
      <c r="FN261" s="32"/>
      <c r="FO261" s="32"/>
      <c r="FP261" s="29"/>
      <c r="FQ261" s="30"/>
      <c r="FR261" s="30"/>
      <c r="FS261" s="30"/>
      <c r="FT261" s="30"/>
      <c r="FU261" s="31"/>
      <c r="FV261" s="32"/>
      <c r="FW261" s="32"/>
      <c r="FX261" s="32"/>
      <c r="FY261" s="32"/>
      <c r="FZ261" s="29"/>
      <c r="GA261" s="30"/>
      <c r="GB261" s="30"/>
      <c r="GC261" s="30"/>
      <c r="GD261" s="30"/>
    </row>
    <row r="262" spans="1:186" ht="48" x14ac:dyDescent="0.25">
      <c r="A262" s="156">
        <v>253</v>
      </c>
      <c r="B262" s="395">
        <f>'Tier 3 Intervention'!B1019</f>
        <v>0</v>
      </c>
      <c r="C262" s="395"/>
      <c r="D262" s="395"/>
      <c r="E262" s="395"/>
      <c r="F262" s="395"/>
      <c r="G262" s="395"/>
      <c r="H262" s="761" t="e">
        <f>'Tier 3 Intervention'!AA1019+30</f>
        <v>#VALUE!</v>
      </c>
      <c r="I262" s="761"/>
      <c r="J262" s="762" t="e">
        <f t="shared" si="4"/>
        <v>#VALUE!</v>
      </c>
      <c r="K262" s="395"/>
      <c r="L262" s="47" t="s">
        <v>1039</v>
      </c>
      <c r="M262" s="46"/>
      <c r="N262" s="46"/>
      <c r="O262" s="46"/>
      <c r="P262" s="49"/>
      <c r="Q262" s="19"/>
      <c r="R262" s="20"/>
      <c r="S262" s="20"/>
      <c r="T262" s="20"/>
      <c r="U262" s="20"/>
      <c r="V262" s="21"/>
      <c r="W262" s="22"/>
      <c r="X262" s="22"/>
      <c r="Y262" s="22"/>
      <c r="Z262" s="22"/>
      <c r="AA262" s="19"/>
      <c r="AB262" s="20"/>
      <c r="AC262" s="20"/>
      <c r="AD262" s="20"/>
      <c r="AE262" s="20"/>
      <c r="AF262" s="21"/>
      <c r="AG262" s="22"/>
      <c r="AH262" s="22"/>
      <c r="AI262" s="22"/>
      <c r="AJ262" s="22"/>
      <c r="AK262" s="19"/>
      <c r="AL262" s="20"/>
      <c r="AM262" s="20"/>
      <c r="AN262" s="20"/>
      <c r="AO262" s="20"/>
      <c r="AP262" s="21"/>
      <c r="AQ262" s="22"/>
      <c r="AR262" s="22"/>
      <c r="AS262" s="22"/>
      <c r="AT262" s="22"/>
      <c r="AU262" s="19"/>
      <c r="AV262" s="20"/>
      <c r="AW262" s="20"/>
      <c r="AX262" s="20"/>
      <c r="AY262" s="20"/>
      <c r="AZ262" s="21"/>
      <c r="BA262" s="22"/>
      <c r="BB262" s="22"/>
      <c r="BC262" s="22"/>
      <c r="BD262" s="22"/>
      <c r="BE262" s="19"/>
      <c r="BF262" s="20"/>
      <c r="BG262" s="20"/>
      <c r="BH262" s="20"/>
      <c r="BI262" s="20"/>
      <c r="BJ262" s="21"/>
      <c r="BK262" s="22"/>
      <c r="BL262" s="22"/>
      <c r="BM262" s="22"/>
      <c r="BN262" s="22"/>
      <c r="BO262" s="19"/>
      <c r="BP262" s="20"/>
      <c r="BQ262" s="20"/>
      <c r="BR262" s="20"/>
      <c r="BS262" s="20"/>
      <c r="BT262" s="21"/>
      <c r="BU262" s="22"/>
      <c r="BV262" s="22"/>
      <c r="BW262" s="22"/>
      <c r="BX262" s="22"/>
      <c r="BY262" s="23"/>
      <c r="BZ262" s="24"/>
      <c r="CA262" s="24"/>
      <c r="CB262" s="24"/>
      <c r="CC262" s="24"/>
      <c r="CD262" s="25"/>
      <c r="CE262" s="26"/>
      <c r="CF262" s="26"/>
      <c r="CG262" s="26"/>
      <c r="CH262" s="26"/>
      <c r="CI262" s="27"/>
      <c r="CJ262" s="28"/>
      <c r="CK262" s="28"/>
      <c r="CL262" s="28"/>
      <c r="CM262" s="28"/>
      <c r="CN262" s="25"/>
      <c r="CO262" s="26"/>
      <c r="CP262" s="26"/>
      <c r="CQ262" s="26"/>
      <c r="CR262" s="26"/>
      <c r="CS262" s="27"/>
      <c r="CT262" s="28"/>
      <c r="CU262" s="28"/>
      <c r="CV262" s="28"/>
      <c r="CW262" s="28"/>
      <c r="CX262" s="25"/>
      <c r="CY262" s="26"/>
      <c r="CZ262" s="26"/>
      <c r="DA262" s="26"/>
      <c r="DB262" s="26"/>
      <c r="DC262" s="27"/>
      <c r="DD262" s="28"/>
      <c r="DE262" s="28"/>
      <c r="DF262" s="28"/>
      <c r="DG262" s="28"/>
      <c r="DH262" s="25"/>
      <c r="DI262" s="26"/>
      <c r="DJ262" s="26"/>
      <c r="DK262" s="26"/>
      <c r="DL262" s="26"/>
      <c r="DM262" s="27"/>
      <c r="DN262" s="28"/>
      <c r="DO262" s="28"/>
      <c r="DP262" s="28"/>
      <c r="DQ262" s="28"/>
      <c r="DR262" s="25"/>
      <c r="DS262" s="26"/>
      <c r="DT262" s="26"/>
      <c r="DU262" s="26"/>
      <c r="DV262" s="26"/>
      <c r="DW262" s="27"/>
      <c r="DX262" s="28"/>
      <c r="DY262" s="28"/>
      <c r="DZ262" s="28"/>
      <c r="EA262" s="28"/>
      <c r="EB262" s="29"/>
      <c r="EC262" s="30"/>
      <c r="ED262" s="30"/>
      <c r="EE262" s="30"/>
      <c r="EF262" s="30"/>
      <c r="EG262" s="31"/>
      <c r="EH262" s="32"/>
      <c r="EI262" s="32"/>
      <c r="EJ262" s="32"/>
      <c r="EK262" s="32"/>
      <c r="EL262" s="29"/>
      <c r="EM262" s="30"/>
      <c r="EN262" s="30"/>
      <c r="EO262" s="30"/>
      <c r="EP262" s="30"/>
      <c r="EQ262" s="31"/>
      <c r="ER262" s="32"/>
      <c r="ES262" s="32"/>
      <c r="ET262" s="32"/>
      <c r="EU262" s="32"/>
      <c r="EV262" s="29"/>
      <c r="EW262" s="30"/>
      <c r="EX262" s="30"/>
      <c r="EY262" s="30"/>
      <c r="EZ262" s="30"/>
      <c r="FA262" s="31"/>
      <c r="FB262" s="32"/>
      <c r="FC262" s="32"/>
      <c r="FD262" s="32"/>
      <c r="FE262" s="32"/>
      <c r="FF262" s="29"/>
      <c r="FG262" s="30"/>
      <c r="FH262" s="30"/>
      <c r="FI262" s="30"/>
      <c r="FJ262" s="30"/>
      <c r="FK262" s="31"/>
      <c r="FL262" s="32"/>
      <c r="FM262" s="32"/>
      <c r="FN262" s="32"/>
      <c r="FO262" s="32"/>
      <c r="FP262" s="29"/>
      <c r="FQ262" s="30"/>
      <c r="FR262" s="30"/>
      <c r="FS262" s="30"/>
      <c r="FT262" s="30"/>
      <c r="FU262" s="31"/>
      <c r="FV262" s="32"/>
      <c r="FW262" s="32"/>
      <c r="FX262" s="32"/>
      <c r="FY262" s="32"/>
      <c r="FZ262" s="29"/>
      <c r="GA262" s="30"/>
      <c r="GB262" s="30"/>
      <c r="GC262" s="30"/>
      <c r="GD262" s="30"/>
    </row>
    <row r="263" spans="1:186" ht="48" x14ac:dyDescent="0.25">
      <c r="A263" s="156">
        <v>254</v>
      </c>
      <c r="B263" s="395">
        <f>'Tier 3 Intervention'!B1023</f>
        <v>0</v>
      </c>
      <c r="C263" s="395"/>
      <c r="D263" s="395"/>
      <c r="E263" s="395"/>
      <c r="F263" s="395"/>
      <c r="G263" s="395"/>
      <c r="H263" s="761" t="e">
        <f>'Tier 3 Intervention'!AA1023+30</f>
        <v>#VALUE!</v>
      </c>
      <c r="I263" s="761"/>
      <c r="J263" s="762" t="e">
        <f t="shared" si="4"/>
        <v>#VALUE!</v>
      </c>
      <c r="K263" s="395"/>
      <c r="L263" s="47" t="s">
        <v>1040</v>
      </c>
      <c r="M263" s="46"/>
      <c r="N263" s="46"/>
      <c r="O263" s="46"/>
      <c r="P263" s="49"/>
      <c r="Q263" s="19"/>
      <c r="R263" s="20"/>
      <c r="S263" s="20"/>
      <c r="T263" s="20"/>
      <c r="U263" s="20"/>
      <c r="V263" s="21"/>
      <c r="W263" s="22"/>
      <c r="X263" s="22"/>
      <c r="Y263" s="22"/>
      <c r="Z263" s="22"/>
      <c r="AA263" s="19"/>
      <c r="AB263" s="20"/>
      <c r="AC263" s="20"/>
      <c r="AD263" s="20"/>
      <c r="AE263" s="20"/>
      <c r="AF263" s="21"/>
      <c r="AG263" s="22"/>
      <c r="AH263" s="22"/>
      <c r="AI263" s="22"/>
      <c r="AJ263" s="22"/>
      <c r="AK263" s="19"/>
      <c r="AL263" s="20"/>
      <c r="AM263" s="20"/>
      <c r="AN263" s="20"/>
      <c r="AO263" s="20"/>
      <c r="AP263" s="21"/>
      <c r="AQ263" s="22"/>
      <c r="AR263" s="22"/>
      <c r="AS263" s="22"/>
      <c r="AT263" s="22"/>
      <c r="AU263" s="19"/>
      <c r="AV263" s="20"/>
      <c r="AW263" s="20"/>
      <c r="AX263" s="20"/>
      <c r="AY263" s="20"/>
      <c r="AZ263" s="21"/>
      <c r="BA263" s="22"/>
      <c r="BB263" s="22"/>
      <c r="BC263" s="22"/>
      <c r="BD263" s="22"/>
      <c r="BE263" s="19"/>
      <c r="BF263" s="20"/>
      <c r="BG263" s="20"/>
      <c r="BH263" s="20"/>
      <c r="BI263" s="20"/>
      <c r="BJ263" s="21"/>
      <c r="BK263" s="22"/>
      <c r="BL263" s="22"/>
      <c r="BM263" s="22"/>
      <c r="BN263" s="22"/>
      <c r="BO263" s="19"/>
      <c r="BP263" s="20"/>
      <c r="BQ263" s="20"/>
      <c r="BR263" s="20"/>
      <c r="BS263" s="20"/>
      <c r="BT263" s="21"/>
      <c r="BU263" s="22"/>
      <c r="BV263" s="22"/>
      <c r="BW263" s="22"/>
      <c r="BX263" s="22"/>
      <c r="BY263" s="23"/>
      <c r="BZ263" s="24"/>
      <c r="CA263" s="24"/>
      <c r="CB263" s="24"/>
      <c r="CC263" s="24"/>
      <c r="CD263" s="25"/>
      <c r="CE263" s="26"/>
      <c r="CF263" s="26"/>
      <c r="CG263" s="26"/>
      <c r="CH263" s="26"/>
      <c r="CI263" s="27"/>
      <c r="CJ263" s="28"/>
      <c r="CK263" s="28"/>
      <c r="CL263" s="28"/>
      <c r="CM263" s="28"/>
      <c r="CN263" s="25"/>
      <c r="CO263" s="26"/>
      <c r="CP263" s="26"/>
      <c r="CQ263" s="26"/>
      <c r="CR263" s="26"/>
      <c r="CS263" s="27"/>
      <c r="CT263" s="28"/>
      <c r="CU263" s="28"/>
      <c r="CV263" s="28"/>
      <c r="CW263" s="28"/>
      <c r="CX263" s="25"/>
      <c r="CY263" s="26"/>
      <c r="CZ263" s="26"/>
      <c r="DA263" s="26"/>
      <c r="DB263" s="26"/>
      <c r="DC263" s="27"/>
      <c r="DD263" s="28"/>
      <c r="DE263" s="28"/>
      <c r="DF263" s="28"/>
      <c r="DG263" s="28"/>
      <c r="DH263" s="25"/>
      <c r="DI263" s="26"/>
      <c r="DJ263" s="26"/>
      <c r="DK263" s="26"/>
      <c r="DL263" s="26"/>
      <c r="DM263" s="27"/>
      <c r="DN263" s="28"/>
      <c r="DO263" s="28"/>
      <c r="DP263" s="28"/>
      <c r="DQ263" s="28"/>
      <c r="DR263" s="25"/>
      <c r="DS263" s="26"/>
      <c r="DT263" s="26"/>
      <c r="DU263" s="26"/>
      <c r="DV263" s="26"/>
      <c r="DW263" s="27"/>
      <c r="DX263" s="28"/>
      <c r="DY263" s="28"/>
      <c r="DZ263" s="28"/>
      <c r="EA263" s="28"/>
      <c r="EB263" s="29"/>
      <c r="EC263" s="30"/>
      <c r="ED263" s="30"/>
      <c r="EE263" s="30"/>
      <c r="EF263" s="30"/>
      <c r="EG263" s="31"/>
      <c r="EH263" s="32"/>
      <c r="EI263" s="32"/>
      <c r="EJ263" s="32"/>
      <c r="EK263" s="32"/>
      <c r="EL263" s="29"/>
      <c r="EM263" s="30"/>
      <c r="EN263" s="30"/>
      <c r="EO263" s="30"/>
      <c r="EP263" s="30"/>
      <c r="EQ263" s="31"/>
      <c r="ER263" s="32"/>
      <c r="ES263" s="32"/>
      <c r="ET263" s="32"/>
      <c r="EU263" s="32"/>
      <c r="EV263" s="29"/>
      <c r="EW263" s="30"/>
      <c r="EX263" s="30"/>
      <c r="EY263" s="30"/>
      <c r="EZ263" s="30"/>
      <c r="FA263" s="31"/>
      <c r="FB263" s="32"/>
      <c r="FC263" s="32"/>
      <c r="FD263" s="32"/>
      <c r="FE263" s="32"/>
      <c r="FF263" s="29"/>
      <c r="FG263" s="30"/>
      <c r="FH263" s="30"/>
      <c r="FI263" s="30"/>
      <c r="FJ263" s="30"/>
      <c r="FK263" s="31"/>
      <c r="FL263" s="32"/>
      <c r="FM263" s="32"/>
      <c r="FN263" s="32"/>
      <c r="FO263" s="32"/>
      <c r="FP263" s="29"/>
      <c r="FQ263" s="30"/>
      <c r="FR263" s="30"/>
      <c r="FS263" s="30"/>
      <c r="FT263" s="30"/>
      <c r="FU263" s="31"/>
      <c r="FV263" s="32"/>
      <c r="FW263" s="32"/>
      <c r="FX263" s="32"/>
      <c r="FY263" s="32"/>
      <c r="FZ263" s="29"/>
      <c r="GA263" s="30"/>
      <c r="GB263" s="30"/>
      <c r="GC263" s="30"/>
      <c r="GD263" s="30"/>
    </row>
    <row r="264" spans="1:186" ht="48" x14ac:dyDescent="0.25">
      <c r="A264" s="156">
        <v>255</v>
      </c>
      <c r="B264" s="395">
        <f>'Tier 3 Intervention'!B1027</f>
        <v>0</v>
      </c>
      <c r="C264" s="395"/>
      <c r="D264" s="395"/>
      <c r="E264" s="395"/>
      <c r="F264" s="395"/>
      <c r="G264" s="395"/>
      <c r="H264" s="761" t="e">
        <f>'Tier 3 Intervention'!AA1027+30</f>
        <v>#VALUE!</v>
      </c>
      <c r="I264" s="761"/>
      <c r="J264" s="762" t="e">
        <f t="shared" si="4"/>
        <v>#VALUE!</v>
      </c>
      <c r="K264" s="395"/>
      <c r="L264" s="47" t="s">
        <v>1041</v>
      </c>
      <c r="M264" s="46"/>
      <c r="N264" s="46"/>
      <c r="O264" s="46"/>
      <c r="P264" s="49"/>
      <c r="Q264" s="19"/>
      <c r="R264" s="20"/>
      <c r="S264" s="20"/>
      <c r="T264" s="20"/>
      <c r="U264" s="20"/>
      <c r="V264" s="21"/>
      <c r="W264" s="22"/>
      <c r="X264" s="22"/>
      <c r="Y264" s="22"/>
      <c r="Z264" s="22"/>
      <c r="AA264" s="19"/>
      <c r="AB264" s="20"/>
      <c r="AC264" s="20"/>
      <c r="AD264" s="20"/>
      <c r="AE264" s="20"/>
      <c r="AF264" s="21"/>
      <c r="AG264" s="22"/>
      <c r="AH264" s="22"/>
      <c r="AI264" s="22"/>
      <c r="AJ264" s="22"/>
      <c r="AK264" s="19"/>
      <c r="AL264" s="20"/>
      <c r="AM264" s="20"/>
      <c r="AN264" s="20"/>
      <c r="AO264" s="20"/>
      <c r="AP264" s="21"/>
      <c r="AQ264" s="22"/>
      <c r="AR264" s="22"/>
      <c r="AS264" s="22"/>
      <c r="AT264" s="22"/>
      <c r="AU264" s="19"/>
      <c r="AV264" s="20"/>
      <c r="AW264" s="20"/>
      <c r="AX264" s="20"/>
      <c r="AY264" s="20"/>
      <c r="AZ264" s="21"/>
      <c r="BA264" s="22"/>
      <c r="BB264" s="22"/>
      <c r="BC264" s="22"/>
      <c r="BD264" s="22"/>
      <c r="BE264" s="19"/>
      <c r="BF264" s="20"/>
      <c r="BG264" s="20"/>
      <c r="BH264" s="20"/>
      <c r="BI264" s="20"/>
      <c r="BJ264" s="21"/>
      <c r="BK264" s="22"/>
      <c r="BL264" s="22"/>
      <c r="BM264" s="22"/>
      <c r="BN264" s="22"/>
      <c r="BO264" s="19"/>
      <c r="BP264" s="20"/>
      <c r="BQ264" s="20"/>
      <c r="BR264" s="20"/>
      <c r="BS264" s="20"/>
      <c r="BT264" s="21"/>
      <c r="BU264" s="22"/>
      <c r="BV264" s="22"/>
      <c r="BW264" s="22"/>
      <c r="BX264" s="22"/>
      <c r="BY264" s="23"/>
      <c r="BZ264" s="24"/>
      <c r="CA264" s="24"/>
      <c r="CB264" s="24"/>
      <c r="CC264" s="24"/>
      <c r="CD264" s="25"/>
      <c r="CE264" s="26"/>
      <c r="CF264" s="26"/>
      <c r="CG264" s="26"/>
      <c r="CH264" s="26"/>
      <c r="CI264" s="27"/>
      <c r="CJ264" s="28"/>
      <c r="CK264" s="28"/>
      <c r="CL264" s="28"/>
      <c r="CM264" s="28"/>
      <c r="CN264" s="25"/>
      <c r="CO264" s="26"/>
      <c r="CP264" s="26"/>
      <c r="CQ264" s="26"/>
      <c r="CR264" s="26"/>
      <c r="CS264" s="27"/>
      <c r="CT264" s="28"/>
      <c r="CU264" s="28"/>
      <c r="CV264" s="28"/>
      <c r="CW264" s="28"/>
      <c r="CX264" s="25"/>
      <c r="CY264" s="26"/>
      <c r="CZ264" s="26"/>
      <c r="DA264" s="26"/>
      <c r="DB264" s="26"/>
      <c r="DC264" s="27"/>
      <c r="DD264" s="28"/>
      <c r="DE264" s="28"/>
      <c r="DF264" s="28"/>
      <c r="DG264" s="28"/>
      <c r="DH264" s="25"/>
      <c r="DI264" s="26"/>
      <c r="DJ264" s="26"/>
      <c r="DK264" s="26"/>
      <c r="DL264" s="26"/>
      <c r="DM264" s="27"/>
      <c r="DN264" s="28"/>
      <c r="DO264" s="28"/>
      <c r="DP264" s="28"/>
      <c r="DQ264" s="28"/>
      <c r="DR264" s="25"/>
      <c r="DS264" s="26"/>
      <c r="DT264" s="26"/>
      <c r="DU264" s="26"/>
      <c r="DV264" s="26"/>
      <c r="DW264" s="27"/>
      <c r="DX264" s="28"/>
      <c r="DY264" s="28"/>
      <c r="DZ264" s="28"/>
      <c r="EA264" s="28"/>
      <c r="EB264" s="29"/>
      <c r="EC264" s="30"/>
      <c r="ED264" s="30"/>
      <c r="EE264" s="30"/>
      <c r="EF264" s="30"/>
      <c r="EG264" s="31"/>
      <c r="EH264" s="32"/>
      <c r="EI264" s="32"/>
      <c r="EJ264" s="32"/>
      <c r="EK264" s="32"/>
      <c r="EL264" s="29"/>
      <c r="EM264" s="30"/>
      <c r="EN264" s="30"/>
      <c r="EO264" s="30"/>
      <c r="EP264" s="30"/>
      <c r="EQ264" s="31"/>
      <c r="ER264" s="32"/>
      <c r="ES264" s="32"/>
      <c r="ET264" s="32"/>
      <c r="EU264" s="32"/>
      <c r="EV264" s="29"/>
      <c r="EW264" s="30"/>
      <c r="EX264" s="30"/>
      <c r="EY264" s="30"/>
      <c r="EZ264" s="30"/>
      <c r="FA264" s="31"/>
      <c r="FB264" s="32"/>
      <c r="FC264" s="32"/>
      <c r="FD264" s="32"/>
      <c r="FE264" s="32"/>
      <c r="FF264" s="29"/>
      <c r="FG264" s="30"/>
      <c r="FH264" s="30"/>
      <c r="FI264" s="30"/>
      <c r="FJ264" s="30"/>
      <c r="FK264" s="31"/>
      <c r="FL264" s="32"/>
      <c r="FM264" s="32"/>
      <c r="FN264" s="32"/>
      <c r="FO264" s="32"/>
      <c r="FP264" s="29"/>
      <c r="FQ264" s="30"/>
      <c r="FR264" s="30"/>
      <c r="FS264" s="30"/>
      <c r="FT264" s="30"/>
      <c r="FU264" s="31"/>
      <c r="FV264" s="32"/>
      <c r="FW264" s="32"/>
      <c r="FX264" s="32"/>
      <c r="FY264" s="32"/>
      <c r="FZ264" s="29"/>
      <c r="GA264" s="30"/>
      <c r="GB264" s="30"/>
      <c r="GC264" s="30"/>
      <c r="GD264" s="30"/>
    </row>
    <row r="265" spans="1:186" ht="48" x14ac:dyDescent="0.25">
      <c r="A265" s="156">
        <v>256</v>
      </c>
      <c r="B265" s="395">
        <f>'Tier 3 Intervention'!B1031</f>
        <v>0</v>
      </c>
      <c r="C265" s="395"/>
      <c r="D265" s="395"/>
      <c r="E265" s="395"/>
      <c r="F265" s="395"/>
      <c r="G265" s="395"/>
      <c r="H265" s="761" t="e">
        <f>'Tier 3 Intervention'!AA1031+30</f>
        <v>#VALUE!</v>
      </c>
      <c r="I265" s="761"/>
      <c r="J265" s="762" t="e">
        <f t="shared" si="4"/>
        <v>#VALUE!</v>
      </c>
      <c r="K265" s="395"/>
      <c r="L265" s="47" t="s">
        <v>1042</v>
      </c>
      <c r="M265" s="46"/>
      <c r="N265" s="46"/>
      <c r="O265" s="46"/>
      <c r="P265" s="49"/>
      <c r="Q265" s="19"/>
      <c r="R265" s="20"/>
      <c r="S265" s="20"/>
      <c r="T265" s="20"/>
      <c r="U265" s="20"/>
      <c r="V265" s="21"/>
      <c r="W265" s="22"/>
      <c r="X265" s="22"/>
      <c r="Y265" s="22"/>
      <c r="Z265" s="22"/>
      <c r="AA265" s="19"/>
      <c r="AB265" s="20"/>
      <c r="AC265" s="20"/>
      <c r="AD265" s="20"/>
      <c r="AE265" s="20"/>
      <c r="AF265" s="21"/>
      <c r="AG265" s="22"/>
      <c r="AH265" s="22"/>
      <c r="AI265" s="22"/>
      <c r="AJ265" s="22"/>
      <c r="AK265" s="19"/>
      <c r="AL265" s="20"/>
      <c r="AM265" s="20"/>
      <c r="AN265" s="20"/>
      <c r="AO265" s="20"/>
      <c r="AP265" s="21"/>
      <c r="AQ265" s="22"/>
      <c r="AR265" s="22"/>
      <c r="AS265" s="22"/>
      <c r="AT265" s="22"/>
      <c r="AU265" s="19"/>
      <c r="AV265" s="20"/>
      <c r="AW265" s="20"/>
      <c r="AX265" s="20"/>
      <c r="AY265" s="20"/>
      <c r="AZ265" s="21"/>
      <c r="BA265" s="22"/>
      <c r="BB265" s="22"/>
      <c r="BC265" s="22"/>
      <c r="BD265" s="22"/>
      <c r="BE265" s="19"/>
      <c r="BF265" s="20"/>
      <c r="BG265" s="20"/>
      <c r="BH265" s="20"/>
      <c r="BI265" s="20"/>
      <c r="BJ265" s="21"/>
      <c r="BK265" s="22"/>
      <c r="BL265" s="22"/>
      <c r="BM265" s="22"/>
      <c r="BN265" s="22"/>
      <c r="BO265" s="19"/>
      <c r="BP265" s="20"/>
      <c r="BQ265" s="20"/>
      <c r="BR265" s="20"/>
      <c r="BS265" s="20"/>
      <c r="BT265" s="21"/>
      <c r="BU265" s="22"/>
      <c r="BV265" s="22"/>
      <c r="BW265" s="22"/>
      <c r="BX265" s="22"/>
      <c r="BY265" s="23"/>
      <c r="BZ265" s="24"/>
      <c r="CA265" s="24"/>
      <c r="CB265" s="24"/>
      <c r="CC265" s="24"/>
      <c r="CD265" s="25"/>
      <c r="CE265" s="26"/>
      <c r="CF265" s="26"/>
      <c r="CG265" s="26"/>
      <c r="CH265" s="26"/>
      <c r="CI265" s="27"/>
      <c r="CJ265" s="28"/>
      <c r="CK265" s="28"/>
      <c r="CL265" s="28"/>
      <c r="CM265" s="28"/>
      <c r="CN265" s="25"/>
      <c r="CO265" s="26"/>
      <c r="CP265" s="26"/>
      <c r="CQ265" s="26"/>
      <c r="CR265" s="26"/>
      <c r="CS265" s="27"/>
      <c r="CT265" s="28"/>
      <c r="CU265" s="28"/>
      <c r="CV265" s="28"/>
      <c r="CW265" s="28"/>
      <c r="CX265" s="25"/>
      <c r="CY265" s="26"/>
      <c r="CZ265" s="26"/>
      <c r="DA265" s="26"/>
      <c r="DB265" s="26"/>
      <c r="DC265" s="27"/>
      <c r="DD265" s="28"/>
      <c r="DE265" s="28"/>
      <c r="DF265" s="28"/>
      <c r="DG265" s="28"/>
      <c r="DH265" s="25"/>
      <c r="DI265" s="26"/>
      <c r="DJ265" s="26"/>
      <c r="DK265" s="26"/>
      <c r="DL265" s="26"/>
      <c r="DM265" s="27"/>
      <c r="DN265" s="28"/>
      <c r="DO265" s="28"/>
      <c r="DP265" s="28"/>
      <c r="DQ265" s="28"/>
      <c r="DR265" s="25"/>
      <c r="DS265" s="26"/>
      <c r="DT265" s="26"/>
      <c r="DU265" s="26"/>
      <c r="DV265" s="26"/>
      <c r="DW265" s="27"/>
      <c r="DX265" s="28"/>
      <c r="DY265" s="28"/>
      <c r="DZ265" s="28"/>
      <c r="EA265" s="28"/>
      <c r="EB265" s="29"/>
      <c r="EC265" s="30"/>
      <c r="ED265" s="30"/>
      <c r="EE265" s="30"/>
      <c r="EF265" s="30"/>
      <c r="EG265" s="31"/>
      <c r="EH265" s="32"/>
      <c r="EI265" s="32"/>
      <c r="EJ265" s="32"/>
      <c r="EK265" s="32"/>
      <c r="EL265" s="29"/>
      <c r="EM265" s="30"/>
      <c r="EN265" s="30"/>
      <c r="EO265" s="30"/>
      <c r="EP265" s="30"/>
      <c r="EQ265" s="31"/>
      <c r="ER265" s="32"/>
      <c r="ES265" s="32"/>
      <c r="ET265" s="32"/>
      <c r="EU265" s="32"/>
      <c r="EV265" s="29"/>
      <c r="EW265" s="30"/>
      <c r="EX265" s="30"/>
      <c r="EY265" s="30"/>
      <c r="EZ265" s="30"/>
      <c r="FA265" s="31"/>
      <c r="FB265" s="32"/>
      <c r="FC265" s="32"/>
      <c r="FD265" s="32"/>
      <c r="FE265" s="32"/>
      <c r="FF265" s="29"/>
      <c r="FG265" s="30"/>
      <c r="FH265" s="30"/>
      <c r="FI265" s="30"/>
      <c r="FJ265" s="30"/>
      <c r="FK265" s="31"/>
      <c r="FL265" s="32"/>
      <c r="FM265" s="32"/>
      <c r="FN265" s="32"/>
      <c r="FO265" s="32"/>
      <c r="FP265" s="29"/>
      <c r="FQ265" s="30"/>
      <c r="FR265" s="30"/>
      <c r="FS265" s="30"/>
      <c r="FT265" s="30"/>
      <c r="FU265" s="31"/>
      <c r="FV265" s="32"/>
      <c r="FW265" s="32"/>
      <c r="FX265" s="32"/>
      <c r="FY265" s="32"/>
      <c r="FZ265" s="29"/>
      <c r="GA265" s="30"/>
      <c r="GB265" s="30"/>
      <c r="GC265" s="30"/>
      <c r="GD265" s="30"/>
    </row>
    <row r="266" spans="1:186" ht="48" x14ac:dyDescent="0.25">
      <c r="A266" s="156">
        <v>257</v>
      </c>
      <c r="B266" s="395">
        <f>'Tier 3 Intervention'!B1035</f>
        <v>0</v>
      </c>
      <c r="C266" s="395"/>
      <c r="D266" s="395"/>
      <c r="E266" s="395"/>
      <c r="F266" s="395"/>
      <c r="G266" s="395"/>
      <c r="H266" s="761" t="e">
        <f>'Tier 3 Intervention'!AA1035+30</f>
        <v>#VALUE!</v>
      </c>
      <c r="I266" s="761"/>
      <c r="J266" s="762" t="e">
        <f t="shared" si="4"/>
        <v>#VALUE!</v>
      </c>
      <c r="K266" s="395"/>
      <c r="L266" s="47" t="s">
        <v>1043</v>
      </c>
      <c r="M266" s="46"/>
      <c r="N266" s="46"/>
      <c r="O266" s="46"/>
      <c r="P266" s="49"/>
      <c r="Q266" s="19"/>
      <c r="R266" s="20"/>
      <c r="S266" s="20"/>
      <c r="T266" s="20"/>
      <c r="U266" s="20"/>
      <c r="V266" s="21"/>
      <c r="W266" s="22"/>
      <c r="X266" s="22"/>
      <c r="Y266" s="22"/>
      <c r="Z266" s="22"/>
      <c r="AA266" s="19"/>
      <c r="AB266" s="20"/>
      <c r="AC266" s="20"/>
      <c r="AD266" s="20"/>
      <c r="AE266" s="20"/>
      <c r="AF266" s="21"/>
      <c r="AG266" s="22"/>
      <c r="AH266" s="22"/>
      <c r="AI266" s="22"/>
      <c r="AJ266" s="22"/>
      <c r="AK266" s="19"/>
      <c r="AL266" s="20"/>
      <c r="AM266" s="20"/>
      <c r="AN266" s="20"/>
      <c r="AO266" s="20"/>
      <c r="AP266" s="21"/>
      <c r="AQ266" s="22"/>
      <c r="AR266" s="22"/>
      <c r="AS266" s="22"/>
      <c r="AT266" s="22"/>
      <c r="AU266" s="19"/>
      <c r="AV266" s="20"/>
      <c r="AW266" s="20"/>
      <c r="AX266" s="20"/>
      <c r="AY266" s="20"/>
      <c r="AZ266" s="21"/>
      <c r="BA266" s="22"/>
      <c r="BB266" s="22"/>
      <c r="BC266" s="22"/>
      <c r="BD266" s="22"/>
      <c r="BE266" s="19"/>
      <c r="BF266" s="20"/>
      <c r="BG266" s="20"/>
      <c r="BH266" s="20"/>
      <c r="BI266" s="20"/>
      <c r="BJ266" s="21"/>
      <c r="BK266" s="22"/>
      <c r="BL266" s="22"/>
      <c r="BM266" s="22"/>
      <c r="BN266" s="22"/>
      <c r="BO266" s="19"/>
      <c r="BP266" s="20"/>
      <c r="BQ266" s="20"/>
      <c r="BR266" s="20"/>
      <c r="BS266" s="20"/>
      <c r="BT266" s="21"/>
      <c r="BU266" s="22"/>
      <c r="BV266" s="22"/>
      <c r="BW266" s="22"/>
      <c r="BX266" s="22"/>
      <c r="BY266" s="23"/>
      <c r="BZ266" s="24"/>
      <c r="CA266" s="24"/>
      <c r="CB266" s="24"/>
      <c r="CC266" s="24"/>
      <c r="CD266" s="25"/>
      <c r="CE266" s="26"/>
      <c r="CF266" s="26"/>
      <c r="CG266" s="26"/>
      <c r="CH266" s="26"/>
      <c r="CI266" s="27"/>
      <c r="CJ266" s="28"/>
      <c r="CK266" s="28"/>
      <c r="CL266" s="28"/>
      <c r="CM266" s="28"/>
      <c r="CN266" s="25"/>
      <c r="CO266" s="26"/>
      <c r="CP266" s="26"/>
      <c r="CQ266" s="26"/>
      <c r="CR266" s="26"/>
      <c r="CS266" s="27"/>
      <c r="CT266" s="28"/>
      <c r="CU266" s="28"/>
      <c r="CV266" s="28"/>
      <c r="CW266" s="28"/>
      <c r="CX266" s="25"/>
      <c r="CY266" s="26"/>
      <c r="CZ266" s="26"/>
      <c r="DA266" s="26"/>
      <c r="DB266" s="26"/>
      <c r="DC266" s="27"/>
      <c r="DD266" s="28"/>
      <c r="DE266" s="28"/>
      <c r="DF266" s="28"/>
      <c r="DG266" s="28"/>
      <c r="DH266" s="25"/>
      <c r="DI266" s="26"/>
      <c r="DJ266" s="26"/>
      <c r="DK266" s="26"/>
      <c r="DL266" s="26"/>
      <c r="DM266" s="27"/>
      <c r="DN266" s="28"/>
      <c r="DO266" s="28"/>
      <c r="DP266" s="28"/>
      <c r="DQ266" s="28"/>
      <c r="DR266" s="25"/>
      <c r="DS266" s="26"/>
      <c r="DT266" s="26"/>
      <c r="DU266" s="26"/>
      <c r="DV266" s="26"/>
      <c r="DW266" s="27"/>
      <c r="DX266" s="28"/>
      <c r="DY266" s="28"/>
      <c r="DZ266" s="28"/>
      <c r="EA266" s="28"/>
      <c r="EB266" s="29"/>
      <c r="EC266" s="30"/>
      <c r="ED266" s="30"/>
      <c r="EE266" s="30"/>
      <c r="EF266" s="30"/>
      <c r="EG266" s="31"/>
      <c r="EH266" s="32"/>
      <c r="EI266" s="32"/>
      <c r="EJ266" s="32"/>
      <c r="EK266" s="32"/>
      <c r="EL266" s="29"/>
      <c r="EM266" s="30"/>
      <c r="EN266" s="30"/>
      <c r="EO266" s="30"/>
      <c r="EP266" s="30"/>
      <c r="EQ266" s="31"/>
      <c r="ER266" s="32"/>
      <c r="ES266" s="32"/>
      <c r="ET266" s="32"/>
      <c r="EU266" s="32"/>
      <c r="EV266" s="29"/>
      <c r="EW266" s="30"/>
      <c r="EX266" s="30"/>
      <c r="EY266" s="30"/>
      <c r="EZ266" s="30"/>
      <c r="FA266" s="31"/>
      <c r="FB266" s="32"/>
      <c r="FC266" s="32"/>
      <c r="FD266" s="32"/>
      <c r="FE266" s="32"/>
      <c r="FF266" s="29"/>
      <c r="FG266" s="30"/>
      <c r="FH266" s="30"/>
      <c r="FI266" s="30"/>
      <c r="FJ266" s="30"/>
      <c r="FK266" s="31"/>
      <c r="FL266" s="32"/>
      <c r="FM266" s="32"/>
      <c r="FN266" s="32"/>
      <c r="FO266" s="32"/>
      <c r="FP266" s="29"/>
      <c r="FQ266" s="30"/>
      <c r="FR266" s="30"/>
      <c r="FS266" s="30"/>
      <c r="FT266" s="30"/>
      <c r="FU266" s="31"/>
      <c r="FV266" s="32"/>
      <c r="FW266" s="32"/>
      <c r="FX266" s="32"/>
      <c r="FY266" s="32"/>
      <c r="FZ266" s="29"/>
      <c r="GA266" s="30"/>
      <c r="GB266" s="30"/>
      <c r="GC266" s="30"/>
      <c r="GD266" s="30"/>
    </row>
    <row r="267" spans="1:186" ht="48" x14ac:dyDescent="0.25">
      <c r="A267" s="156">
        <v>258</v>
      </c>
      <c r="B267" s="395">
        <f>'Tier 3 Intervention'!B1039</f>
        <v>0</v>
      </c>
      <c r="C267" s="395"/>
      <c r="D267" s="395"/>
      <c r="E267" s="395"/>
      <c r="F267" s="395"/>
      <c r="G267" s="395"/>
      <c r="H267" s="761" t="e">
        <f>'Tier 3 Intervention'!AA1039+30</f>
        <v>#VALUE!</v>
      </c>
      <c r="I267" s="761"/>
      <c r="J267" s="762" t="e">
        <f t="shared" si="4"/>
        <v>#VALUE!</v>
      </c>
      <c r="K267" s="395"/>
      <c r="L267" s="47" t="s">
        <v>1044</v>
      </c>
      <c r="M267" s="46"/>
      <c r="N267" s="46"/>
      <c r="O267" s="46"/>
      <c r="P267" s="49"/>
      <c r="Q267" s="19"/>
      <c r="R267" s="20"/>
      <c r="S267" s="20"/>
      <c r="T267" s="20"/>
      <c r="U267" s="20"/>
      <c r="V267" s="21"/>
      <c r="W267" s="22"/>
      <c r="X267" s="22"/>
      <c r="Y267" s="22"/>
      <c r="Z267" s="22"/>
      <c r="AA267" s="19"/>
      <c r="AB267" s="20"/>
      <c r="AC267" s="20"/>
      <c r="AD267" s="20"/>
      <c r="AE267" s="20"/>
      <c r="AF267" s="21"/>
      <c r="AG267" s="22"/>
      <c r="AH267" s="22"/>
      <c r="AI267" s="22"/>
      <c r="AJ267" s="22"/>
      <c r="AK267" s="19"/>
      <c r="AL267" s="20"/>
      <c r="AM267" s="20"/>
      <c r="AN267" s="20"/>
      <c r="AO267" s="20"/>
      <c r="AP267" s="21"/>
      <c r="AQ267" s="22"/>
      <c r="AR267" s="22"/>
      <c r="AS267" s="22"/>
      <c r="AT267" s="22"/>
      <c r="AU267" s="19"/>
      <c r="AV267" s="20"/>
      <c r="AW267" s="20"/>
      <c r="AX267" s="20"/>
      <c r="AY267" s="20"/>
      <c r="AZ267" s="21"/>
      <c r="BA267" s="22"/>
      <c r="BB267" s="22"/>
      <c r="BC267" s="22"/>
      <c r="BD267" s="22"/>
      <c r="BE267" s="19"/>
      <c r="BF267" s="20"/>
      <c r="BG267" s="20"/>
      <c r="BH267" s="20"/>
      <c r="BI267" s="20"/>
      <c r="BJ267" s="21"/>
      <c r="BK267" s="22"/>
      <c r="BL267" s="22"/>
      <c r="BM267" s="22"/>
      <c r="BN267" s="22"/>
      <c r="BO267" s="19"/>
      <c r="BP267" s="20"/>
      <c r="BQ267" s="20"/>
      <c r="BR267" s="20"/>
      <c r="BS267" s="20"/>
      <c r="BT267" s="21"/>
      <c r="BU267" s="22"/>
      <c r="BV267" s="22"/>
      <c r="BW267" s="22"/>
      <c r="BX267" s="22"/>
      <c r="BY267" s="23"/>
      <c r="BZ267" s="24"/>
      <c r="CA267" s="24"/>
      <c r="CB267" s="24"/>
      <c r="CC267" s="24"/>
      <c r="CD267" s="25"/>
      <c r="CE267" s="26"/>
      <c r="CF267" s="26"/>
      <c r="CG267" s="26"/>
      <c r="CH267" s="26"/>
      <c r="CI267" s="27"/>
      <c r="CJ267" s="28"/>
      <c r="CK267" s="28"/>
      <c r="CL267" s="28"/>
      <c r="CM267" s="28"/>
      <c r="CN267" s="25"/>
      <c r="CO267" s="26"/>
      <c r="CP267" s="26"/>
      <c r="CQ267" s="26"/>
      <c r="CR267" s="26"/>
      <c r="CS267" s="27"/>
      <c r="CT267" s="28"/>
      <c r="CU267" s="28"/>
      <c r="CV267" s="28"/>
      <c r="CW267" s="28"/>
      <c r="CX267" s="25"/>
      <c r="CY267" s="26"/>
      <c r="CZ267" s="26"/>
      <c r="DA267" s="26"/>
      <c r="DB267" s="26"/>
      <c r="DC267" s="27"/>
      <c r="DD267" s="28"/>
      <c r="DE267" s="28"/>
      <c r="DF267" s="28"/>
      <c r="DG267" s="28"/>
      <c r="DH267" s="25"/>
      <c r="DI267" s="26"/>
      <c r="DJ267" s="26"/>
      <c r="DK267" s="26"/>
      <c r="DL267" s="26"/>
      <c r="DM267" s="27"/>
      <c r="DN267" s="28"/>
      <c r="DO267" s="28"/>
      <c r="DP267" s="28"/>
      <c r="DQ267" s="28"/>
      <c r="DR267" s="25"/>
      <c r="DS267" s="26"/>
      <c r="DT267" s="26"/>
      <c r="DU267" s="26"/>
      <c r="DV267" s="26"/>
      <c r="DW267" s="27"/>
      <c r="DX267" s="28"/>
      <c r="DY267" s="28"/>
      <c r="DZ267" s="28"/>
      <c r="EA267" s="28"/>
      <c r="EB267" s="29"/>
      <c r="EC267" s="30"/>
      <c r="ED267" s="30"/>
      <c r="EE267" s="30"/>
      <c r="EF267" s="30"/>
      <c r="EG267" s="31"/>
      <c r="EH267" s="32"/>
      <c r="EI267" s="32"/>
      <c r="EJ267" s="32"/>
      <c r="EK267" s="32"/>
      <c r="EL267" s="29"/>
      <c r="EM267" s="30"/>
      <c r="EN267" s="30"/>
      <c r="EO267" s="30"/>
      <c r="EP267" s="30"/>
      <c r="EQ267" s="31"/>
      <c r="ER267" s="32"/>
      <c r="ES267" s="32"/>
      <c r="ET267" s="32"/>
      <c r="EU267" s="32"/>
      <c r="EV267" s="29"/>
      <c r="EW267" s="30"/>
      <c r="EX267" s="30"/>
      <c r="EY267" s="30"/>
      <c r="EZ267" s="30"/>
      <c r="FA267" s="31"/>
      <c r="FB267" s="32"/>
      <c r="FC267" s="32"/>
      <c r="FD267" s="32"/>
      <c r="FE267" s="32"/>
      <c r="FF267" s="29"/>
      <c r="FG267" s="30"/>
      <c r="FH267" s="30"/>
      <c r="FI267" s="30"/>
      <c r="FJ267" s="30"/>
      <c r="FK267" s="31"/>
      <c r="FL267" s="32"/>
      <c r="FM267" s="32"/>
      <c r="FN267" s="32"/>
      <c r="FO267" s="32"/>
      <c r="FP267" s="29"/>
      <c r="FQ267" s="30"/>
      <c r="FR267" s="30"/>
      <c r="FS267" s="30"/>
      <c r="FT267" s="30"/>
      <c r="FU267" s="31"/>
      <c r="FV267" s="32"/>
      <c r="FW267" s="32"/>
      <c r="FX267" s="32"/>
      <c r="FY267" s="32"/>
      <c r="FZ267" s="29"/>
      <c r="GA267" s="30"/>
      <c r="GB267" s="30"/>
      <c r="GC267" s="30"/>
      <c r="GD267" s="30"/>
    </row>
    <row r="268" spans="1:186" ht="48" x14ac:dyDescent="0.25">
      <c r="A268" s="156">
        <v>259</v>
      </c>
      <c r="B268" s="395">
        <f>'Tier 3 Intervention'!B1043</f>
        <v>0</v>
      </c>
      <c r="C268" s="395"/>
      <c r="D268" s="395"/>
      <c r="E268" s="395"/>
      <c r="F268" s="395"/>
      <c r="G268" s="395"/>
      <c r="H268" s="761" t="e">
        <f>'Tier 3 Intervention'!AA1043+30</f>
        <v>#VALUE!</v>
      </c>
      <c r="I268" s="761"/>
      <c r="J268" s="762" t="e">
        <f t="shared" si="4"/>
        <v>#VALUE!</v>
      </c>
      <c r="K268" s="395"/>
      <c r="L268" s="47" t="s">
        <v>1045</v>
      </c>
      <c r="M268" s="46"/>
      <c r="N268" s="46"/>
      <c r="O268" s="46"/>
      <c r="P268" s="49"/>
      <c r="Q268" s="19"/>
      <c r="R268" s="20"/>
      <c r="S268" s="20"/>
      <c r="T268" s="20"/>
      <c r="U268" s="20"/>
      <c r="V268" s="21"/>
      <c r="W268" s="22"/>
      <c r="X268" s="22"/>
      <c r="Y268" s="22"/>
      <c r="Z268" s="22"/>
      <c r="AA268" s="19"/>
      <c r="AB268" s="20"/>
      <c r="AC268" s="20"/>
      <c r="AD268" s="20"/>
      <c r="AE268" s="20"/>
      <c r="AF268" s="21"/>
      <c r="AG268" s="22"/>
      <c r="AH268" s="22"/>
      <c r="AI268" s="22"/>
      <c r="AJ268" s="22"/>
      <c r="AK268" s="19"/>
      <c r="AL268" s="20"/>
      <c r="AM268" s="20"/>
      <c r="AN268" s="20"/>
      <c r="AO268" s="20"/>
      <c r="AP268" s="21"/>
      <c r="AQ268" s="22"/>
      <c r="AR268" s="22"/>
      <c r="AS268" s="22"/>
      <c r="AT268" s="22"/>
      <c r="AU268" s="19"/>
      <c r="AV268" s="20"/>
      <c r="AW268" s="20"/>
      <c r="AX268" s="20"/>
      <c r="AY268" s="20"/>
      <c r="AZ268" s="21"/>
      <c r="BA268" s="22"/>
      <c r="BB268" s="22"/>
      <c r="BC268" s="22"/>
      <c r="BD268" s="22"/>
      <c r="BE268" s="19"/>
      <c r="BF268" s="20"/>
      <c r="BG268" s="20"/>
      <c r="BH268" s="20"/>
      <c r="BI268" s="20"/>
      <c r="BJ268" s="21"/>
      <c r="BK268" s="22"/>
      <c r="BL268" s="22"/>
      <c r="BM268" s="22"/>
      <c r="BN268" s="22"/>
      <c r="BO268" s="19"/>
      <c r="BP268" s="20"/>
      <c r="BQ268" s="20"/>
      <c r="BR268" s="20"/>
      <c r="BS268" s="20"/>
      <c r="BT268" s="21"/>
      <c r="BU268" s="22"/>
      <c r="BV268" s="22"/>
      <c r="BW268" s="22"/>
      <c r="BX268" s="22"/>
      <c r="BY268" s="23"/>
      <c r="BZ268" s="24"/>
      <c r="CA268" s="24"/>
      <c r="CB268" s="24"/>
      <c r="CC268" s="24"/>
      <c r="CD268" s="25"/>
      <c r="CE268" s="26"/>
      <c r="CF268" s="26"/>
      <c r="CG268" s="26"/>
      <c r="CH268" s="26"/>
      <c r="CI268" s="27"/>
      <c r="CJ268" s="28"/>
      <c r="CK268" s="28"/>
      <c r="CL268" s="28"/>
      <c r="CM268" s="28"/>
      <c r="CN268" s="25"/>
      <c r="CO268" s="26"/>
      <c r="CP268" s="26"/>
      <c r="CQ268" s="26"/>
      <c r="CR268" s="26"/>
      <c r="CS268" s="27"/>
      <c r="CT268" s="28"/>
      <c r="CU268" s="28"/>
      <c r="CV268" s="28"/>
      <c r="CW268" s="28"/>
      <c r="CX268" s="25"/>
      <c r="CY268" s="26"/>
      <c r="CZ268" s="26"/>
      <c r="DA268" s="26"/>
      <c r="DB268" s="26"/>
      <c r="DC268" s="27"/>
      <c r="DD268" s="28"/>
      <c r="DE268" s="28"/>
      <c r="DF268" s="28"/>
      <c r="DG268" s="28"/>
      <c r="DH268" s="25"/>
      <c r="DI268" s="26"/>
      <c r="DJ268" s="26"/>
      <c r="DK268" s="26"/>
      <c r="DL268" s="26"/>
      <c r="DM268" s="27"/>
      <c r="DN268" s="28"/>
      <c r="DO268" s="28"/>
      <c r="DP268" s="28"/>
      <c r="DQ268" s="28"/>
      <c r="DR268" s="25"/>
      <c r="DS268" s="26"/>
      <c r="DT268" s="26"/>
      <c r="DU268" s="26"/>
      <c r="DV268" s="26"/>
      <c r="DW268" s="27"/>
      <c r="DX268" s="28"/>
      <c r="DY268" s="28"/>
      <c r="DZ268" s="28"/>
      <c r="EA268" s="28"/>
      <c r="EB268" s="29"/>
      <c r="EC268" s="30"/>
      <c r="ED268" s="30"/>
      <c r="EE268" s="30"/>
      <c r="EF268" s="30"/>
      <c r="EG268" s="31"/>
      <c r="EH268" s="32"/>
      <c r="EI268" s="32"/>
      <c r="EJ268" s="32"/>
      <c r="EK268" s="32"/>
      <c r="EL268" s="29"/>
      <c r="EM268" s="30"/>
      <c r="EN268" s="30"/>
      <c r="EO268" s="30"/>
      <c r="EP268" s="30"/>
      <c r="EQ268" s="31"/>
      <c r="ER268" s="32"/>
      <c r="ES268" s="32"/>
      <c r="ET268" s="32"/>
      <c r="EU268" s="32"/>
      <c r="EV268" s="29"/>
      <c r="EW268" s="30"/>
      <c r="EX268" s="30"/>
      <c r="EY268" s="30"/>
      <c r="EZ268" s="30"/>
      <c r="FA268" s="31"/>
      <c r="FB268" s="32"/>
      <c r="FC268" s="32"/>
      <c r="FD268" s="32"/>
      <c r="FE268" s="32"/>
      <c r="FF268" s="29"/>
      <c r="FG268" s="30"/>
      <c r="FH268" s="30"/>
      <c r="FI268" s="30"/>
      <c r="FJ268" s="30"/>
      <c r="FK268" s="31"/>
      <c r="FL268" s="32"/>
      <c r="FM268" s="32"/>
      <c r="FN268" s="32"/>
      <c r="FO268" s="32"/>
      <c r="FP268" s="29"/>
      <c r="FQ268" s="30"/>
      <c r="FR268" s="30"/>
      <c r="FS268" s="30"/>
      <c r="FT268" s="30"/>
      <c r="FU268" s="31"/>
      <c r="FV268" s="32"/>
      <c r="FW268" s="32"/>
      <c r="FX268" s="32"/>
      <c r="FY268" s="32"/>
      <c r="FZ268" s="29"/>
      <c r="GA268" s="30"/>
      <c r="GB268" s="30"/>
      <c r="GC268" s="30"/>
      <c r="GD268" s="30"/>
    </row>
    <row r="269" spans="1:186" ht="48" x14ac:dyDescent="0.25">
      <c r="A269" s="156">
        <v>260</v>
      </c>
      <c r="B269" s="395">
        <f>'Tier 3 Intervention'!B1047</f>
        <v>0</v>
      </c>
      <c r="C269" s="395"/>
      <c r="D269" s="395"/>
      <c r="E269" s="395"/>
      <c r="F269" s="395"/>
      <c r="G269" s="395"/>
      <c r="H269" s="761" t="e">
        <f>'Tier 3 Intervention'!AA1047+30</f>
        <v>#VALUE!</v>
      </c>
      <c r="I269" s="761"/>
      <c r="J269" s="762" t="e">
        <f t="shared" si="4"/>
        <v>#VALUE!</v>
      </c>
      <c r="K269" s="395"/>
      <c r="L269" s="47" t="s">
        <v>1046</v>
      </c>
      <c r="M269" s="46"/>
      <c r="N269" s="46"/>
      <c r="O269" s="46"/>
      <c r="P269" s="49"/>
      <c r="Q269" s="19"/>
      <c r="R269" s="20"/>
      <c r="S269" s="20"/>
      <c r="T269" s="20"/>
      <c r="U269" s="20"/>
      <c r="V269" s="21"/>
      <c r="W269" s="22"/>
      <c r="X269" s="22"/>
      <c r="Y269" s="22"/>
      <c r="Z269" s="22"/>
      <c r="AA269" s="19"/>
      <c r="AB269" s="20"/>
      <c r="AC269" s="20"/>
      <c r="AD269" s="20"/>
      <c r="AE269" s="20"/>
      <c r="AF269" s="21"/>
      <c r="AG269" s="22"/>
      <c r="AH269" s="22"/>
      <c r="AI269" s="22"/>
      <c r="AJ269" s="22"/>
      <c r="AK269" s="19"/>
      <c r="AL269" s="20"/>
      <c r="AM269" s="20"/>
      <c r="AN269" s="20"/>
      <c r="AO269" s="20"/>
      <c r="AP269" s="21"/>
      <c r="AQ269" s="22"/>
      <c r="AR269" s="22"/>
      <c r="AS269" s="22"/>
      <c r="AT269" s="22"/>
      <c r="AU269" s="19"/>
      <c r="AV269" s="20"/>
      <c r="AW269" s="20"/>
      <c r="AX269" s="20"/>
      <c r="AY269" s="20"/>
      <c r="AZ269" s="21"/>
      <c r="BA269" s="22"/>
      <c r="BB269" s="22"/>
      <c r="BC269" s="22"/>
      <c r="BD269" s="22"/>
      <c r="BE269" s="19"/>
      <c r="BF269" s="20"/>
      <c r="BG269" s="20"/>
      <c r="BH269" s="20"/>
      <c r="BI269" s="20"/>
      <c r="BJ269" s="21"/>
      <c r="BK269" s="22"/>
      <c r="BL269" s="22"/>
      <c r="BM269" s="22"/>
      <c r="BN269" s="22"/>
      <c r="BO269" s="19"/>
      <c r="BP269" s="20"/>
      <c r="BQ269" s="20"/>
      <c r="BR269" s="20"/>
      <c r="BS269" s="20"/>
      <c r="BT269" s="21"/>
      <c r="BU269" s="22"/>
      <c r="BV269" s="22"/>
      <c r="BW269" s="22"/>
      <c r="BX269" s="22"/>
      <c r="BY269" s="23"/>
      <c r="BZ269" s="24"/>
      <c r="CA269" s="24"/>
      <c r="CB269" s="24"/>
      <c r="CC269" s="24"/>
      <c r="CD269" s="25"/>
      <c r="CE269" s="26"/>
      <c r="CF269" s="26"/>
      <c r="CG269" s="26"/>
      <c r="CH269" s="26"/>
      <c r="CI269" s="27"/>
      <c r="CJ269" s="28"/>
      <c r="CK269" s="28"/>
      <c r="CL269" s="28"/>
      <c r="CM269" s="28"/>
      <c r="CN269" s="25"/>
      <c r="CO269" s="26"/>
      <c r="CP269" s="26"/>
      <c r="CQ269" s="26"/>
      <c r="CR269" s="26"/>
      <c r="CS269" s="27"/>
      <c r="CT269" s="28"/>
      <c r="CU269" s="28"/>
      <c r="CV269" s="28"/>
      <c r="CW269" s="28"/>
      <c r="CX269" s="25"/>
      <c r="CY269" s="26"/>
      <c r="CZ269" s="26"/>
      <c r="DA269" s="26"/>
      <c r="DB269" s="26"/>
      <c r="DC269" s="27"/>
      <c r="DD269" s="28"/>
      <c r="DE269" s="28"/>
      <c r="DF269" s="28"/>
      <c r="DG269" s="28"/>
      <c r="DH269" s="25"/>
      <c r="DI269" s="26"/>
      <c r="DJ269" s="26"/>
      <c r="DK269" s="26"/>
      <c r="DL269" s="26"/>
      <c r="DM269" s="27"/>
      <c r="DN269" s="28"/>
      <c r="DO269" s="28"/>
      <c r="DP269" s="28"/>
      <c r="DQ269" s="28"/>
      <c r="DR269" s="25"/>
      <c r="DS269" s="26"/>
      <c r="DT269" s="26"/>
      <c r="DU269" s="26"/>
      <c r="DV269" s="26"/>
      <c r="DW269" s="27"/>
      <c r="DX269" s="28"/>
      <c r="DY269" s="28"/>
      <c r="DZ269" s="28"/>
      <c r="EA269" s="28"/>
      <c r="EB269" s="29"/>
      <c r="EC269" s="30"/>
      <c r="ED269" s="30"/>
      <c r="EE269" s="30"/>
      <c r="EF269" s="30"/>
      <c r="EG269" s="31"/>
      <c r="EH269" s="32"/>
      <c r="EI269" s="32"/>
      <c r="EJ269" s="32"/>
      <c r="EK269" s="32"/>
      <c r="EL269" s="29"/>
      <c r="EM269" s="30"/>
      <c r="EN269" s="30"/>
      <c r="EO269" s="30"/>
      <c r="EP269" s="30"/>
      <c r="EQ269" s="31"/>
      <c r="ER269" s="32"/>
      <c r="ES269" s="32"/>
      <c r="ET269" s="32"/>
      <c r="EU269" s="32"/>
      <c r="EV269" s="29"/>
      <c r="EW269" s="30"/>
      <c r="EX269" s="30"/>
      <c r="EY269" s="30"/>
      <c r="EZ269" s="30"/>
      <c r="FA269" s="31"/>
      <c r="FB269" s="32"/>
      <c r="FC269" s="32"/>
      <c r="FD269" s="32"/>
      <c r="FE269" s="32"/>
      <c r="FF269" s="29"/>
      <c r="FG269" s="30"/>
      <c r="FH269" s="30"/>
      <c r="FI269" s="30"/>
      <c r="FJ269" s="30"/>
      <c r="FK269" s="31"/>
      <c r="FL269" s="32"/>
      <c r="FM269" s="32"/>
      <c r="FN269" s="32"/>
      <c r="FO269" s="32"/>
      <c r="FP269" s="29"/>
      <c r="FQ269" s="30"/>
      <c r="FR269" s="30"/>
      <c r="FS269" s="30"/>
      <c r="FT269" s="30"/>
      <c r="FU269" s="31"/>
      <c r="FV269" s="32"/>
      <c r="FW269" s="32"/>
      <c r="FX269" s="32"/>
      <c r="FY269" s="32"/>
      <c r="FZ269" s="29"/>
      <c r="GA269" s="30"/>
      <c r="GB269" s="30"/>
      <c r="GC269" s="30"/>
      <c r="GD269" s="30"/>
    </row>
    <row r="270" spans="1:186" ht="48" x14ac:dyDescent="0.25">
      <c r="A270" s="156">
        <v>261</v>
      </c>
      <c r="B270" s="395">
        <f>'Tier 3 Intervention'!B1051</f>
        <v>0</v>
      </c>
      <c r="C270" s="395"/>
      <c r="D270" s="395"/>
      <c r="E270" s="395"/>
      <c r="F270" s="395"/>
      <c r="G270" s="395"/>
      <c r="H270" s="761" t="e">
        <f>'Tier 3 Intervention'!AA1051+30</f>
        <v>#VALUE!</v>
      </c>
      <c r="I270" s="761"/>
      <c r="J270" s="762" t="e">
        <f t="shared" ref="J270:J278" si="5">H270+90</f>
        <v>#VALUE!</v>
      </c>
      <c r="K270" s="395"/>
      <c r="L270" s="47" t="s">
        <v>1047</v>
      </c>
      <c r="M270" s="46"/>
      <c r="N270" s="46"/>
      <c r="O270" s="46"/>
      <c r="P270" s="49"/>
      <c r="Q270" s="19"/>
      <c r="R270" s="20"/>
      <c r="S270" s="20"/>
      <c r="T270" s="20"/>
      <c r="U270" s="20"/>
      <c r="V270" s="21"/>
      <c r="W270" s="22"/>
      <c r="X270" s="22"/>
      <c r="Y270" s="22"/>
      <c r="Z270" s="22"/>
      <c r="AA270" s="19"/>
      <c r="AB270" s="20"/>
      <c r="AC270" s="20"/>
      <c r="AD270" s="20"/>
      <c r="AE270" s="20"/>
      <c r="AF270" s="21"/>
      <c r="AG270" s="22"/>
      <c r="AH270" s="22"/>
      <c r="AI270" s="22"/>
      <c r="AJ270" s="22"/>
      <c r="AK270" s="19"/>
      <c r="AL270" s="20"/>
      <c r="AM270" s="20"/>
      <c r="AN270" s="20"/>
      <c r="AO270" s="20"/>
      <c r="AP270" s="21"/>
      <c r="AQ270" s="22"/>
      <c r="AR270" s="22"/>
      <c r="AS270" s="22"/>
      <c r="AT270" s="22"/>
      <c r="AU270" s="19"/>
      <c r="AV270" s="20"/>
      <c r="AW270" s="20"/>
      <c r="AX270" s="20"/>
      <c r="AY270" s="20"/>
      <c r="AZ270" s="21"/>
      <c r="BA270" s="22"/>
      <c r="BB270" s="22"/>
      <c r="BC270" s="22"/>
      <c r="BD270" s="22"/>
      <c r="BE270" s="19"/>
      <c r="BF270" s="20"/>
      <c r="BG270" s="20"/>
      <c r="BH270" s="20"/>
      <c r="BI270" s="20"/>
      <c r="BJ270" s="21"/>
      <c r="BK270" s="22"/>
      <c r="BL270" s="22"/>
      <c r="BM270" s="22"/>
      <c r="BN270" s="22"/>
      <c r="BO270" s="19"/>
      <c r="BP270" s="20"/>
      <c r="BQ270" s="20"/>
      <c r="BR270" s="20"/>
      <c r="BS270" s="20"/>
      <c r="BT270" s="21"/>
      <c r="BU270" s="22"/>
      <c r="BV270" s="22"/>
      <c r="BW270" s="22"/>
      <c r="BX270" s="22"/>
      <c r="BY270" s="23"/>
      <c r="BZ270" s="24"/>
      <c r="CA270" s="24"/>
      <c r="CB270" s="24"/>
      <c r="CC270" s="24"/>
      <c r="CD270" s="25"/>
      <c r="CE270" s="26"/>
      <c r="CF270" s="26"/>
      <c r="CG270" s="26"/>
      <c r="CH270" s="26"/>
      <c r="CI270" s="27"/>
      <c r="CJ270" s="28"/>
      <c r="CK270" s="28"/>
      <c r="CL270" s="28"/>
      <c r="CM270" s="28"/>
      <c r="CN270" s="25"/>
      <c r="CO270" s="26"/>
      <c r="CP270" s="26"/>
      <c r="CQ270" s="26"/>
      <c r="CR270" s="26"/>
      <c r="CS270" s="27"/>
      <c r="CT270" s="28"/>
      <c r="CU270" s="28"/>
      <c r="CV270" s="28"/>
      <c r="CW270" s="28"/>
      <c r="CX270" s="25"/>
      <c r="CY270" s="26"/>
      <c r="CZ270" s="26"/>
      <c r="DA270" s="26"/>
      <c r="DB270" s="26"/>
      <c r="DC270" s="27"/>
      <c r="DD270" s="28"/>
      <c r="DE270" s="28"/>
      <c r="DF270" s="28"/>
      <c r="DG270" s="28"/>
      <c r="DH270" s="25"/>
      <c r="DI270" s="26"/>
      <c r="DJ270" s="26"/>
      <c r="DK270" s="26"/>
      <c r="DL270" s="26"/>
      <c r="DM270" s="27"/>
      <c r="DN270" s="28"/>
      <c r="DO270" s="28"/>
      <c r="DP270" s="28"/>
      <c r="DQ270" s="28"/>
      <c r="DR270" s="25"/>
      <c r="DS270" s="26"/>
      <c r="DT270" s="26"/>
      <c r="DU270" s="26"/>
      <c r="DV270" s="26"/>
      <c r="DW270" s="27"/>
      <c r="DX270" s="28"/>
      <c r="DY270" s="28"/>
      <c r="DZ270" s="28"/>
      <c r="EA270" s="28"/>
      <c r="EB270" s="29"/>
      <c r="EC270" s="30"/>
      <c r="ED270" s="30"/>
      <c r="EE270" s="30"/>
      <c r="EF270" s="30"/>
      <c r="EG270" s="31"/>
      <c r="EH270" s="32"/>
      <c r="EI270" s="32"/>
      <c r="EJ270" s="32"/>
      <c r="EK270" s="32"/>
      <c r="EL270" s="29"/>
      <c r="EM270" s="30"/>
      <c r="EN270" s="30"/>
      <c r="EO270" s="30"/>
      <c r="EP270" s="30"/>
      <c r="EQ270" s="31"/>
      <c r="ER270" s="32"/>
      <c r="ES270" s="32"/>
      <c r="ET270" s="32"/>
      <c r="EU270" s="32"/>
      <c r="EV270" s="29"/>
      <c r="EW270" s="30"/>
      <c r="EX270" s="30"/>
      <c r="EY270" s="30"/>
      <c r="EZ270" s="30"/>
      <c r="FA270" s="31"/>
      <c r="FB270" s="32"/>
      <c r="FC270" s="32"/>
      <c r="FD270" s="32"/>
      <c r="FE270" s="32"/>
      <c r="FF270" s="29"/>
      <c r="FG270" s="30"/>
      <c r="FH270" s="30"/>
      <c r="FI270" s="30"/>
      <c r="FJ270" s="30"/>
      <c r="FK270" s="31"/>
      <c r="FL270" s="32"/>
      <c r="FM270" s="32"/>
      <c r="FN270" s="32"/>
      <c r="FO270" s="32"/>
      <c r="FP270" s="29"/>
      <c r="FQ270" s="30"/>
      <c r="FR270" s="30"/>
      <c r="FS270" s="30"/>
      <c r="FT270" s="30"/>
      <c r="FU270" s="31"/>
      <c r="FV270" s="32"/>
      <c r="FW270" s="32"/>
      <c r="FX270" s="32"/>
      <c r="FY270" s="32"/>
      <c r="FZ270" s="29"/>
      <c r="GA270" s="30"/>
      <c r="GB270" s="30"/>
      <c r="GC270" s="30"/>
      <c r="GD270" s="30"/>
    </row>
    <row r="271" spans="1:186" ht="48" x14ac:dyDescent="0.25">
      <c r="A271" s="156">
        <v>262</v>
      </c>
      <c r="B271" s="395">
        <f>'Tier 3 Intervention'!B1055</f>
        <v>0</v>
      </c>
      <c r="C271" s="395"/>
      <c r="D271" s="395"/>
      <c r="E271" s="395"/>
      <c r="F271" s="395"/>
      <c r="G271" s="395"/>
      <c r="H271" s="761" t="e">
        <f>'Tier 3 Intervention'!AA1055+30</f>
        <v>#VALUE!</v>
      </c>
      <c r="I271" s="761"/>
      <c r="J271" s="762" t="e">
        <f t="shared" si="5"/>
        <v>#VALUE!</v>
      </c>
      <c r="K271" s="395"/>
      <c r="L271" s="47" t="s">
        <v>1048</v>
      </c>
      <c r="M271" s="46"/>
      <c r="N271" s="46"/>
      <c r="O271" s="46"/>
      <c r="P271" s="49"/>
      <c r="Q271" s="19"/>
      <c r="R271" s="20"/>
      <c r="S271" s="20"/>
      <c r="T271" s="20"/>
      <c r="U271" s="20"/>
      <c r="V271" s="21"/>
      <c r="W271" s="22"/>
      <c r="X271" s="22"/>
      <c r="Y271" s="22"/>
      <c r="Z271" s="22"/>
      <c r="AA271" s="19"/>
      <c r="AB271" s="20"/>
      <c r="AC271" s="20"/>
      <c r="AD271" s="20"/>
      <c r="AE271" s="20"/>
      <c r="AF271" s="21"/>
      <c r="AG271" s="22"/>
      <c r="AH271" s="22"/>
      <c r="AI271" s="22"/>
      <c r="AJ271" s="22"/>
      <c r="AK271" s="19"/>
      <c r="AL271" s="20"/>
      <c r="AM271" s="20"/>
      <c r="AN271" s="20"/>
      <c r="AO271" s="20"/>
      <c r="AP271" s="21"/>
      <c r="AQ271" s="22"/>
      <c r="AR271" s="22"/>
      <c r="AS271" s="22"/>
      <c r="AT271" s="22"/>
      <c r="AU271" s="19"/>
      <c r="AV271" s="20"/>
      <c r="AW271" s="20"/>
      <c r="AX271" s="20"/>
      <c r="AY271" s="20"/>
      <c r="AZ271" s="21"/>
      <c r="BA271" s="22"/>
      <c r="BB271" s="22"/>
      <c r="BC271" s="22"/>
      <c r="BD271" s="22"/>
      <c r="BE271" s="19"/>
      <c r="BF271" s="20"/>
      <c r="BG271" s="20"/>
      <c r="BH271" s="20"/>
      <c r="BI271" s="20"/>
      <c r="BJ271" s="21"/>
      <c r="BK271" s="22"/>
      <c r="BL271" s="22"/>
      <c r="BM271" s="22"/>
      <c r="BN271" s="22"/>
      <c r="BO271" s="19"/>
      <c r="BP271" s="20"/>
      <c r="BQ271" s="20"/>
      <c r="BR271" s="20"/>
      <c r="BS271" s="20"/>
      <c r="BT271" s="21"/>
      <c r="BU271" s="22"/>
      <c r="BV271" s="22"/>
      <c r="BW271" s="22"/>
      <c r="BX271" s="22"/>
      <c r="BY271" s="23"/>
      <c r="BZ271" s="24"/>
      <c r="CA271" s="24"/>
      <c r="CB271" s="24"/>
      <c r="CC271" s="24"/>
      <c r="CD271" s="25"/>
      <c r="CE271" s="26"/>
      <c r="CF271" s="26"/>
      <c r="CG271" s="26"/>
      <c r="CH271" s="26"/>
      <c r="CI271" s="27"/>
      <c r="CJ271" s="28"/>
      <c r="CK271" s="28"/>
      <c r="CL271" s="28"/>
      <c r="CM271" s="28"/>
      <c r="CN271" s="25"/>
      <c r="CO271" s="26"/>
      <c r="CP271" s="26"/>
      <c r="CQ271" s="26"/>
      <c r="CR271" s="26"/>
      <c r="CS271" s="27"/>
      <c r="CT271" s="28"/>
      <c r="CU271" s="28"/>
      <c r="CV271" s="28"/>
      <c r="CW271" s="28"/>
      <c r="CX271" s="25"/>
      <c r="CY271" s="26"/>
      <c r="CZ271" s="26"/>
      <c r="DA271" s="26"/>
      <c r="DB271" s="26"/>
      <c r="DC271" s="27"/>
      <c r="DD271" s="28"/>
      <c r="DE271" s="28"/>
      <c r="DF271" s="28"/>
      <c r="DG271" s="28"/>
      <c r="DH271" s="25"/>
      <c r="DI271" s="26"/>
      <c r="DJ271" s="26"/>
      <c r="DK271" s="26"/>
      <c r="DL271" s="26"/>
      <c r="DM271" s="27"/>
      <c r="DN271" s="28"/>
      <c r="DO271" s="28"/>
      <c r="DP271" s="28"/>
      <c r="DQ271" s="28"/>
      <c r="DR271" s="25"/>
      <c r="DS271" s="26"/>
      <c r="DT271" s="26"/>
      <c r="DU271" s="26"/>
      <c r="DV271" s="26"/>
      <c r="DW271" s="27"/>
      <c r="DX271" s="28"/>
      <c r="DY271" s="28"/>
      <c r="DZ271" s="28"/>
      <c r="EA271" s="28"/>
      <c r="EB271" s="29"/>
      <c r="EC271" s="30"/>
      <c r="ED271" s="30"/>
      <c r="EE271" s="30"/>
      <c r="EF271" s="30"/>
      <c r="EG271" s="31"/>
      <c r="EH271" s="32"/>
      <c r="EI271" s="32"/>
      <c r="EJ271" s="32"/>
      <c r="EK271" s="32"/>
      <c r="EL271" s="29"/>
      <c r="EM271" s="30"/>
      <c r="EN271" s="30"/>
      <c r="EO271" s="30"/>
      <c r="EP271" s="30"/>
      <c r="EQ271" s="31"/>
      <c r="ER271" s="32"/>
      <c r="ES271" s="32"/>
      <c r="ET271" s="32"/>
      <c r="EU271" s="32"/>
      <c r="EV271" s="29"/>
      <c r="EW271" s="30"/>
      <c r="EX271" s="30"/>
      <c r="EY271" s="30"/>
      <c r="EZ271" s="30"/>
      <c r="FA271" s="31"/>
      <c r="FB271" s="32"/>
      <c r="FC271" s="32"/>
      <c r="FD271" s="32"/>
      <c r="FE271" s="32"/>
      <c r="FF271" s="29"/>
      <c r="FG271" s="30"/>
      <c r="FH271" s="30"/>
      <c r="FI271" s="30"/>
      <c r="FJ271" s="30"/>
      <c r="FK271" s="31"/>
      <c r="FL271" s="32"/>
      <c r="FM271" s="32"/>
      <c r="FN271" s="32"/>
      <c r="FO271" s="32"/>
      <c r="FP271" s="29"/>
      <c r="FQ271" s="30"/>
      <c r="FR271" s="30"/>
      <c r="FS271" s="30"/>
      <c r="FT271" s="30"/>
      <c r="FU271" s="31"/>
      <c r="FV271" s="32"/>
      <c r="FW271" s="32"/>
      <c r="FX271" s="32"/>
      <c r="FY271" s="32"/>
      <c r="FZ271" s="29"/>
      <c r="GA271" s="30"/>
      <c r="GB271" s="30"/>
      <c r="GC271" s="30"/>
      <c r="GD271" s="30"/>
    </row>
    <row r="272" spans="1:186" ht="48" x14ac:dyDescent="0.25">
      <c r="A272" s="156">
        <v>263</v>
      </c>
      <c r="B272" s="395">
        <f>'Tier 3 Intervention'!B1059</f>
        <v>0</v>
      </c>
      <c r="C272" s="395"/>
      <c r="D272" s="395"/>
      <c r="E272" s="395"/>
      <c r="F272" s="395"/>
      <c r="G272" s="395"/>
      <c r="H272" s="761" t="e">
        <f>'Tier 3 Intervention'!AA1059+30</f>
        <v>#VALUE!</v>
      </c>
      <c r="I272" s="761"/>
      <c r="J272" s="762" t="e">
        <f t="shared" si="5"/>
        <v>#VALUE!</v>
      </c>
      <c r="K272" s="395"/>
      <c r="L272" s="47" t="s">
        <v>1049</v>
      </c>
      <c r="M272" s="46"/>
      <c r="N272" s="46"/>
      <c r="O272" s="46"/>
      <c r="P272" s="49"/>
      <c r="Q272" s="19"/>
      <c r="R272" s="20"/>
      <c r="S272" s="20"/>
      <c r="T272" s="20"/>
      <c r="U272" s="20"/>
      <c r="V272" s="21"/>
      <c r="W272" s="22"/>
      <c r="X272" s="22"/>
      <c r="Y272" s="22"/>
      <c r="Z272" s="22"/>
      <c r="AA272" s="19"/>
      <c r="AB272" s="20"/>
      <c r="AC272" s="20"/>
      <c r="AD272" s="20"/>
      <c r="AE272" s="20"/>
      <c r="AF272" s="21"/>
      <c r="AG272" s="22"/>
      <c r="AH272" s="22"/>
      <c r="AI272" s="22"/>
      <c r="AJ272" s="22"/>
      <c r="AK272" s="19"/>
      <c r="AL272" s="20"/>
      <c r="AM272" s="20"/>
      <c r="AN272" s="20"/>
      <c r="AO272" s="20"/>
      <c r="AP272" s="21"/>
      <c r="AQ272" s="22"/>
      <c r="AR272" s="22"/>
      <c r="AS272" s="22"/>
      <c r="AT272" s="22"/>
      <c r="AU272" s="19"/>
      <c r="AV272" s="20"/>
      <c r="AW272" s="20"/>
      <c r="AX272" s="20"/>
      <c r="AY272" s="20"/>
      <c r="AZ272" s="21"/>
      <c r="BA272" s="22"/>
      <c r="BB272" s="22"/>
      <c r="BC272" s="22"/>
      <c r="BD272" s="22"/>
      <c r="BE272" s="19"/>
      <c r="BF272" s="20"/>
      <c r="BG272" s="20"/>
      <c r="BH272" s="20"/>
      <c r="BI272" s="20"/>
      <c r="BJ272" s="21"/>
      <c r="BK272" s="22"/>
      <c r="BL272" s="22"/>
      <c r="BM272" s="22"/>
      <c r="BN272" s="22"/>
      <c r="BO272" s="19"/>
      <c r="BP272" s="20"/>
      <c r="BQ272" s="20"/>
      <c r="BR272" s="20"/>
      <c r="BS272" s="20"/>
      <c r="BT272" s="21"/>
      <c r="BU272" s="22"/>
      <c r="BV272" s="22"/>
      <c r="BW272" s="22"/>
      <c r="BX272" s="22"/>
      <c r="BY272" s="23"/>
      <c r="BZ272" s="24"/>
      <c r="CA272" s="24"/>
      <c r="CB272" s="24"/>
      <c r="CC272" s="24"/>
      <c r="CD272" s="25"/>
      <c r="CE272" s="26"/>
      <c r="CF272" s="26"/>
      <c r="CG272" s="26"/>
      <c r="CH272" s="26"/>
      <c r="CI272" s="27"/>
      <c r="CJ272" s="28"/>
      <c r="CK272" s="28"/>
      <c r="CL272" s="28"/>
      <c r="CM272" s="28"/>
      <c r="CN272" s="25"/>
      <c r="CO272" s="26"/>
      <c r="CP272" s="26"/>
      <c r="CQ272" s="26"/>
      <c r="CR272" s="26"/>
      <c r="CS272" s="27"/>
      <c r="CT272" s="28"/>
      <c r="CU272" s="28"/>
      <c r="CV272" s="28"/>
      <c r="CW272" s="28"/>
      <c r="CX272" s="25"/>
      <c r="CY272" s="26"/>
      <c r="CZ272" s="26"/>
      <c r="DA272" s="26"/>
      <c r="DB272" s="26"/>
      <c r="DC272" s="27"/>
      <c r="DD272" s="28"/>
      <c r="DE272" s="28"/>
      <c r="DF272" s="28"/>
      <c r="DG272" s="28"/>
      <c r="DH272" s="25"/>
      <c r="DI272" s="26"/>
      <c r="DJ272" s="26"/>
      <c r="DK272" s="26"/>
      <c r="DL272" s="26"/>
      <c r="DM272" s="27"/>
      <c r="DN272" s="28"/>
      <c r="DO272" s="28"/>
      <c r="DP272" s="28"/>
      <c r="DQ272" s="28"/>
      <c r="DR272" s="25"/>
      <c r="DS272" s="26"/>
      <c r="DT272" s="26"/>
      <c r="DU272" s="26"/>
      <c r="DV272" s="26"/>
      <c r="DW272" s="27"/>
      <c r="DX272" s="28"/>
      <c r="DY272" s="28"/>
      <c r="DZ272" s="28"/>
      <c r="EA272" s="28"/>
      <c r="EB272" s="29"/>
      <c r="EC272" s="30"/>
      <c r="ED272" s="30"/>
      <c r="EE272" s="30"/>
      <c r="EF272" s="30"/>
      <c r="EG272" s="31"/>
      <c r="EH272" s="32"/>
      <c r="EI272" s="32"/>
      <c r="EJ272" s="32"/>
      <c r="EK272" s="32"/>
      <c r="EL272" s="29"/>
      <c r="EM272" s="30"/>
      <c r="EN272" s="30"/>
      <c r="EO272" s="30"/>
      <c r="EP272" s="30"/>
      <c r="EQ272" s="31"/>
      <c r="ER272" s="32"/>
      <c r="ES272" s="32"/>
      <c r="ET272" s="32"/>
      <c r="EU272" s="32"/>
      <c r="EV272" s="29"/>
      <c r="EW272" s="30"/>
      <c r="EX272" s="30"/>
      <c r="EY272" s="30"/>
      <c r="EZ272" s="30"/>
      <c r="FA272" s="31"/>
      <c r="FB272" s="32"/>
      <c r="FC272" s="32"/>
      <c r="FD272" s="32"/>
      <c r="FE272" s="32"/>
      <c r="FF272" s="29"/>
      <c r="FG272" s="30"/>
      <c r="FH272" s="30"/>
      <c r="FI272" s="30"/>
      <c r="FJ272" s="30"/>
      <c r="FK272" s="31"/>
      <c r="FL272" s="32"/>
      <c r="FM272" s="32"/>
      <c r="FN272" s="32"/>
      <c r="FO272" s="32"/>
      <c r="FP272" s="29"/>
      <c r="FQ272" s="30"/>
      <c r="FR272" s="30"/>
      <c r="FS272" s="30"/>
      <c r="FT272" s="30"/>
      <c r="FU272" s="31"/>
      <c r="FV272" s="32"/>
      <c r="FW272" s="32"/>
      <c r="FX272" s="32"/>
      <c r="FY272" s="32"/>
      <c r="FZ272" s="29"/>
      <c r="GA272" s="30"/>
      <c r="GB272" s="30"/>
      <c r="GC272" s="30"/>
      <c r="GD272" s="30"/>
    </row>
    <row r="273" spans="1:186" ht="48" x14ac:dyDescent="0.25">
      <c r="A273" s="156">
        <v>264</v>
      </c>
      <c r="B273" s="395">
        <f>'Tier 3 Intervention'!B1063</f>
        <v>0</v>
      </c>
      <c r="C273" s="395"/>
      <c r="D273" s="395"/>
      <c r="E273" s="395"/>
      <c r="F273" s="395"/>
      <c r="G273" s="395"/>
      <c r="H273" s="761" t="e">
        <f>'Tier 3 Intervention'!AA1063+30</f>
        <v>#VALUE!</v>
      </c>
      <c r="I273" s="761"/>
      <c r="J273" s="762" t="e">
        <f t="shared" si="5"/>
        <v>#VALUE!</v>
      </c>
      <c r="K273" s="395"/>
      <c r="L273" s="47" t="s">
        <v>1050</v>
      </c>
      <c r="M273" s="46"/>
      <c r="N273" s="46"/>
      <c r="O273" s="46"/>
      <c r="P273" s="49"/>
      <c r="Q273" s="19"/>
      <c r="R273" s="20"/>
      <c r="S273" s="20"/>
      <c r="T273" s="20"/>
      <c r="U273" s="20"/>
      <c r="V273" s="21"/>
      <c r="W273" s="22"/>
      <c r="X273" s="22"/>
      <c r="Y273" s="22"/>
      <c r="Z273" s="22"/>
      <c r="AA273" s="19"/>
      <c r="AB273" s="20"/>
      <c r="AC273" s="20"/>
      <c r="AD273" s="20"/>
      <c r="AE273" s="20"/>
      <c r="AF273" s="21"/>
      <c r="AG273" s="22"/>
      <c r="AH273" s="22"/>
      <c r="AI273" s="22"/>
      <c r="AJ273" s="22"/>
      <c r="AK273" s="19"/>
      <c r="AL273" s="20"/>
      <c r="AM273" s="20"/>
      <c r="AN273" s="20"/>
      <c r="AO273" s="20"/>
      <c r="AP273" s="21"/>
      <c r="AQ273" s="22"/>
      <c r="AR273" s="22"/>
      <c r="AS273" s="22"/>
      <c r="AT273" s="22"/>
      <c r="AU273" s="19"/>
      <c r="AV273" s="20"/>
      <c r="AW273" s="20"/>
      <c r="AX273" s="20"/>
      <c r="AY273" s="20"/>
      <c r="AZ273" s="21"/>
      <c r="BA273" s="22"/>
      <c r="BB273" s="22"/>
      <c r="BC273" s="22"/>
      <c r="BD273" s="22"/>
      <c r="BE273" s="19"/>
      <c r="BF273" s="20"/>
      <c r="BG273" s="20"/>
      <c r="BH273" s="20"/>
      <c r="BI273" s="20"/>
      <c r="BJ273" s="21"/>
      <c r="BK273" s="22"/>
      <c r="BL273" s="22"/>
      <c r="BM273" s="22"/>
      <c r="BN273" s="22"/>
      <c r="BO273" s="19"/>
      <c r="BP273" s="20"/>
      <c r="BQ273" s="20"/>
      <c r="BR273" s="20"/>
      <c r="BS273" s="20"/>
      <c r="BT273" s="21"/>
      <c r="BU273" s="22"/>
      <c r="BV273" s="22"/>
      <c r="BW273" s="22"/>
      <c r="BX273" s="22"/>
      <c r="BY273" s="23"/>
      <c r="BZ273" s="24"/>
      <c r="CA273" s="24"/>
      <c r="CB273" s="24"/>
      <c r="CC273" s="24"/>
      <c r="CD273" s="25"/>
      <c r="CE273" s="26"/>
      <c r="CF273" s="26"/>
      <c r="CG273" s="26"/>
      <c r="CH273" s="26"/>
      <c r="CI273" s="27"/>
      <c r="CJ273" s="28"/>
      <c r="CK273" s="28"/>
      <c r="CL273" s="28"/>
      <c r="CM273" s="28"/>
      <c r="CN273" s="25"/>
      <c r="CO273" s="26"/>
      <c r="CP273" s="26"/>
      <c r="CQ273" s="26"/>
      <c r="CR273" s="26"/>
      <c r="CS273" s="27"/>
      <c r="CT273" s="28"/>
      <c r="CU273" s="28"/>
      <c r="CV273" s="28"/>
      <c r="CW273" s="28"/>
      <c r="CX273" s="25"/>
      <c r="CY273" s="26"/>
      <c r="CZ273" s="26"/>
      <c r="DA273" s="26"/>
      <c r="DB273" s="26"/>
      <c r="DC273" s="27"/>
      <c r="DD273" s="28"/>
      <c r="DE273" s="28"/>
      <c r="DF273" s="28"/>
      <c r="DG273" s="28"/>
      <c r="DH273" s="25"/>
      <c r="DI273" s="26"/>
      <c r="DJ273" s="26"/>
      <c r="DK273" s="26"/>
      <c r="DL273" s="26"/>
      <c r="DM273" s="27"/>
      <c r="DN273" s="28"/>
      <c r="DO273" s="28"/>
      <c r="DP273" s="28"/>
      <c r="DQ273" s="28"/>
      <c r="DR273" s="25"/>
      <c r="DS273" s="26"/>
      <c r="DT273" s="26"/>
      <c r="DU273" s="26"/>
      <c r="DV273" s="26"/>
      <c r="DW273" s="27"/>
      <c r="DX273" s="28"/>
      <c r="DY273" s="28"/>
      <c r="DZ273" s="28"/>
      <c r="EA273" s="28"/>
      <c r="EB273" s="29"/>
      <c r="EC273" s="30"/>
      <c r="ED273" s="30"/>
      <c r="EE273" s="30"/>
      <c r="EF273" s="30"/>
      <c r="EG273" s="31"/>
      <c r="EH273" s="32"/>
      <c r="EI273" s="32"/>
      <c r="EJ273" s="32"/>
      <c r="EK273" s="32"/>
      <c r="EL273" s="29"/>
      <c r="EM273" s="30"/>
      <c r="EN273" s="30"/>
      <c r="EO273" s="30"/>
      <c r="EP273" s="30"/>
      <c r="EQ273" s="31"/>
      <c r="ER273" s="32"/>
      <c r="ES273" s="32"/>
      <c r="ET273" s="32"/>
      <c r="EU273" s="32"/>
      <c r="EV273" s="29"/>
      <c r="EW273" s="30"/>
      <c r="EX273" s="30"/>
      <c r="EY273" s="30"/>
      <c r="EZ273" s="30"/>
      <c r="FA273" s="31"/>
      <c r="FB273" s="32"/>
      <c r="FC273" s="32"/>
      <c r="FD273" s="32"/>
      <c r="FE273" s="32"/>
      <c r="FF273" s="29"/>
      <c r="FG273" s="30"/>
      <c r="FH273" s="30"/>
      <c r="FI273" s="30"/>
      <c r="FJ273" s="30"/>
      <c r="FK273" s="31"/>
      <c r="FL273" s="32"/>
      <c r="FM273" s="32"/>
      <c r="FN273" s="32"/>
      <c r="FO273" s="32"/>
      <c r="FP273" s="29"/>
      <c r="FQ273" s="30"/>
      <c r="FR273" s="30"/>
      <c r="FS273" s="30"/>
      <c r="FT273" s="30"/>
      <c r="FU273" s="31"/>
      <c r="FV273" s="32"/>
      <c r="FW273" s="32"/>
      <c r="FX273" s="32"/>
      <c r="FY273" s="32"/>
      <c r="FZ273" s="29"/>
      <c r="GA273" s="30"/>
      <c r="GB273" s="30"/>
      <c r="GC273" s="30"/>
      <c r="GD273" s="30"/>
    </row>
    <row r="274" spans="1:186" ht="48" x14ac:dyDescent="0.25">
      <c r="A274" s="156">
        <v>265</v>
      </c>
      <c r="B274" s="395">
        <f>'Tier 3 Intervention'!B1067</f>
        <v>0</v>
      </c>
      <c r="C274" s="395"/>
      <c r="D274" s="395"/>
      <c r="E274" s="395"/>
      <c r="F274" s="395"/>
      <c r="G274" s="395"/>
      <c r="H274" s="761" t="e">
        <f>'Tier 3 Intervention'!AA1067+30</f>
        <v>#VALUE!</v>
      </c>
      <c r="I274" s="761"/>
      <c r="J274" s="762" t="e">
        <f t="shared" si="5"/>
        <v>#VALUE!</v>
      </c>
      <c r="K274" s="395"/>
      <c r="L274" s="47" t="s">
        <v>1051</v>
      </c>
      <c r="M274" s="46"/>
      <c r="N274" s="46"/>
      <c r="O274" s="46"/>
      <c r="P274" s="49"/>
      <c r="Q274" s="19"/>
      <c r="R274" s="20"/>
      <c r="S274" s="20"/>
      <c r="T274" s="20"/>
      <c r="U274" s="20"/>
      <c r="V274" s="21"/>
      <c r="W274" s="22"/>
      <c r="X274" s="22"/>
      <c r="Y274" s="22"/>
      <c r="Z274" s="22"/>
      <c r="AA274" s="19"/>
      <c r="AB274" s="20"/>
      <c r="AC274" s="20"/>
      <c r="AD274" s="20"/>
      <c r="AE274" s="20"/>
      <c r="AF274" s="21"/>
      <c r="AG274" s="22"/>
      <c r="AH274" s="22"/>
      <c r="AI274" s="22"/>
      <c r="AJ274" s="22"/>
      <c r="AK274" s="19"/>
      <c r="AL274" s="20"/>
      <c r="AM274" s="20"/>
      <c r="AN274" s="20"/>
      <c r="AO274" s="20"/>
      <c r="AP274" s="21"/>
      <c r="AQ274" s="22"/>
      <c r="AR274" s="22"/>
      <c r="AS274" s="22"/>
      <c r="AT274" s="22"/>
      <c r="AU274" s="19"/>
      <c r="AV274" s="20"/>
      <c r="AW274" s="20"/>
      <c r="AX274" s="20"/>
      <c r="AY274" s="20"/>
      <c r="AZ274" s="21"/>
      <c r="BA274" s="22"/>
      <c r="BB274" s="22"/>
      <c r="BC274" s="22"/>
      <c r="BD274" s="22"/>
      <c r="BE274" s="19"/>
      <c r="BF274" s="20"/>
      <c r="BG274" s="20"/>
      <c r="BH274" s="20"/>
      <c r="BI274" s="20"/>
      <c r="BJ274" s="21"/>
      <c r="BK274" s="22"/>
      <c r="BL274" s="22"/>
      <c r="BM274" s="22"/>
      <c r="BN274" s="22"/>
      <c r="BO274" s="19"/>
      <c r="BP274" s="20"/>
      <c r="BQ274" s="20"/>
      <c r="BR274" s="20"/>
      <c r="BS274" s="20"/>
      <c r="BT274" s="21"/>
      <c r="BU274" s="22"/>
      <c r="BV274" s="22"/>
      <c r="BW274" s="22"/>
      <c r="BX274" s="22"/>
      <c r="BY274" s="23"/>
      <c r="BZ274" s="24"/>
      <c r="CA274" s="24"/>
      <c r="CB274" s="24"/>
      <c r="CC274" s="24"/>
      <c r="CD274" s="25"/>
      <c r="CE274" s="26"/>
      <c r="CF274" s="26"/>
      <c r="CG274" s="26"/>
      <c r="CH274" s="26"/>
      <c r="CI274" s="27"/>
      <c r="CJ274" s="28"/>
      <c r="CK274" s="28"/>
      <c r="CL274" s="28"/>
      <c r="CM274" s="28"/>
      <c r="CN274" s="25"/>
      <c r="CO274" s="26"/>
      <c r="CP274" s="26"/>
      <c r="CQ274" s="26"/>
      <c r="CR274" s="26"/>
      <c r="CS274" s="27"/>
      <c r="CT274" s="28"/>
      <c r="CU274" s="28"/>
      <c r="CV274" s="28"/>
      <c r="CW274" s="28"/>
      <c r="CX274" s="25"/>
      <c r="CY274" s="26"/>
      <c r="CZ274" s="26"/>
      <c r="DA274" s="26"/>
      <c r="DB274" s="26"/>
      <c r="DC274" s="27"/>
      <c r="DD274" s="28"/>
      <c r="DE274" s="28"/>
      <c r="DF274" s="28"/>
      <c r="DG274" s="28"/>
      <c r="DH274" s="25"/>
      <c r="DI274" s="26"/>
      <c r="DJ274" s="26"/>
      <c r="DK274" s="26"/>
      <c r="DL274" s="26"/>
      <c r="DM274" s="27"/>
      <c r="DN274" s="28"/>
      <c r="DO274" s="28"/>
      <c r="DP274" s="28"/>
      <c r="DQ274" s="28"/>
      <c r="DR274" s="25"/>
      <c r="DS274" s="26"/>
      <c r="DT274" s="26"/>
      <c r="DU274" s="26"/>
      <c r="DV274" s="26"/>
      <c r="DW274" s="27"/>
      <c r="DX274" s="28"/>
      <c r="DY274" s="28"/>
      <c r="DZ274" s="28"/>
      <c r="EA274" s="28"/>
      <c r="EB274" s="29"/>
      <c r="EC274" s="30"/>
      <c r="ED274" s="30"/>
      <c r="EE274" s="30"/>
      <c r="EF274" s="30"/>
      <c r="EG274" s="31"/>
      <c r="EH274" s="32"/>
      <c r="EI274" s="32"/>
      <c r="EJ274" s="32"/>
      <c r="EK274" s="32"/>
      <c r="EL274" s="29"/>
      <c r="EM274" s="30"/>
      <c r="EN274" s="30"/>
      <c r="EO274" s="30"/>
      <c r="EP274" s="30"/>
      <c r="EQ274" s="31"/>
      <c r="ER274" s="32"/>
      <c r="ES274" s="32"/>
      <c r="ET274" s="32"/>
      <c r="EU274" s="32"/>
      <c r="EV274" s="29"/>
      <c r="EW274" s="30"/>
      <c r="EX274" s="30"/>
      <c r="EY274" s="30"/>
      <c r="EZ274" s="30"/>
      <c r="FA274" s="31"/>
      <c r="FB274" s="32"/>
      <c r="FC274" s="32"/>
      <c r="FD274" s="32"/>
      <c r="FE274" s="32"/>
      <c r="FF274" s="29"/>
      <c r="FG274" s="30"/>
      <c r="FH274" s="30"/>
      <c r="FI274" s="30"/>
      <c r="FJ274" s="30"/>
      <c r="FK274" s="31"/>
      <c r="FL274" s="32"/>
      <c r="FM274" s="32"/>
      <c r="FN274" s="32"/>
      <c r="FO274" s="32"/>
      <c r="FP274" s="29"/>
      <c r="FQ274" s="30"/>
      <c r="FR274" s="30"/>
      <c r="FS274" s="30"/>
      <c r="FT274" s="30"/>
      <c r="FU274" s="31"/>
      <c r="FV274" s="32"/>
      <c r="FW274" s="32"/>
      <c r="FX274" s="32"/>
      <c r="FY274" s="32"/>
      <c r="FZ274" s="29"/>
      <c r="GA274" s="30"/>
      <c r="GB274" s="30"/>
      <c r="GC274" s="30"/>
      <c r="GD274" s="30"/>
    </row>
    <row r="275" spans="1:186" ht="48" x14ac:dyDescent="0.25">
      <c r="A275" s="156">
        <v>266</v>
      </c>
      <c r="B275" s="395">
        <f>'Tier 3 Intervention'!B1071</f>
        <v>0</v>
      </c>
      <c r="C275" s="395"/>
      <c r="D275" s="395"/>
      <c r="E275" s="395"/>
      <c r="F275" s="395"/>
      <c r="G275" s="395"/>
      <c r="H275" s="761" t="e">
        <f>'Tier 3 Intervention'!AA1071+30</f>
        <v>#VALUE!</v>
      </c>
      <c r="I275" s="761"/>
      <c r="J275" s="762" t="e">
        <f t="shared" si="5"/>
        <v>#VALUE!</v>
      </c>
      <c r="K275" s="395"/>
      <c r="L275" s="47" t="s">
        <v>1052</v>
      </c>
      <c r="M275" s="46"/>
      <c r="N275" s="46"/>
      <c r="O275" s="46"/>
      <c r="P275" s="49"/>
      <c r="Q275" s="19"/>
      <c r="R275" s="20"/>
      <c r="S275" s="20"/>
      <c r="T275" s="20"/>
      <c r="U275" s="20"/>
      <c r="V275" s="21"/>
      <c r="W275" s="22"/>
      <c r="X275" s="22"/>
      <c r="Y275" s="22"/>
      <c r="Z275" s="22"/>
      <c r="AA275" s="19"/>
      <c r="AB275" s="20"/>
      <c r="AC275" s="20"/>
      <c r="AD275" s="20"/>
      <c r="AE275" s="20"/>
      <c r="AF275" s="21"/>
      <c r="AG275" s="22"/>
      <c r="AH275" s="22"/>
      <c r="AI275" s="22"/>
      <c r="AJ275" s="22"/>
      <c r="AK275" s="19"/>
      <c r="AL275" s="20"/>
      <c r="AM275" s="20"/>
      <c r="AN275" s="20"/>
      <c r="AO275" s="20"/>
      <c r="AP275" s="21"/>
      <c r="AQ275" s="22"/>
      <c r="AR275" s="22"/>
      <c r="AS275" s="22"/>
      <c r="AT275" s="22"/>
      <c r="AU275" s="19"/>
      <c r="AV275" s="20"/>
      <c r="AW275" s="20"/>
      <c r="AX275" s="20"/>
      <c r="AY275" s="20"/>
      <c r="AZ275" s="21"/>
      <c r="BA275" s="22"/>
      <c r="BB275" s="22"/>
      <c r="BC275" s="22"/>
      <c r="BD275" s="22"/>
      <c r="BE275" s="19"/>
      <c r="BF275" s="20"/>
      <c r="BG275" s="20"/>
      <c r="BH275" s="20"/>
      <c r="BI275" s="20"/>
      <c r="BJ275" s="21"/>
      <c r="BK275" s="22"/>
      <c r="BL275" s="22"/>
      <c r="BM275" s="22"/>
      <c r="BN275" s="22"/>
      <c r="BO275" s="19"/>
      <c r="BP275" s="20"/>
      <c r="BQ275" s="20"/>
      <c r="BR275" s="20"/>
      <c r="BS275" s="20"/>
      <c r="BT275" s="21"/>
      <c r="BU275" s="22"/>
      <c r="BV275" s="22"/>
      <c r="BW275" s="22"/>
      <c r="BX275" s="22"/>
      <c r="BY275" s="23"/>
      <c r="BZ275" s="24"/>
      <c r="CA275" s="24"/>
      <c r="CB275" s="24"/>
      <c r="CC275" s="24"/>
      <c r="CD275" s="25"/>
      <c r="CE275" s="26"/>
      <c r="CF275" s="26"/>
      <c r="CG275" s="26"/>
      <c r="CH275" s="26"/>
      <c r="CI275" s="27"/>
      <c r="CJ275" s="28"/>
      <c r="CK275" s="28"/>
      <c r="CL275" s="28"/>
      <c r="CM275" s="28"/>
      <c r="CN275" s="25"/>
      <c r="CO275" s="26"/>
      <c r="CP275" s="26"/>
      <c r="CQ275" s="26"/>
      <c r="CR275" s="26"/>
      <c r="CS275" s="27"/>
      <c r="CT275" s="28"/>
      <c r="CU275" s="28"/>
      <c r="CV275" s="28"/>
      <c r="CW275" s="28"/>
      <c r="CX275" s="25"/>
      <c r="CY275" s="26"/>
      <c r="CZ275" s="26"/>
      <c r="DA275" s="26"/>
      <c r="DB275" s="26"/>
      <c r="DC275" s="27"/>
      <c r="DD275" s="28"/>
      <c r="DE275" s="28"/>
      <c r="DF275" s="28"/>
      <c r="DG275" s="28"/>
      <c r="DH275" s="25"/>
      <c r="DI275" s="26"/>
      <c r="DJ275" s="26"/>
      <c r="DK275" s="26"/>
      <c r="DL275" s="26"/>
      <c r="DM275" s="27"/>
      <c r="DN275" s="28"/>
      <c r="DO275" s="28"/>
      <c r="DP275" s="28"/>
      <c r="DQ275" s="28"/>
      <c r="DR275" s="25"/>
      <c r="DS275" s="26"/>
      <c r="DT275" s="26"/>
      <c r="DU275" s="26"/>
      <c r="DV275" s="26"/>
      <c r="DW275" s="27"/>
      <c r="DX275" s="28"/>
      <c r="DY275" s="28"/>
      <c r="DZ275" s="28"/>
      <c r="EA275" s="28"/>
      <c r="EB275" s="29"/>
      <c r="EC275" s="30"/>
      <c r="ED275" s="30"/>
      <c r="EE275" s="30"/>
      <c r="EF275" s="30"/>
      <c r="EG275" s="31"/>
      <c r="EH275" s="32"/>
      <c r="EI275" s="32"/>
      <c r="EJ275" s="32"/>
      <c r="EK275" s="32"/>
      <c r="EL275" s="29"/>
      <c r="EM275" s="30"/>
      <c r="EN275" s="30"/>
      <c r="EO275" s="30"/>
      <c r="EP275" s="30"/>
      <c r="EQ275" s="31"/>
      <c r="ER275" s="32"/>
      <c r="ES275" s="32"/>
      <c r="ET275" s="32"/>
      <c r="EU275" s="32"/>
      <c r="EV275" s="29"/>
      <c r="EW275" s="30"/>
      <c r="EX275" s="30"/>
      <c r="EY275" s="30"/>
      <c r="EZ275" s="30"/>
      <c r="FA275" s="31"/>
      <c r="FB275" s="32"/>
      <c r="FC275" s="32"/>
      <c r="FD275" s="32"/>
      <c r="FE275" s="32"/>
      <c r="FF275" s="29"/>
      <c r="FG275" s="30"/>
      <c r="FH275" s="30"/>
      <c r="FI275" s="30"/>
      <c r="FJ275" s="30"/>
      <c r="FK275" s="31"/>
      <c r="FL275" s="32"/>
      <c r="FM275" s="32"/>
      <c r="FN275" s="32"/>
      <c r="FO275" s="32"/>
      <c r="FP275" s="29"/>
      <c r="FQ275" s="30"/>
      <c r="FR275" s="30"/>
      <c r="FS275" s="30"/>
      <c r="FT275" s="30"/>
      <c r="FU275" s="31"/>
      <c r="FV275" s="32"/>
      <c r="FW275" s="32"/>
      <c r="FX275" s="32"/>
      <c r="FY275" s="32"/>
      <c r="FZ275" s="29"/>
      <c r="GA275" s="30"/>
      <c r="GB275" s="30"/>
      <c r="GC275" s="30"/>
      <c r="GD275" s="30"/>
    </row>
    <row r="276" spans="1:186" ht="48" x14ac:dyDescent="0.25">
      <c r="A276" s="156">
        <v>267</v>
      </c>
      <c r="B276" s="395">
        <f>'Tier 3 Intervention'!B1075</f>
        <v>0</v>
      </c>
      <c r="C276" s="395"/>
      <c r="D276" s="395"/>
      <c r="E276" s="395"/>
      <c r="F276" s="395"/>
      <c r="G276" s="395"/>
      <c r="H276" s="761" t="e">
        <f>'Tier 3 Intervention'!AA1075+30</f>
        <v>#VALUE!</v>
      </c>
      <c r="I276" s="761"/>
      <c r="J276" s="762" t="e">
        <f t="shared" si="5"/>
        <v>#VALUE!</v>
      </c>
      <c r="K276" s="395"/>
      <c r="L276" s="47" t="s">
        <v>1053</v>
      </c>
      <c r="M276" s="46"/>
      <c r="N276" s="46"/>
      <c r="O276" s="46"/>
      <c r="P276" s="49"/>
      <c r="Q276" s="19"/>
      <c r="R276" s="20"/>
      <c r="S276" s="20"/>
      <c r="T276" s="20"/>
      <c r="U276" s="20"/>
      <c r="V276" s="21"/>
      <c r="W276" s="22"/>
      <c r="X276" s="22"/>
      <c r="Y276" s="22"/>
      <c r="Z276" s="22"/>
      <c r="AA276" s="19"/>
      <c r="AB276" s="20"/>
      <c r="AC276" s="20"/>
      <c r="AD276" s="20"/>
      <c r="AE276" s="20"/>
      <c r="AF276" s="21"/>
      <c r="AG276" s="22"/>
      <c r="AH276" s="22"/>
      <c r="AI276" s="22"/>
      <c r="AJ276" s="22"/>
      <c r="AK276" s="19"/>
      <c r="AL276" s="20"/>
      <c r="AM276" s="20"/>
      <c r="AN276" s="20"/>
      <c r="AO276" s="20"/>
      <c r="AP276" s="21"/>
      <c r="AQ276" s="22"/>
      <c r="AR276" s="22"/>
      <c r="AS276" s="22"/>
      <c r="AT276" s="22"/>
      <c r="AU276" s="19"/>
      <c r="AV276" s="20"/>
      <c r="AW276" s="20"/>
      <c r="AX276" s="20"/>
      <c r="AY276" s="20"/>
      <c r="AZ276" s="21"/>
      <c r="BA276" s="22"/>
      <c r="BB276" s="22"/>
      <c r="BC276" s="22"/>
      <c r="BD276" s="22"/>
      <c r="BE276" s="19"/>
      <c r="BF276" s="20"/>
      <c r="BG276" s="20"/>
      <c r="BH276" s="20"/>
      <c r="BI276" s="20"/>
      <c r="BJ276" s="21"/>
      <c r="BK276" s="22"/>
      <c r="BL276" s="22"/>
      <c r="BM276" s="22"/>
      <c r="BN276" s="22"/>
      <c r="BO276" s="19"/>
      <c r="BP276" s="20"/>
      <c r="BQ276" s="20"/>
      <c r="BR276" s="20"/>
      <c r="BS276" s="20"/>
      <c r="BT276" s="21"/>
      <c r="BU276" s="22"/>
      <c r="BV276" s="22"/>
      <c r="BW276" s="22"/>
      <c r="BX276" s="22"/>
      <c r="BY276" s="23"/>
      <c r="BZ276" s="24"/>
      <c r="CA276" s="24"/>
      <c r="CB276" s="24"/>
      <c r="CC276" s="24"/>
      <c r="CD276" s="25"/>
      <c r="CE276" s="26"/>
      <c r="CF276" s="26"/>
      <c r="CG276" s="26"/>
      <c r="CH276" s="26"/>
      <c r="CI276" s="27"/>
      <c r="CJ276" s="28"/>
      <c r="CK276" s="28"/>
      <c r="CL276" s="28"/>
      <c r="CM276" s="28"/>
      <c r="CN276" s="25"/>
      <c r="CO276" s="26"/>
      <c r="CP276" s="26"/>
      <c r="CQ276" s="26"/>
      <c r="CR276" s="26"/>
      <c r="CS276" s="27"/>
      <c r="CT276" s="28"/>
      <c r="CU276" s="28"/>
      <c r="CV276" s="28"/>
      <c r="CW276" s="28"/>
      <c r="CX276" s="25"/>
      <c r="CY276" s="26"/>
      <c r="CZ276" s="26"/>
      <c r="DA276" s="26"/>
      <c r="DB276" s="26"/>
      <c r="DC276" s="27"/>
      <c r="DD276" s="28"/>
      <c r="DE276" s="28"/>
      <c r="DF276" s="28"/>
      <c r="DG276" s="28"/>
      <c r="DH276" s="25"/>
      <c r="DI276" s="26"/>
      <c r="DJ276" s="26"/>
      <c r="DK276" s="26"/>
      <c r="DL276" s="26"/>
      <c r="DM276" s="27"/>
      <c r="DN276" s="28"/>
      <c r="DO276" s="28"/>
      <c r="DP276" s="28"/>
      <c r="DQ276" s="28"/>
      <c r="DR276" s="25"/>
      <c r="DS276" s="26"/>
      <c r="DT276" s="26"/>
      <c r="DU276" s="26"/>
      <c r="DV276" s="26"/>
      <c r="DW276" s="27"/>
      <c r="DX276" s="28"/>
      <c r="DY276" s="28"/>
      <c r="DZ276" s="28"/>
      <c r="EA276" s="28"/>
      <c r="EB276" s="29"/>
      <c r="EC276" s="30"/>
      <c r="ED276" s="30"/>
      <c r="EE276" s="30"/>
      <c r="EF276" s="30"/>
      <c r="EG276" s="31"/>
      <c r="EH276" s="32"/>
      <c r="EI276" s="32"/>
      <c r="EJ276" s="32"/>
      <c r="EK276" s="32"/>
      <c r="EL276" s="29"/>
      <c r="EM276" s="30"/>
      <c r="EN276" s="30"/>
      <c r="EO276" s="30"/>
      <c r="EP276" s="30"/>
      <c r="EQ276" s="31"/>
      <c r="ER276" s="32"/>
      <c r="ES276" s="32"/>
      <c r="ET276" s="32"/>
      <c r="EU276" s="32"/>
      <c r="EV276" s="29"/>
      <c r="EW276" s="30"/>
      <c r="EX276" s="30"/>
      <c r="EY276" s="30"/>
      <c r="EZ276" s="30"/>
      <c r="FA276" s="31"/>
      <c r="FB276" s="32"/>
      <c r="FC276" s="32"/>
      <c r="FD276" s="32"/>
      <c r="FE276" s="32"/>
      <c r="FF276" s="29"/>
      <c r="FG276" s="30"/>
      <c r="FH276" s="30"/>
      <c r="FI276" s="30"/>
      <c r="FJ276" s="30"/>
      <c r="FK276" s="31"/>
      <c r="FL276" s="32"/>
      <c r="FM276" s="32"/>
      <c r="FN276" s="32"/>
      <c r="FO276" s="32"/>
      <c r="FP276" s="29"/>
      <c r="FQ276" s="30"/>
      <c r="FR276" s="30"/>
      <c r="FS276" s="30"/>
      <c r="FT276" s="30"/>
      <c r="FU276" s="31"/>
      <c r="FV276" s="32"/>
      <c r="FW276" s="32"/>
      <c r="FX276" s="32"/>
      <c r="FY276" s="32"/>
      <c r="FZ276" s="29"/>
      <c r="GA276" s="30"/>
      <c r="GB276" s="30"/>
      <c r="GC276" s="30"/>
      <c r="GD276" s="30"/>
    </row>
    <row r="277" spans="1:186" ht="48" x14ac:dyDescent="0.25">
      <c r="A277" s="156">
        <v>268</v>
      </c>
      <c r="B277" s="395">
        <f>'Tier 3 Intervention'!B1079</f>
        <v>0</v>
      </c>
      <c r="C277" s="395"/>
      <c r="D277" s="395"/>
      <c r="E277" s="395"/>
      <c r="F277" s="395"/>
      <c r="G277" s="395"/>
      <c r="H277" s="761" t="e">
        <f>'Tier 3 Intervention'!AA1079+30</f>
        <v>#VALUE!</v>
      </c>
      <c r="I277" s="761"/>
      <c r="J277" s="762" t="e">
        <f t="shared" si="5"/>
        <v>#VALUE!</v>
      </c>
      <c r="K277" s="395"/>
      <c r="L277" s="47" t="s">
        <v>1054</v>
      </c>
      <c r="M277" s="46"/>
      <c r="N277" s="46"/>
      <c r="O277" s="46"/>
      <c r="P277" s="49"/>
      <c r="Q277" s="19"/>
      <c r="R277" s="20"/>
      <c r="S277" s="20"/>
      <c r="T277" s="20"/>
      <c r="U277" s="20"/>
      <c r="V277" s="21"/>
      <c r="W277" s="22"/>
      <c r="X277" s="22"/>
      <c r="Y277" s="22"/>
      <c r="Z277" s="22"/>
      <c r="AA277" s="19"/>
      <c r="AB277" s="20"/>
      <c r="AC277" s="20"/>
      <c r="AD277" s="20"/>
      <c r="AE277" s="20"/>
      <c r="AF277" s="21"/>
      <c r="AG277" s="22"/>
      <c r="AH277" s="22"/>
      <c r="AI277" s="22"/>
      <c r="AJ277" s="22"/>
      <c r="AK277" s="19"/>
      <c r="AL277" s="20"/>
      <c r="AM277" s="20"/>
      <c r="AN277" s="20"/>
      <c r="AO277" s="20"/>
      <c r="AP277" s="21"/>
      <c r="AQ277" s="22"/>
      <c r="AR277" s="22"/>
      <c r="AS277" s="22"/>
      <c r="AT277" s="22"/>
      <c r="AU277" s="19"/>
      <c r="AV277" s="20"/>
      <c r="AW277" s="20"/>
      <c r="AX277" s="20"/>
      <c r="AY277" s="20"/>
      <c r="AZ277" s="21"/>
      <c r="BA277" s="22"/>
      <c r="BB277" s="22"/>
      <c r="BC277" s="22"/>
      <c r="BD277" s="22"/>
      <c r="BE277" s="19"/>
      <c r="BF277" s="20"/>
      <c r="BG277" s="20"/>
      <c r="BH277" s="20"/>
      <c r="BI277" s="20"/>
      <c r="BJ277" s="21"/>
      <c r="BK277" s="22"/>
      <c r="BL277" s="22"/>
      <c r="BM277" s="22"/>
      <c r="BN277" s="22"/>
      <c r="BO277" s="19"/>
      <c r="BP277" s="20"/>
      <c r="BQ277" s="20"/>
      <c r="BR277" s="20"/>
      <c r="BS277" s="20"/>
      <c r="BT277" s="21"/>
      <c r="BU277" s="22"/>
      <c r="BV277" s="22"/>
      <c r="BW277" s="22"/>
      <c r="BX277" s="22"/>
      <c r="BY277" s="23"/>
      <c r="BZ277" s="24"/>
      <c r="CA277" s="24"/>
      <c r="CB277" s="24"/>
      <c r="CC277" s="24"/>
      <c r="CD277" s="25"/>
      <c r="CE277" s="26"/>
      <c r="CF277" s="26"/>
      <c r="CG277" s="26"/>
      <c r="CH277" s="26"/>
      <c r="CI277" s="27"/>
      <c r="CJ277" s="28"/>
      <c r="CK277" s="28"/>
      <c r="CL277" s="28"/>
      <c r="CM277" s="28"/>
      <c r="CN277" s="25"/>
      <c r="CO277" s="26"/>
      <c r="CP277" s="26"/>
      <c r="CQ277" s="26"/>
      <c r="CR277" s="26"/>
      <c r="CS277" s="27"/>
      <c r="CT277" s="28"/>
      <c r="CU277" s="28"/>
      <c r="CV277" s="28"/>
      <c r="CW277" s="28"/>
      <c r="CX277" s="25"/>
      <c r="CY277" s="26"/>
      <c r="CZ277" s="26"/>
      <c r="DA277" s="26"/>
      <c r="DB277" s="26"/>
      <c r="DC277" s="27"/>
      <c r="DD277" s="28"/>
      <c r="DE277" s="28"/>
      <c r="DF277" s="28"/>
      <c r="DG277" s="28"/>
      <c r="DH277" s="25"/>
      <c r="DI277" s="26"/>
      <c r="DJ277" s="26"/>
      <c r="DK277" s="26"/>
      <c r="DL277" s="26"/>
      <c r="DM277" s="27"/>
      <c r="DN277" s="28"/>
      <c r="DO277" s="28"/>
      <c r="DP277" s="28"/>
      <c r="DQ277" s="28"/>
      <c r="DR277" s="25"/>
      <c r="DS277" s="26"/>
      <c r="DT277" s="26"/>
      <c r="DU277" s="26"/>
      <c r="DV277" s="26"/>
      <c r="DW277" s="27"/>
      <c r="DX277" s="28"/>
      <c r="DY277" s="28"/>
      <c r="DZ277" s="28"/>
      <c r="EA277" s="28"/>
      <c r="EB277" s="29"/>
      <c r="EC277" s="30"/>
      <c r="ED277" s="30"/>
      <c r="EE277" s="30"/>
      <c r="EF277" s="30"/>
      <c r="EG277" s="31"/>
      <c r="EH277" s="32"/>
      <c r="EI277" s="32"/>
      <c r="EJ277" s="32"/>
      <c r="EK277" s="32"/>
      <c r="EL277" s="29"/>
      <c r="EM277" s="30"/>
      <c r="EN277" s="30"/>
      <c r="EO277" s="30"/>
      <c r="EP277" s="30"/>
      <c r="EQ277" s="31"/>
      <c r="ER277" s="32"/>
      <c r="ES277" s="32"/>
      <c r="ET277" s="32"/>
      <c r="EU277" s="32"/>
      <c r="EV277" s="29"/>
      <c r="EW277" s="30"/>
      <c r="EX277" s="30"/>
      <c r="EY277" s="30"/>
      <c r="EZ277" s="30"/>
      <c r="FA277" s="31"/>
      <c r="FB277" s="32"/>
      <c r="FC277" s="32"/>
      <c r="FD277" s="32"/>
      <c r="FE277" s="32"/>
      <c r="FF277" s="29"/>
      <c r="FG277" s="30"/>
      <c r="FH277" s="30"/>
      <c r="FI277" s="30"/>
      <c r="FJ277" s="30"/>
      <c r="FK277" s="31"/>
      <c r="FL277" s="32"/>
      <c r="FM277" s="32"/>
      <c r="FN277" s="32"/>
      <c r="FO277" s="32"/>
      <c r="FP277" s="29"/>
      <c r="FQ277" s="30"/>
      <c r="FR277" s="30"/>
      <c r="FS277" s="30"/>
      <c r="FT277" s="30"/>
      <c r="FU277" s="31"/>
      <c r="FV277" s="32"/>
      <c r="FW277" s="32"/>
      <c r="FX277" s="32"/>
      <c r="FY277" s="32"/>
      <c r="FZ277" s="29"/>
      <c r="GA277" s="30"/>
      <c r="GB277" s="30"/>
      <c r="GC277" s="30"/>
      <c r="GD277" s="30"/>
    </row>
    <row r="278" spans="1:186" ht="48" x14ac:dyDescent="0.25">
      <c r="A278" s="156">
        <v>269</v>
      </c>
      <c r="B278" s="395">
        <f>'Tier 3 Intervention'!B1083</f>
        <v>0</v>
      </c>
      <c r="C278" s="395"/>
      <c r="D278" s="395"/>
      <c r="E278" s="395"/>
      <c r="F278" s="395"/>
      <c r="G278" s="395"/>
      <c r="H278" s="761" t="e">
        <f>'Tier 3 Intervention'!AA1083+30</f>
        <v>#VALUE!</v>
      </c>
      <c r="I278" s="761"/>
      <c r="J278" s="762" t="e">
        <f t="shared" si="5"/>
        <v>#VALUE!</v>
      </c>
      <c r="K278" s="395"/>
      <c r="L278" s="47" t="s">
        <v>1055</v>
      </c>
      <c r="M278" s="46"/>
      <c r="N278" s="46"/>
      <c r="O278" s="46"/>
      <c r="P278" s="49"/>
      <c r="Q278" s="19"/>
      <c r="R278" s="20"/>
      <c r="S278" s="20"/>
      <c r="T278" s="20"/>
      <c r="U278" s="20"/>
      <c r="V278" s="21"/>
      <c r="W278" s="22"/>
      <c r="X278" s="22"/>
      <c r="Y278" s="22"/>
      <c r="Z278" s="22"/>
      <c r="AA278" s="19"/>
      <c r="AB278" s="20"/>
      <c r="AC278" s="20"/>
      <c r="AD278" s="20"/>
      <c r="AE278" s="20"/>
      <c r="AF278" s="21"/>
      <c r="AG278" s="22"/>
      <c r="AH278" s="22"/>
      <c r="AI278" s="22"/>
      <c r="AJ278" s="22"/>
      <c r="AK278" s="19"/>
      <c r="AL278" s="20"/>
      <c r="AM278" s="20"/>
      <c r="AN278" s="20"/>
      <c r="AO278" s="20"/>
      <c r="AP278" s="21"/>
      <c r="AQ278" s="22"/>
      <c r="AR278" s="22"/>
      <c r="AS278" s="22"/>
      <c r="AT278" s="22"/>
      <c r="AU278" s="19"/>
      <c r="AV278" s="20"/>
      <c r="AW278" s="20"/>
      <c r="AX278" s="20"/>
      <c r="AY278" s="20"/>
      <c r="AZ278" s="21"/>
      <c r="BA278" s="22"/>
      <c r="BB278" s="22"/>
      <c r="BC278" s="22"/>
      <c r="BD278" s="22"/>
      <c r="BE278" s="19"/>
      <c r="BF278" s="20"/>
      <c r="BG278" s="20"/>
      <c r="BH278" s="20"/>
      <c r="BI278" s="20"/>
      <c r="BJ278" s="21"/>
      <c r="BK278" s="22"/>
      <c r="BL278" s="22"/>
      <c r="BM278" s="22"/>
      <c r="BN278" s="22"/>
      <c r="BO278" s="19"/>
      <c r="BP278" s="20"/>
      <c r="BQ278" s="20"/>
      <c r="BR278" s="20"/>
      <c r="BS278" s="20"/>
      <c r="BT278" s="21"/>
      <c r="BU278" s="22"/>
      <c r="BV278" s="22"/>
      <c r="BW278" s="22"/>
      <c r="BX278" s="22"/>
      <c r="BY278" s="23"/>
      <c r="BZ278" s="24"/>
      <c r="CA278" s="24"/>
      <c r="CB278" s="24"/>
      <c r="CC278" s="24"/>
      <c r="CD278" s="25"/>
      <c r="CE278" s="26"/>
      <c r="CF278" s="26"/>
      <c r="CG278" s="26"/>
      <c r="CH278" s="26"/>
      <c r="CI278" s="27"/>
      <c r="CJ278" s="28"/>
      <c r="CK278" s="28"/>
      <c r="CL278" s="28"/>
      <c r="CM278" s="28"/>
      <c r="CN278" s="25"/>
      <c r="CO278" s="26"/>
      <c r="CP278" s="26"/>
      <c r="CQ278" s="26"/>
      <c r="CR278" s="26"/>
      <c r="CS278" s="27"/>
      <c r="CT278" s="28"/>
      <c r="CU278" s="28"/>
      <c r="CV278" s="28"/>
      <c r="CW278" s="28"/>
      <c r="CX278" s="25"/>
      <c r="CY278" s="26"/>
      <c r="CZ278" s="26"/>
      <c r="DA278" s="26"/>
      <c r="DB278" s="26"/>
      <c r="DC278" s="27"/>
      <c r="DD278" s="28"/>
      <c r="DE278" s="28"/>
      <c r="DF278" s="28"/>
      <c r="DG278" s="28"/>
      <c r="DH278" s="25"/>
      <c r="DI278" s="26"/>
      <c r="DJ278" s="26"/>
      <c r="DK278" s="26"/>
      <c r="DL278" s="26"/>
      <c r="DM278" s="27"/>
      <c r="DN278" s="28"/>
      <c r="DO278" s="28"/>
      <c r="DP278" s="28"/>
      <c r="DQ278" s="28"/>
      <c r="DR278" s="25"/>
      <c r="DS278" s="26"/>
      <c r="DT278" s="26"/>
      <c r="DU278" s="26"/>
      <c r="DV278" s="26"/>
      <c r="DW278" s="27"/>
      <c r="DX278" s="28"/>
      <c r="DY278" s="28"/>
      <c r="DZ278" s="28"/>
      <c r="EA278" s="28"/>
      <c r="EB278" s="29"/>
      <c r="EC278" s="30"/>
      <c r="ED278" s="30"/>
      <c r="EE278" s="30"/>
      <c r="EF278" s="30"/>
      <c r="EG278" s="31"/>
      <c r="EH278" s="32"/>
      <c r="EI278" s="32"/>
      <c r="EJ278" s="32"/>
      <c r="EK278" s="32"/>
      <c r="EL278" s="29"/>
      <c r="EM278" s="30"/>
      <c r="EN278" s="30"/>
      <c r="EO278" s="30"/>
      <c r="EP278" s="30"/>
      <c r="EQ278" s="31"/>
      <c r="ER278" s="32"/>
      <c r="ES278" s="32"/>
      <c r="ET278" s="32"/>
      <c r="EU278" s="32"/>
      <c r="EV278" s="29"/>
      <c r="EW278" s="30"/>
      <c r="EX278" s="30"/>
      <c r="EY278" s="30"/>
      <c r="EZ278" s="30"/>
      <c r="FA278" s="31"/>
      <c r="FB278" s="32"/>
      <c r="FC278" s="32"/>
      <c r="FD278" s="32"/>
      <c r="FE278" s="32"/>
      <c r="FF278" s="29"/>
      <c r="FG278" s="30"/>
      <c r="FH278" s="30"/>
      <c r="FI278" s="30"/>
      <c r="FJ278" s="30"/>
      <c r="FK278" s="31"/>
      <c r="FL278" s="32"/>
      <c r="FM278" s="32"/>
      <c r="FN278" s="32"/>
      <c r="FO278" s="32"/>
      <c r="FP278" s="29"/>
      <c r="FQ278" s="30"/>
      <c r="FR278" s="30"/>
      <c r="FS278" s="30"/>
      <c r="FT278" s="30"/>
      <c r="FU278" s="31"/>
      <c r="FV278" s="32"/>
      <c r="FW278" s="32"/>
      <c r="FX278" s="32"/>
      <c r="FY278" s="32"/>
      <c r="FZ278" s="29"/>
      <c r="GA278" s="30"/>
      <c r="GB278" s="30"/>
      <c r="GC278" s="30"/>
      <c r="GD278" s="30"/>
    </row>
  </sheetData>
  <sheetProtection selectLockedCells="1"/>
  <mergeCells count="862">
    <mergeCell ref="B278:G278"/>
    <mergeCell ref="H278:I278"/>
    <mergeCell ref="J278:K278"/>
    <mergeCell ref="B276:G276"/>
    <mergeCell ref="H276:I276"/>
    <mergeCell ref="J276:K276"/>
    <mergeCell ref="B277:G277"/>
    <mergeCell ref="H277:I277"/>
    <mergeCell ref="J277:K277"/>
    <mergeCell ref="B274:G274"/>
    <mergeCell ref="H274:I274"/>
    <mergeCell ref="J274:K274"/>
    <mergeCell ref="B275:G275"/>
    <mergeCell ref="H275:I275"/>
    <mergeCell ref="J275:K275"/>
    <mergeCell ref="B272:G272"/>
    <mergeCell ref="H272:I272"/>
    <mergeCell ref="J272:K272"/>
    <mergeCell ref="B273:G273"/>
    <mergeCell ref="H273:I273"/>
    <mergeCell ref="J273:K273"/>
    <mergeCell ref="B270:G270"/>
    <mergeCell ref="H270:I270"/>
    <mergeCell ref="J270:K270"/>
    <mergeCell ref="B271:G271"/>
    <mergeCell ref="H271:I271"/>
    <mergeCell ref="J271:K271"/>
    <mergeCell ref="B268:G268"/>
    <mergeCell ref="H268:I268"/>
    <mergeCell ref="J268:K268"/>
    <mergeCell ref="B269:G269"/>
    <mergeCell ref="H269:I269"/>
    <mergeCell ref="J269:K269"/>
    <mergeCell ref="B266:G266"/>
    <mergeCell ref="H266:I266"/>
    <mergeCell ref="J266:K266"/>
    <mergeCell ref="B267:G267"/>
    <mergeCell ref="H267:I267"/>
    <mergeCell ref="J267:K267"/>
    <mergeCell ref="B264:G264"/>
    <mergeCell ref="H264:I264"/>
    <mergeCell ref="J264:K264"/>
    <mergeCell ref="B265:G265"/>
    <mergeCell ref="H265:I265"/>
    <mergeCell ref="J265:K265"/>
    <mergeCell ref="B262:G262"/>
    <mergeCell ref="H262:I262"/>
    <mergeCell ref="J262:K262"/>
    <mergeCell ref="B263:G263"/>
    <mergeCell ref="H263:I263"/>
    <mergeCell ref="J263:K263"/>
    <mergeCell ref="B260:G260"/>
    <mergeCell ref="H260:I260"/>
    <mergeCell ref="J260:K260"/>
    <mergeCell ref="B261:G261"/>
    <mergeCell ref="H261:I261"/>
    <mergeCell ref="J261:K261"/>
    <mergeCell ref="B258:G258"/>
    <mergeCell ref="H258:I258"/>
    <mergeCell ref="J258:K258"/>
    <mergeCell ref="B259:G259"/>
    <mergeCell ref="H259:I259"/>
    <mergeCell ref="J259:K259"/>
    <mergeCell ref="B256:G256"/>
    <mergeCell ref="H256:I256"/>
    <mergeCell ref="J256:K256"/>
    <mergeCell ref="B257:G257"/>
    <mergeCell ref="H257:I257"/>
    <mergeCell ref="J257:K257"/>
    <mergeCell ref="B254:G254"/>
    <mergeCell ref="H254:I254"/>
    <mergeCell ref="J254:K254"/>
    <mergeCell ref="B255:G255"/>
    <mergeCell ref="H255:I255"/>
    <mergeCell ref="J255:K255"/>
    <mergeCell ref="B252:G252"/>
    <mergeCell ref="H252:I252"/>
    <mergeCell ref="J252:K252"/>
    <mergeCell ref="B253:G253"/>
    <mergeCell ref="H253:I253"/>
    <mergeCell ref="J253:K253"/>
    <mergeCell ref="B250:G250"/>
    <mergeCell ref="H250:I250"/>
    <mergeCell ref="J250:K250"/>
    <mergeCell ref="B251:G251"/>
    <mergeCell ref="H251:I251"/>
    <mergeCell ref="J251:K251"/>
    <mergeCell ref="B248:G248"/>
    <mergeCell ref="H248:I248"/>
    <mergeCell ref="J248:K248"/>
    <mergeCell ref="B249:G249"/>
    <mergeCell ref="H249:I249"/>
    <mergeCell ref="J249:K249"/>
    <mergeCell ref="B246:G246"/>
    <mergeCell ref="H246:I246"/>
    <mergeCell ref="J246:K246"/>
    <mergeCell ref="B247:G247"/>
    <mergeCell ref="H247:I247"/>
    <mergeCell ref="J247:K247"/>
    <mergeCell ref="B244:G244"/>
    <mergeCell ref="H244:I244"/>
    <mergeCell ref="J244:K244"/>
    <mergeCell ref="B245:G245"/>
    <mergeCell ref="H245:I245"/>
    <mergeCell ref="J245:K245"/>
    <mergeCell ref="B242:G242"/>
    <mergeCell ref="H242:I242"/>
    <mergeCell ref="J242:K242"/>
    <mergeCell ref="B243:G243"/>
    <mergeCell ref="H243:I243"/>
    <mergeCell ref="J243:K243"/>
    <mergeCell ref="B240:G240"/>
    <mergeCell ref="H240:I240"/>
    <mergeCell ref="J240:K240"/>
    <mergeCell ref="B241:G241"/>
    <mergeCell ref="H241:I241"/>
    <mergeCell ref="J241:K241"/>
    <mergeCell ref="B238:G238"/>
    <mergeCell ref="H238:I238"/>
    <mergeCell ref="J238:K238"/>
    <mergeCell ref="B239:G239"/>
    <mergeCell ref="H239:I239"/>
    <mergeCell ref="J239:K239"/>
    <mergeCell ref="B236:G236"/>
    <mergeCell ref="H236:I236"/>
    <mergeCell ref="J236:K236"/>
    <mergeCell ref="B237:G237"/>
    <mergeCell ref="H237:I237"/>
    <mergeCell ref="J237:K237"/>
    <mergeCell ref="B234:G234"/>
    <mergeCell ref="H234:I234"/>
    <mergeCell ref="J234:K234"/>
    <mergeCell ref="B235:G235"/>
    <mergeCell ref="H235:I235"/>
    <mergeCell ref="J235:K235"/>
    <mergeCell ref="B232:G232"/>
    <mergeCell ref="H232:I232"/>
    <mergeCell ref="J232:K232"/>
    <mergeCell ref="B233:G233"/>
    <mergeCell ref="H233:I233"/>
    <mergeCell ref="J233:K233"/>
    <mergeCell ref="B230:G230"/>
    <mergeCell ref="H230:I230"/>
    <mergeCell ref="J230:K230"/>
    <mergeCell ref="B231:G231"/>
    <mergeCell ref="H231:I231"/>
    <mergeCell ref="J231:K231"/>
    <mergeCell ref="B228:G228"/>
    <mergeCell ref="H228:I228"/>
    <mergeCell ref="J228:K228"/>
    <mergeCell ref="B229:G229"/>
    <mergeCell ref="H229:I229"/>
    <mergeCell ref="J229:K229"/>
    <mergeCell ref="B226:G226"/>
    <mergeCell ref="H226:I226"/>
    <mergeCell ref="J226:K226"/>
    <mergeCell ref="B227:G227"/>
    <mergeCell ref="H227:I227"/>
    <mergeCell ref="J227:K227"/>
    <mergeCell ref="B224:G224"/>
    <mergeCell ref="H224:I224"/>
    <mergeCell ref="J224:K224"/>
    <mergeCell ref="B225:G225"/>
    <mergeCell ref="H225:I225"/>
    <mergeCell ref="J225:K225"/>
    <mergeCell ref="B222:G222"/>
    <mergeCell ref="H222:I222"/>
    <mergeCell ref="J222:K222"/>
    <mergeCell ref="B223:G223"/>
    <mergeCell ref="H223:I223"/>
    <mergeCell ref="J223:K223"/>
    <mergeCell ref="B220:G220"/>
    <mergeCell ref="H220:I220"/>
    <mergeCell ref="J220:K220"/>
    <mergeCell ref="B221:G221"/>
    <mergeCell ref="H221:I221"/>
    <mergeCell ref="J221:K221"/>
    <mergeCell ref="B218:G218"/>
    <mergeCell ref="H218:I218"/>
    <mergeCell ref="J218:K218"/>
    <mergeCell ref="B219:G219"/>
    <mergeCell ref="H219:I219"/>
    <mergeCell ref="J219:K219"/>
    <mergeCell ref="B216:G216"/>
    <mergeCell ref="H216:I216"/>
    <mergeCell ref="J216:K216"/>
    <mergeCell ref="B217:G217"/>
    <mergeCell ref="H217:I217"/>
    <mergeCell ref="J217:K217"/>
    <mergeCell ref="B214:G214"/>
    <mergeCell ref="H214:I214"/>
    <mergeCell ref="J214:K214"/>
    <mergeCell ref="B215:G215"/>
    <mergeCell ref="H215:I215"/>
    <mergeCell ref="J215:K215"/>
    <mergeCell ref="B212:G212"/>
    <mergeCell ref="H212:I212"/>
    <mergeCell ref="J212:K212"/>
    <mergeCell ref="B213:G213"/>
    <mergeCell ref="H213:I213"/>
    <mergeCell ref="J213:K213"/>
    <mergeCell ref="B210:G210"/>
    <mergeCell ref="H210:I210"/>
    <mergeCell ref="J210:K210"/>
    <mergeCell ref="B211:G211"/>
    <mergeCell ref="H211:I211"/>
    <mergeCell ref="J211:K211"/>
    <mergeCell ref="B208:G208"/>
    <mergeCell ref="H208:I208"/>
    <mergeCell ref="J208:K208"/>
    <mergeCell ref="B209:G209"/>
    <mergeCell ref="H209:I209"/>
    <mergeCell ref="J209:K209"/>
    <mergeCell ref="B206:G206"/>
    <mergeCell ref="H206:I206"/>
    <mergeCell ref="J206:K206"/>
    <mergeCell ref="B207:G207"/>
    <mergeCell ref="H207:I207"/>
    <mergeCell ref="J207:K207"/>
    <mergeCell ref="B204:G204"/>
    <mergeCell ref="H204:I204"/>
    <mergeCell ref="J204:K204"/>
    <mergeCell ref="B205:G205"/>
    <mergeCell ref="H205:I205"/>
    <mergeCell ref="J205:K205"/>
    <mergeCell ref="B202:G202"/>
    <mergeCell ref="H202:I202"/>
    <mergeCell ref="J202:K202"/>
    <mergeCell ref="B203:G203"/>
    <mergeCell ref="H203:I203"/>
    <mergeCell ref="J203:K203"/>
    <mergeCell ref="B200:G200"/>
    <mergeCell ref="H200:I200"/>
    <mergeCell ref="J200:K200"/>
    <mergeCell ref="B201:G201"/>
    <mergeCell ref="H201:I201"/>
    <mergeCell ref="J201:K201"/>
    <mergeCell ref="B198:G198"/>
    <mergeCell ref="H198:I198"/>
    <mergeCell ref="J198:K198"/>
    <mergeCell ref="B199:G199"/>
    <mergeCell ref="H199:I199"/>
    <mergeCell ref="J199:K199"/>
    <mergeCell ref="B196:G196"/>
    <mergeCell ref="H196:I196"/>
    <mergeCell ref="J196:K196"/>
    <mergeCell ref="B197:G197"/>
    <mergeCell ref="H197:I197"/>
    <mergeCell ref="J197:K197"/>
    <mergeCell ref="B194:G194"/>
    <mergeCell ref="H194:I194"/>
    <mergeCell ref="J194:K194"/>
    <mergeCell ref="B195:G195"/>
    <mergeCell ref="H195:I195"/>
    <mergeCell ref="J195:K195"/>
    <mergeCell ref="B192:G192"/>
    <mergeCell ref="H192:I192"/>
    <mergeCell ref="J192:K192"/>
    <mergeCell ref="B193:G193"/>
    <mergeCell ref="H193:I193"/>
    <mergeCell ref="J193:K193"/>
    <mergeCell ref="B190:G190"/>
    <mergeCell ref="H190:I190"/>
    <mergeCell ref="J190:K190"/>
    <mergeCell ref="B191:G191"/>
    <mergeCell ref="H191:I191"/>
    <mergeCell ref="J191:K191"/>
    <mergeCell ref="B188:G188"/>
    <mergeCell ref="H188:I188"/>
    <mergeCell ref="J188:K188"/>
    <mergeCell ref="B189:G189"/>
    <mergeCell ref="H189:I189"/>
    <mergeCell ref="J189:K189"/>
    <mergeCell ref="B186:G186"/>
    <mergeCell ref="H186:I186"/>
    <mergeCell ref="J186:K186"/>
    <mergeCell ref="B187:G187"/>
    <mergeCell ref="H187:I187"/>
    <mergeCell ref="J187:K187"/>
    <mergeCell ref="B184:G184"/>
    <mergeCell ref="H184:I184"/>
    <mergeCell ref="J184:K184"/>
    <mergeCell ref="B185:G185"/>
    <mergeCell ref="H185:I185"/>
    <mergeCell ref="J185:K185"/>
    <mergeCell ref="B182:G182"/>
    <mergeCell ref="H182:I182"/>
    <mergeCell ref="J182:K182"/>
    <mergeCell ref="B183:G183"/>
    <mergeCell ref="H183:I183"/>
    <mergeCell ref="J183:K183"/>
    <mergeCell ref="B180:G180"/>
    <mergeCell ref="H180:I180"/>
    <mergeCell ref="J180:K180"/>
    <mergeCell ref="B181:G181"/>
    <mergeCell ref="H181:I181"/>
    <mergeCell ref="J181:K181"/>
    <mergeCell ref="B178:G178"/>
    <mergeCell ref="H178:I178"/>
    <mergeCell ref="J178:K178"/>
    <mergeCell ref="B179:G179"/>
    <mergeCell ref="H179:I179"/>
    <mergeCell ref="J179:K179"/>
    <mergeCell ref="B176:G176"/>
    <mergeCell ref="H176:I176"/>
    <mergeCell ref="J176:K176"/>
    <mergeCell ref="B177:G177"/>
    <mergeCell ref="H177:I177"/>
    <mergeCell ref="J177:K177"/>
    <mergeCell ref="B174:G174"/>
    <mergeCell ref="H174:I174"/>
    <mergeCell ref="J174:K174"/>
    <mergeCell ref="B175:G175"/>
    <mergeCell ref="H175:I175"/>
    <mergeCell ref="J175:K175"/>
    <mergeCell ref="B172:G172"/>
    <mergeCell ref="H172:I172"/>
    <mergeCell ref="J172:K172"/>
    <mergeCell ref="B173:G173"/>
    <mergeCell ref="H173:I173"/>
    <mergeCell ref="J173:K173"/>
    <mergeCell ref="B170:G170"/>
    <mergeCell ref="H170:I170"/>
    <mergeCell ref="J170:K170"/>
    <mergeCell ref="B171:G171"/>
    <mergeCell ref="H171:I171"/>
    <mergeCell ref="J171:K171"/>
    <mergeCell ref="B168:G168"/>
    <mergeCell ref="H168:I168"/>
    <mergeCell ref="J168:K168"/>
    <mergeCell ref="B169:G169"/>
    <mergeCell ref="H169:I169"/>
    <mergeCell ref="J169:K169"/>
    <mergeCell ref="B166:G166"/>
    <mergeCell ref="H166:I166"/>
    <mergeCell ref="J166:K166"/>
    <mergeCell ref="B167:G167"/>
    <mergeCell ref="H167:I167"/>
    <mergeCell ref="J167:K167"/>
    <mergeCell ref="B164:G164"/>
    <mergeCell ref="H164:I164"/>
    <mergeCell ref="J164:K164"/>
    <mergeCell ref="B165:G165"/>
    <mergeCell ref="H165:I165"/>
    <mergeCell ref="J165:K165"/>
    <mergeCell ref="B162:G162"/>
    <mergeCell ref="H162:I162"/>
    <mergeCell ref="J162:K162"/>
    <mergeCell ref="B163:G163"/>
    <mergeCell ref="H163:I163"/>
    <mergeCell ref="J163:K163"/>
    <mergeCell ref="B160:G160"/>
    <mergeCell ref="H160:I160"/>
    <mergeCell ref="J160:K160"/>
    <mergeCell ref="B161:G161"/>
    <mergeCell ref="H161:I161"/>
    <mergeCell ref="J161:K161"/>
    <mergeCell ref="B158:G158"/>
    <mergeCell ref="H158:I158"/>
    <mergeCell ref="J158:K158"/>
    <mergeCell ref="B159:G159"/>
    <mergeCell ref="H159:I159"/>
    <mergeCell ref="J159:K159"/>
    <mergeCell ref="B156:G156"/>
    <mergeCell ref="H156:I156"/>
    <mergeCell ref="J156:K156"/>
    <mergeCell ref="B157:G157"/>
    <mergeCell ref="H157:I157"/>
    <mergeCell ref="J157:K157"/>
    <mergeCell ref="B154:G154"/>
    <mergeCell ref="H154:I154"/>
    <mergeCell ref="J154:K154"/>
    <mergeCell ref="B155:G155"/>
    <mergeCell ref="H155:I155"/>
    <mergeCell ref="J155:K155"/>
    <mergeCell ref="B152:G152"/>
    <mergeCell ref="H152:I152"/>
    <mergeCell ref="J152:K152"/>
    <mergeCell ref="B153:G153"/>
    <mergeCell ref="H153:I153"/>
    <mergeCell ref="J153:K153"/>
    <mergeCell ref="B150:G150"/>
    <mergeCell ref="H150:I150"/>
    <mergeCell ref="J150:K150"/>
    <mergeCell ref="B151:G151"/>
    <mergeCell ref="H151:I151"/>
    <mergeCell ref="J151:K151"/>
    <mergeCell ref="B148:G148"/>
    <mergeCell ref="H148:I148"/>
    <mergeCell ref="J148:K148"/>
    <mergeCell ref="B149:G149"/>
    <mergeCell ref="H149:I149"/>
    <mergeCell ref="J149:K149"/>
    <mergeCell ref="B146:G146"/>
    <mergeCell ref="H146:I146"/>
    <mergeCell ref="J146:K146"/>
    <mergeCell ref="B147:G147"/>
    <mergeCell ref="H147:I147"/>
    <mergeCell ref="J147:K147"/>
    <mergeCell ref="B144:G144"/>
    <mergeCell ref="H144:I144"/>
    <mergeCell ref="J144:K144"/>
    <mergeCell ref="B145:G145"/>
    <mergeCell ref="H145:I145"/>
    <mergeCell ref="J145:K145"/>
    <mergeCell ref="B142:G142"/>
    <mergeCell ref="H142:I142"/>
    <mergeCell ref="J142:K142"/>
    <mergeCell ref="B143:G143"/>
    <mergeCell ref="H143:I143"/>
    <mergeCell ref="J143:K143"/>
    <mergeCell ref="B140:G140"/>
    <mergeCell ref="H140:I140"/>
    <mergeCell ref="J140:K140"/>
    <mergeCell ref="B141:G141"/>
    <mergeCell ref="H141:I141"/>
    <mergeCell ref="J141:K141"/>
    <mergeCell ref="B138:G138"/>
    <mergeCell ref="H138:I138"/>
    <mergeCell ref="J138:K138"/>
    <mergeCell ref="B139:G139"/>
    <mergeCell ref="H139:I139"/>
    <mergeCell ref="J139:K139"/>
    <mergeCell ref="B136:G136"/>
    <mergeCell ref="H136:I136"/>
    <mergeCell ref="J136:K136"/>
    <mergeCell ref="B137:G137"/>
    <mergeCell ref="H137:I137"/>
    <mergeCell ref="J137:K137"/>
    <mergeCell ref="B134:G134"/>
    <mergeCell ref="H134:I134"/>
    <mergeCell ref="J134:K134"/>
    <mergeCell ref="B135:G135"/>
    <mergeCell ref="H135:I135"/>
    <mergeCell ref="J135:K135"/>
    <mergeCell ref="B132:G132"/>
    <mergeCell ref="H132:I132"/>
    <mergeCell ref="J132:K132"/>
    <mergeCell ref="B133:G133"/>
    <mergeCell ref="H133:I133"/>
    <mergeCell ref="J133:K133"/>
    <mergeCell ref="B130:G130"/>
    <mergeCell ref="H130:I130"/>
    <mergeCell ref="J130:K130"/>
    <mergeCell ref="B131:G131"/>
    <mergeCell ref="H131:I131"/>
    <mergeCell ref="J131:K131"/>
    <mergeCell ref="B128:G128"/>
    <mergeCell ref="H128:I128"/>
    <mergeCell ref="J128:K128"/>
    <mergeCell ref="B129:G129"/>
    <mergeCell ref="H129:I129"/>
    <mergeCell ref="J129:K129"/>
    <mergeCell ref="B126:G126"/>
    <mergeCell ref="H126:I126"/>
    <mergeCell ref="J126:K126"/>
    <mergeCell ref="B127:G127"/>
    <mergeCell ref="H127:I127"/>
    <mergeCell ref="J127:K127"/>
    <mergeCell ref="B124:G124"/>
    <mergeCell ref="H124:I124"/>
    <mergeCell ref="J124:K124"/>
    <mergeCell ref="B125:G125"/>
    <mergeCell ref="H125:I125"/>
    <mergeCell ref="J125:K125"/>
    <mergeCell ref="B122:G122"/>
    <mergeCell ref="H122:I122"/>
    <mergeCell ref="J122:K122"/>
    <mergeCell ref="B123:G123"/>
    <mergeCell ref="H123:I123"/>
    <mergeCell ref="J123:K123"/>
    <mergeCell ref="B120:G120"/>
    <mergeCell ref="H120:I120"/>
    <mergeCell ref="J120:K120"/>
    <mergeCell ref="B121:G121"/>
    <mergeCell ref="H121:I121"/>
    <mergeCell ref="J121:K121"/>
    <mergeCell ref="B118:G118"/>
    <mergeCell ref="H118:I118"/>
    <mergeCell ref="J118:K118"/>
    <mergeCell ref="B119:G119"/>
    <mergeCell ref="H119:I119"/>
    <mergeCell ref="J119:K119"/>
    <mergeCell ref="B116:G116"/>
    <mergeCell ref="H116:I116"/>
    <mergeCell ref="J116:K116"/>
    <mergeCell ref="B117:G117"/>
    <mergeCell ref="H117:I117"/>
    <mergeCell ref="J117:K117"/>
    <mergeCell ref="B114:G114"/>
    <mergeCell ref="H114:I114"/>
    <mergeCell ref="J114:K114"/>
    <mergeCell ref="B115:G115"/>
    <mergeCell ref="H115:I115"/>
    <mergeCell ref="J115:K115"/>
    <mergeCell ref="B112:G112"/>
    <mergeCell ref="H112:I112"/>
    <mergeCell ref="J112:K112"/>
    <mergeCell ref="B113:G113"/>
    <mergeCell ref="H113:I113"/>
    <mergeCell ref="J113:K113"/>
    <mergeCell ref="B110:G110"/>
    <mergeCell ref="H110:I110"/>
    <mergeCell ref="J110:K110"/>
    <mergeCell ref="B111:G111"/>
    <mergeCell ref="H111:I111"/>
    <mergeCell ref="J111:K111"/>
    <mergeCell ref="B108:G108"/>
    <mergeCell ref="H108:I108"/>
    <mergeCell ref="J108:K108"/>
    <mergeCell ref="B109:G109"/>
    <mergeCell ref="H109:I109"/>
    <mergeCell ref="J109:K109"/>
    <mergeCell ref="B106:G106"/>
    <mergeCell ref="H106:I106"/>
    <mergeCell ref="J106:K106"/>
    <mergeCell ref="B107:G107"/>
    <mergeCell ref="H107:I107"/>
    <mergeCell ref="J107:K107"/>
    <mergeCell ref="B104:G104"/>
    <mergeCell ref="H104:I104"/>
    <mergeCell ref="J104:K104"/>
    <mergeCell ref="B105:G105"/>
    <mergeCell ref="H105:I105"/>
    <mergeCell ref="J105:K105"/>
    <mergeCell ref="B102:G102"/>
    <mergeCell ref="H102:I102"/>
    <mergeCell ref="J102:K102"/>
    <mergeCell ref="B103:G103"/>
    <mergeCell ref="H103:I103"/>
    <mergeCell ref="J103:K103"/>
    <mergeCell ref="B100:G100"/>
    <mergeCell ref="H100:I100"/>
    <mergeCell ref="J100:K100"/>
    <mergeCell ref="B101:G101"/>
    <mergeCell ref="H101:I101"/>
    <mergeCell ref="J101:K101"/>
    <mergeCell ref="B98:G98"/>
    <mergeCell ref="H98:I98"/>
    <mergeCell ref="J98:K98"/>
    <mergeCell ref="B99:G99"/>
    <mergeCell ref="H99:I99"/>
    <mergeCell ref="J99:K99"/>
    <mergeCell ref="B96:G96"/>
    <mergeCell ref="H96:I96"/>
    <mergeCell ref="J96:K96"/>
    <mergeCell ref="B97:G97"/>
    <mergeCell ref="H97:I97"/>
    <mergeCell ref="J97:K97"/>
    <mergeCell ref="B94:G94"/>
    <mergeCell ref="H94:I94"/>
    <mergeCell ref="J94:K94"/>
    <mergeCell ref="B95:G95"/>
    <mergeCell ref="H95:I95"/>
    <mergeCell ref="J95:K95"/>
    <mergeCell ref="B92:G92"/>
    <mergeCell ref="H92:I92"/>
    <mergeCell ref="J92:K92"/>
    <mergeCell ref="B93:G93"/>
    <mergeCell ref="H93:I93"/>
    <mergeCell ref="J93:K93"/>
    <mergeCell ref="B90:G90"/>
    <mergeCell ref="H90:I90"/>
    <mergeCell ref="J90:K90"/>
    <mergeCell ref="B91:G91"/>
    <mergeCell ref="H91:I91"/>
    <mergeCell ref="J91:K91"/>
    <mergeCell ref="B88:G88"/>
    <mergeCell ref="H88:I88"/>
    <mergeCell ref="J88:K88"/>
    <mergeCell ref="B89:G89"/>
    <mergeCell ref="H89:I89"/>
    <mergeCell ref="J89:K89"/>
    <mergeCell ref="B86:G86"/>
    <mergeCell ref="H86:I86"/>
    <mergeCell ref="J86:K86"/>
    <mergeCell ref="B87:G87"/>
    <mergeCell ref="H87:I87"/>
    <mergeCell ref="J87:K87"/>
    <mergeCell ref="B84:G84"/>
    <mergeCell ref="H84:I84"/>
    <mergeCell ref="J84:K84"/>
    <mergeCell ref="B85:G85"/>
    <mergeCell ref="H85:I85"/>
    <mergeCell ref="J85:K85"/>
    <mergeCell ref="B82:G82"/>
    <mergeCell ref="H82:I82"/>
    <mergeCell ref="J82:K82"/>
    <mergeCell ref="B83:G83"/>
    <mergeCell ref="H83:I83"/>
    <mergeCell ref="J83:K83"/>
    <mergeCell ref="B80:G80"/>
    <mergeCell ref="H80:I80"/>
    <mergeCell ref="J80:K80"/>
    <mergeCell ref="B81:G81"/>
    <mergeCell ref="H81:I81"/>
    <mergeCell ref="J81:K81"/>
    <mergeCell ref="B78:G78"/>
    <mergeCell ref="H78:I78"/>
    <mergeCell ref="J78:K78"/>
    <mergeCell ref="B79:G79"/>
    <mergeCell ref="H79:I79"/>
    <mergeCell ref="J79:K79"/>
    <mergeCell ref="B76:G76"/>
    <mergeCell ref="H76:I76"/>
    <mergeCell ref="J76:K76"/>
    <mergeCell ref="B77:G77"/>
    <mergeCell ref="H77:I77"/>
    <mergeCell ref="J77:K77"/>
    <mergeCell ref="B74:G74"/>
    <mergeCell ref="H74:I74"/>
    <mergeCell ref="J74:K74"/>
    <mergeCell ref="B75:G75"/>
    <mergeCell ref="H75:I75"/>
    <mergeCell ref="J75:K75"/>
    <mergeCell ref="B72:G72"/>
    <mergeCell ref="H72:I72"/>
    <mergeCell ref="J72:K72"/>
    <mergeCell ref="B73:G73"/>
    <mergeCell ref="H73:I73"/>
    <mergeCell ref="J73:K73"/>
    <mergeCell ref="B70:G70"/>
    <mergeCell ref="H70:I70"/>
    <mergeCell ref="J70:K70"/>
    <mergeCell ref="B71:G71"/>
    <mergeCell ref="H71:I71"/>
    <mergeCell ref="J71:K71"/>
    <mergeCell ref="B68:G68"/>
    <mergeCell ref="H68:I68"/>
    <mergeCell ref="J68:K68"/>
    <mergeCell ref="B69:G69"/>
    <mergeCell ref="H69:I69"/>
    <mergeCell ref="J69:K69"/>
    <mergeCell ref="B66:G66"/>
    <mergeCell ref="H66:I66"/>
    <mergeCell ref="J66:K66"/>
    <mergeCell ref="B67:G67"/>
    <mergeCell ref="H67:I67"/>
    <mergeCell ref="J67:K67"/>
    <mergeCell ref="B64:G64"/>
    <mergeCell ref="H64:I64"/>
    <mergeCell ref="J64:K64"/>
    <mergeCell ref="B65:G65"/>
    <mergeCell ref="H65:I65"/>
    <mergeCell ref="J65:K65"/>
    <mergeCell ref="B62:G62"/>
    <mergeCell ref="H62:I62"/>
    <mergeCell ref="J62:K62"/>
    <mergeCell ref="B63:G63"/>
    <mergeCell ref="H63:I63"/>
    <mergeCell ref="J63:K63"/>
    <mergeCell ref="B60:G60"/>
    <mergeCell ref="H60:I60"/>
    <mergeCell ref="J60:K60"/>
    <mergeCell ref="B61:G61"/>
    <mergeCell ref="H61:I61"/>
    <mergeCell ref="J61:K61"/>
    <mergeCell ref="B58:G58"/>
    <mergeCell ref="H58:I58"/>
    <mergeCell ref="J58:K58"/>
    <mergeCell ref="B59:G59"/>
    <mergeCell ref="H59:I59"/>
    <mergeCell ref="J59:K59"/>
    <mergeCell ref="B56:G56"/>
    <mergeCell ref="H56:I56"/>
    <mergeCell ref="J56:K56"/>
    <mergeCell ref="B57:G57"/>
    <mergeCell ref="H57:I57"/>
    <mergeCell ref="J57:K57"/>
    <mergeCell ref="B54:G54"/>
    <mergeCell ref="H54:I54"/>
    <mergeCell ref="J54:K54"/>
    <mergeCell ref="B55:G55"/>
    <mergeCell ref="H55:I55"/>
    <mergeCell ref="J55:K55"/>
    <mergeCell ref="B52:G52"/>
    <mergeCell ref="H52:I52"/>
    <mergeCell ref="J52:K52"/>
    <mergeCell ref="B53:G53"/>
    <mergeCell ref="H53:I53"/>
    <mergeCell ref="J53:K53"/>
    <mergeCell ref="B50:G50"/>
    <mergeCell ref="H50:I50"/>
    <mergeCell ref="J50:K50"/>
    <mergeCell ref="B51:G51"/>
    <mergeCell ref="H51:I51"/>
    <mergeCell ref="J51:K51"/>
    <mergeCell ref="B48:G48"/>
    <mergeCell ref="H48:I48"/>
    <mergeCell ref="J48:K48"/>
    <mergeCell ref="B49:G49"/>
    <mergeCell ref="H49:I49"/>
    <mergeCell ref="J49:K49"/>
    <mergeCell ref="B46:G46"/>
    <mergeCell ref="H46:I46"/>
    <mergeCell ref="J46:K46"/>
    <mergeCell ref="B47:G47"/>
    <mergeCell ref="H47:I47"/>
    <mergeCell ref="J47:K47"/>
    <mergeCell ref="B44:G44"/>
    <mergeCell ref="H44:I44"/>
    <mergeCell ref="J44:K44"/>
    <mergeCell ref="B45:G45"/>
    <mergeCell ref="H45:I45"/>
    <mergeCell ref="J45:K45"/>
    <mergeCell ref="B42:G42"/>
    <mergeCell ref="H42:I42"/>
    <mergeCell ref="J42:K42"/>
    <mergeCell ref="B43:G43"/>
    <mergeCell ref="H43:I43"/>
    <mergeCell ref="J43:K43"/>
    <mergeCell ref="B40:G40"/>
    <mergeCell ref="H40:I40"/>
    <mergeCell ref="J40:K40"/>
    <mergeCell ref="B41:G41"/>
    <mergeCell ref="H41:I41"/>
    <mergeCell ref="J41:K41"/>
    <mergeCell ref="B38:G38"/>
    <mergeCell ref="H38:I38"/>
    <mergeCell ref="J38:K38"/>
    <mergeCell ref="B39:G39"/>
    <mergeCell ref="H39:I39"/>
    <mergeCell ref="J39:K39"/>
    <mergeCell ref="B36:G36"/>
    <mergeCell ref="H36:I36"/>
    <mergeCell ref="J36:K36"/>
    <mergeCell ref="B37:G37"/>
    <mergeCell ref="H37:I37"/>
    <mergeCell ref="J37:K37"/>
    <mergeCell ref="B34:G34"/>
    <mergeCell ref="H34:I34"/>
    <mergeCell ref="J34:K34"/>
    <mergeCell ref="B35:G35"/>
    <mergeCell ref="H35:I35"/>
    <mergeCell ref="J35:K35"/>
    <mergeCell ref="B32:G32"/>
    <mergeCell ref="H32:I32"/>
    <mergeCell ref="J32:K32"/>
    <mergeCell ref="B33:G33"/>
    <mergeCell ref="H33:I33"/>
    <mergeCell ref="J33:K33"/>
    <mergeCell ref="B30:G30"/>
    <mergeCell ref="H30:I30"/>
    <mergeCell ref="J30:K30"/>
    <mergeCell ref="B31:G31"/>
    <mergeCell ref="H31:I31"/>
    <mergeCell ref="J31:K31"/>
    <mergeCell ref="B28:G28"/>
    <mergeCell ref="H28:I28"/>
    <mergeCell ref="J28:K28"/>
    <mergeCell ref="B29:G29"/>
    <mergeCell ref="H29:I29"/>
    <mergeCell ref="J29:K29"/>
    <mergeCell ref="B26:G26"/>
    <mergeCell ref="H26:I26"/>
    <mergeCell ref="J26:K26"/>
    <mergeCell ref="B27:G27"/>
    <mergeCell ref="H27:I27"/>
    <mergeCell ref="J27:K27"/>
    <mergeCell ref="B24:G24"/>
    <mergeCell ref="H24:I24"/>
    <mergeCell ref="J24:K24"/>
    <mergeCell ref="B25:G25"/>
    <mergeCell ref="H25:I25"/>
    <mergeCell ref="J25:K25"/>
    <mergeCell ref="B22:G22"/>
    <mergeCell ref="H22:I22"/>
    <mergeCell ref="J22:K22"/>
    <mergeCell ref="B23:G23"/>
    <mergeCell ref="H23:I23"/>
    <mergeCell ref="J23:K23"/>
    <mergeCell ref="B20:G20"/>
    <mergeCell ref="H20:I20"/>
    <mergeCell ref="J20:K20"/>
    <mergeCell ref="B21:G21"/>
    <mergeCell ref="H21:I21"/>
    <mergeCell ref="J21:K21"/>
    <mergeCell ref="B18:G18"/>
    <mergeCell ref="H18:I18"/>
    <mergeCell ref="J18:K18"/>
    <mergeCell ref="B19:G19"/>
    <mergeCell ref="H19:I19"/>
    <mergeCell ref="J19:K19"/>
    <mergeCell ref="B16:G16"/>
    <mergeCell ref="H16:I16"/>
    <mergeCell ref="J16:K16"/>
    <mergeCell ref="B17:G17"/>
    <mergeCell ref="H17:I17"/>
    <mergeCell ref="J17:K17"/>
    <mergeCell ref="B14:G14"/>
    <mergeCell ref="H14:I14"/>
    <mergeCell ref="J14:K14"/>
    <mergeCell ref="B15:G15"/>
    <mergeCell ref="H15:I15"/>
    <mergeCell ref="J15:K15"/>
    <mergeCell ref="B13:G13"/>
    <mergeCell ref="H13:I13"/>
    <mergeCell ref="J13:K13"/>
    <mergeCell ref="B10:G10"/>
    <mergeCell ref="B11:G11"/>
    <mergeCell ref="H11:I11"/>
    <mergeCell ref="J11:K11"/>
    <mergeCell ref="B12:G12"/>
    <mergeCell ref="H12:I12"/>
    <mergeCell ref="J12:K12"/>
    <mergeCell ref="FZ8:GD8"/>
    <mergeCell ref="J8:K9"/>
    <mergeCell ref="H8:I9"/>
    <mergeCell ref="J10:K10"/>
    <mergeCell ref="H10:I10"/>
    <mergeCell ref="FA8:FE8"/>
    <mergeCell ref="FF8:FJ8"/>
    <mergeCell ref="FK8:FO8"/>
    <mergeCell ref="FP8:FT8"/>
    <mergeCell ref="FU8:FY8"/>
    <mergeCell ref="EB8:EF8"/>
    <mergeCell ref="EG8:EK8"/>
    <mergeCell ref="EL8:EP8"/>
    <mergeCell ref="EQ8:EU8"/>
    <mergeCell ref="EV8:EZ8"/>
    <mergeCell ref="DC8:DG8"/>
    <mergeCell ref="DH8:DL8"/>
    <mergeCell ref="DM8:DQ8"/>
    <mergeCell ref="DR8:DV8"/>
    <mergeCell ref="DW8:EA8"/>
    <mergeCell ref="CD8:CH8"/>
    <mergeCell ref="CI8:CM8"/>
    <mergeCell ref="CN8:CR8"/>
    <mergeCell ref="CS8:CW8"/>
    <mergeCell ref="CX8:DB8"/>
    <mergeCell ref="BE8:BI8"/>
    <mergeCell ref="BJ8:BN8"/>
    <mergeCell ref="BO8:BS8"/>
    <mergeCell ref="BT8:BX8"/>
    <mergeCell ref="BY8:CC8"/>
    <mergeCell ref="AF8:AJ8"/>
    <mergeCell ref="AK8:AO8"/>
    <mergeCell ref="AP8:AT8"/>
    <mergeCell ref="AU8:AY8"/>
    <mergeCell ref="AZ8:BD8"/>
    <mergeCell ref="A7:K7"/>
    <mergeCell ref="L8:P8"/>
    <mergeCell ref="Q8:U8"/>
    <mergeCell ref="V8:Z8"/>
    <mergeCell ref="AA8:AE8"/>
    <mergeCell ref="A8:A9"/>
    <mergeCell ref="B8:G9"/>
    <mergeCell ref="A6:AC6"/>
    <mergeCell ref="A1:AC2"/>
    <mergeCell ref="A3:F3"/>
    <mergeCell ref="G3:P3"/>
    <mergeCell ref="R3:T3"/>
    <mergeCell ref="U3:AC3"/>
    <mergeCell ref="A4:F4"/>
    <mergeCell ref="G4:P4"/>
    <mergeCell ref="R4:T4"/>
    <mergeCell ref="U4:AC4"/>
    <mergeCell ref="A5:F5"/>
    <mergeCell ref="G5:K5"/>
    <mergeCell ref="L5:P5"/>
    <mergeCell ref="R5:T5"/>
    <mergeCell ref="U5:AC5"/>
  </mergeCells>
  <phoneticPr fontId="7" type="noConversion"/>
  <pageMargins left="0.7" right="0.7" top="0.75" bottom="0.75" header="0.3" footer="0.3"/>
  <pageSetup scale="68" orientation="landscape" r:id="rId1"/>
  <headerFooter>
    <oddFooter>&amp;LRevised 2/28/19&amp;C&amp;A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249977111117893"/>
    <pageSetUpPr fitToPage="1"/>
  </sheetPr>
  <dimension ref="A1:BF21"/>
  <sheetViews>
    <sheetView zoomScale="80" zoomScaleNormal="80" workbookViewId="0">
      <pane ySplit="6" topLeftCell="A7" activePane="bottomLeft" state="frozen"/>
      <selection activeCell="D19" sqref="D19:K22"/>
      <selection pane="bottomLeft" activeCell="M21" sqref="M21"/>
    </sheetView>
  </sheetViews>
  <sheetFormatPr defaultRowHeight="15" x14ac:dyDescent="0.25"/>
  <cols>
    <col min="1" max="1" width="7.28515625" customWidth="1"/>
    <col min="2" max="3" width="6.7109375" customWidth="1"/>
    <col min="4" max="9" width="5.7109375" customWidth="1"/>
    <col min="10" max="27" width="6.28515625" customWidth="1"/>
    <col min="28" max="41" width="5.7109375" customWidth="1"/>
    <col min="51" max="51" width="6" customWidth="1"/>
    <col min="52" max="52" width="9.140625" hidden="1" customWidth="1"/>
    <col min="53" max="53" width="6.28515625" hidden="1" customWidth="1"/>
    <col min="54" max="54" width="9.140625" hidden="1" customWidth="1"/>
    <col min="55" max="55" width="6.85546875" hidden="1" customWidth="1"/>
    <col min="56" max="56" width="8.7109375" hidden="1" customWidth="1"/>
    <col min="57" max="57" width="9.140625" hidden="1" customWidth="1"/>
    <col min="58" max="58" width="10.85546875" hidden="1" customWidth="1"/>
    <col min="59" max="59" width="40.7109375" customWidth="1"/>
    <col min="60" max="60" width="60.7109375" customWidth="1"/>
  </cols>
  <sheetData>
    <row r="1" spans="1:29" ht="18.75" customHeight="1" x14ac:dyDescent="0.25">
      <c r="A1" s="432" t="s">
        <v>106</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row>
    <row r="2" spans="1:29" x14ac:dyDescent="0.25">
      <c r="A2" s="432"/>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row>
    <row r="3" spans="1:29" x14ac:dyDescent="0.25">
      <c r="A3" s="433" t="s">
        <v>107</v>
      </c>
      <c r="B3" s="434"/>
      <c r="C3" s="434"/>
      <c r="D3" s="434"/>
      <c r="E3" s="434"/>
      <c r="F3" s="435"/>
      <c r="G3" s="436" t="str">
        <f>Setup!G3</f>
        <v>Expanded School Mental Health</v>
      </c>
      <c r="H3" s="437"/>
      <c r="I3" s="437"/>
      <c r="J3" s="437"/>
      <c r="K3" s="437"/>
      <c r="L3" s="437"/>
      <c r="M3" s="437"/>
      <c r="N3" s="437"/>
      <c r="O3" s="437"/>
      <c r="P3" s="438"/>
      <c r="Q3" s="1"/>
      <c r="R3" s="433" t="s">
        <v>109</v>
      </c>
      <c r="S3" s="434"/>
      <c r="T3" s="435"/>
      <c r="U3" s="439">
        <f>Setup!U3</f>
        <v>0</v>
      </c>
      <c r="V3" s="439"/>
      <c r="W3" s="439"/>
      <c r="X3" s="439"/>
      <c r="Y3" s="439"/>
      <c r="Z3" s="439"/>
      <c r="AA3" s="439"/>
      <c r="AB3" s="439"/>
      <c r="AC3" s="439"/>
    </row>
    <row r="4" spans="1:29" x14ac:dyDescent="0.25">
      <c r="A4" s="433" t="s">
        <v>110</v>
      </c>
      <c r="B4" s="434"/>
      <c r="C4" s="434"/>
      <c r="D4" s="434"/>
      <c r="E4" s="434"/>
      <c r="F4" s="435"/>
      <c r="G4" s="440">
        <f>Setup!G4</f>
        <v>0</v>
      </c>
      <c r="H4" s="441"/>
      <c r="I4" s="441"/>
      <c r="J4" s="441"/>
      <c r="K4" s="441"/>
      <c r="L4" s="441"/>
      <c r="M4" s="441"/>
      <c r="N4" s="441"/>
      <c r="O4" s="441"/>
      <c r="P4" s="442"/>
      <c r="Q4" s="1"/>
      <c r="R4" s="433" t="s">
        <v>114</v>
      </c>
      <c r="S4" s="434"/>
      <c r="T4" s="435"/>
      <c r="U4" s="440">
        <f>Setup!U6</f>
        <v>0</v>
      </c>
      <c r="V4" s="441"/>
      <c r="W4" s="441"/>
      <c r="X4" s="441"/>
      <c r="Y4" s="441"/>
      <c r="Z4" s="441"/>
      <c r="AA4" s="441"/>
      <c r="AB4" s="441"/>
      <c r="AC4" s="442"/>
    </row>
    <row r="5" spans="1:29" ht="30" customHeight="1" x14ac:dyDescent="0.25">
      <c r="A5" s="417" t="s">
        <v>115</v>
      </c>
      <c r="B5" s="418"/>
      <c r="C5" s="418"/>
      <c r="D5" s="418"/>
      <c r="E5" s="418"/>
      <c r="F5" s="419"/>
      <c r="G5" s="420">
        <f>Setup!G7</f>
        <v>0</v>
      </c>
      <c r="H5" s="421"/>
      <c r="I5" s="421"/>
      <c r="J5" s="421"/>
      <c r="K5" s="422"/>
      <c r="L5" s="420">
        <f>Setup!L7</f>
        <v>0</v>
      </c>
      <c r="M5" s="421"/>
      <c r="N5" s="421"/>
      <c r="O5" s="421"/>
      <c r="P5" s="422"/>
      <c r="Q5" s="1"/>
      <c r="R5" s="423" t="s">
        <v>118</v>
      </c>
      <c r="S5" s="424"/>
      <c r="T5" s="425"/>
      <c r="U5" s="426">
        <f>Setup!U7</f>
        <v>0</v>
      </c>
      <c r="V5" s="427"/>
      <c r="W5" s="427"/>
      <c r="X5" s="427"/>
      <c r="Y5" s="427"/>
      <c r="Z5" s="427"/>
      <c r="AA5" s="427"/>
      <c r="AB5" s="427"/>
      <c r="AC5" s="428"/>
    </row>
    <row r="6" spans="1:29" ht="18.75" customHeight="1" x14ac:dyDescent="0.25">
      <c r="A6" s="429" t="s">
        <v>119</v>
      </c>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1"/>
    </row>
    <row r="7" spans="1:29" ht="26.25" customHeight="1" thickBot="1" x14ac:dyDescent="0.3">
      <c r="A7" s="769" t="s">
        <v>1056</v>
      </c>
      <c r="B7" s="769"/>
      <c r="C7" s="769"/>
      <c r="D7" s="769"/>
      <c r="E7" s="769"/>
      <c r="F7" s="769"/>
      <c r="G7" s="769"/>
      <c r="H7" s="769"/>
      <c r="I7" s="769"/>
      <c r="J7" s="769"/>
      <c r="K7" s="168" t="s">
        <v>149</v>
      </c>
      <c r="L7" s="168" t="s">
        <v>150</v>
      </c>
      <c r="M7" s="168" t="s">
        <v>151</v>
      </c>
      <c r="N7" s="168" t="s">
        <v>152</v>
      </c>
      <c r="O7" s="168" t="s">
        <v>153</v>
      </c>
      <c r="P7" s="168" t="s">
        <v>154</v>
      </c>
      <c r="Q7" s="168" t="s">
        <v>155</v>
      </c>
      <c r="R7" s="168" t="s">
        <v>156</v>
      </c>
      <c r="S7" s="168" t="s">
        <v>157</v>
      </c>
      <c r="T7" s="168" t="s">
        <v>1057</v>
      </c>
      <c r="U7" s="168" t="s">
        <v>159</v>
      </c>
      <c r="V7" s="168" t="s">
        <v>160</v>
      </c>
      <c r="W7" s="168" t="s">
        <v>161</v>
      </c>
      <c r="X7" s="98"/>
      <c r="Y7" s="98"/>
      <c r="Z7" s="98"/>
      <c r="AA7" s="98"/>
      <c r="AB7" s="98"/>
      <c r="AC7" s="98"/>
    </row>
    <row r="8" spans="1:29" s="98" customFormat="1" ht="15.75" thickBot="1" x14ac:dyDescent="0.3">
      <c r="A8" s="771" t="s">
        <v>1058</v>
      </c>
      <c r="B8" s="772"/>
      <c r="C8" s="772"/>
      <c r="D8" s="772"/>
      <c r="E8" s="772"/>
      <c r="F8" s="772"/>
      <c r="G8" s="772"/>
      <c r="H8" s="772"/>
      <c r="I8" s="772"/>
      <c r="J8" s="773"/>
      <c r="K8" s="170"/>
      <c r="L8" s="170"/>
      <c r="M8" s="170"/>
      <c r="N8" s="170"/>
      <c r="O8" s="170"/>
      <c r="P8" s="170"/>
      <c r="Q8" s="170"/>
      <c r="R8" s="170"/>
      <c r="S8" s="170"/>
      <c r="T8" s="170"/>
      <c r="U8" s="170"/>
      <c r="V8" s="170"/>
      <c r="W8" s="161">
        <f>SUM(K8:V8)</f>
        <v>0</v>
      </c>
    </row>
    <row r="9" spans="1:29" s="98" customFormat="1" x14ac:dyDescent="0.25">
      <c r="A9" s="777" t="s">
        <v>1059</v>
      </c>
      <c r="B9" s="778"/>
      <c r="C9" s="778"/>
      <c r="D9" s="778"/>
      <c r="E9" s="778"/>
      <c r="F9" s="778"/>
      <c r="G9" s="778"/>
      <c r="H9" s="778"/>
      <c r="I9" s="778"/>
      <c r="J9" s="779"/>
      <c r="K9" s="171"/>
      <c r="L9" s="171"/>
      <c r="M9" s="171"/>
      <c r="N9" s="171"/>
      <c r="O9" s="171"/>
      <c r="P9" s="171"/>
      <c r="Q9" s="171"/>
      <c r="R9" s="171"/>
      <c r="S9" s="171"/>
      <c r="T9" s="171"/>
      <c r="U9" s="171"/>
      <c r="V9" s="171"/>
      <c r="W9" s="162">
        <f>SUM(K9:V9)</f>
        <v>0</v>
      </c>
    </row>
    <row r="10" spans="1:29" x14ac:dyDescent="0.25">
      <c r="A10" s="770" t="s">
        <v>1060</v>
      </c>
      <c r="B10" s="770"/>
      <c r="C10" s="770"/>
      <c r="D10" s="770"/>
      <c r="E10" s="770"/>
      <c r="F10" s="770"/>
      <c r="G10" s="770"/>
      <c r="H10" s="770"/>
      <c r="I10" s="770"/>
      <c r="J10" s="770"/>
      <c r="K10" s="172"/>
      <c r="L10" s="172"/>
      <c r="M10" s="172"/>
      <c r="N10" s="172"/>
      <c r="O10" s="172"/>
      <c r="P10" s="172"/>
      <c r="Q10" s="172"/>
      <c r="R10" s="172"/>
      <c r="S10" s="172"/>
      <c r="T10" s="172"/>
      <c r="U10" s="172"/>
      <c r="V10" s="172"/>
      <c r="W10" s="162">
        <f>SUM(K10:V10)</f>
        <v>0</v>
      </c>
      <c r="X10" s="98"/>
      <c r="Y10" s="98"/>
      <c r="Z10" s="98"/>
      <c r="AA10" s="98"/>
      <c r="AB10" s="98"/>
      <c r="AC10" s="98"/>
    </row>
    <row r="11" spans="1:29" x14ac:dyDescent="0.25">
      <c r="A11" s="770" t="s">
        <v>1061</v>
      </c>
      <c r="B11" s="770"/>
      <c r="C11" s="770"/>
      <c r="D11" s="770"/>
      <c r="E11" s="770"/>
      <c r="F11" s="770"/>
      <c r="G11" s="770"/>
      <c r="H11" s="770"/>
      <c r="I11" s="770"/>
      <c r="J11" s="770"/>
      <c r="K11" s="172"/>
      <c r="L11" s="172"/>
      <c r="M11" s="172"/>
      <c r="N11" s="172"/>
      <c r="O11" s="172"/>
      <c r="P11" s="172"/>
      <c r="Q11" s="172"/>
      <c r="R11" s="172"/>
      <c r="S11" s="172"/>
      <c r="T11" s="172"/>
      <c r="U11" s="172"/>
      <c r="V11" s="172"/>
      <c r="W11" s="163">
        <f t="shared" ref="W11:W21" si="0">SUM(K11:V11)</f>
        <v>0</v>
      </c>
      <c r="X11" s="98"/>
      <c r="Y11" s="98"/>
      <c r="Z11" s="98"/>
      <c r="AA11" s="98"/>
      <c r="AB11" s="98"/>
      <c r="AC11" s="98"/>
    </row>
    <row r="12" spans="1:29" x14ac:dyDescent="0.25">
      <c r="A12" s="770" t="s">
        <v>1062</v>
      </c>
      <c r="B12" s="770"/>
      <c r="C12" s="770"/>
      <c r="D12" s="770"/>
      <c r="E12" s="770"/>
      <c r="F12" s="770"/>
      <c r="G12" s="770"/>
      <c r="H12" s="770"/>
      <c r="I12" s="770"/>
      <c r="J12" s="770"/>
      <c r="K12" s="172"/>
      <c r="L12" s="172"/>
      <c r="M12" s="172"/>
      <c r="N12" s="172"/>
      <c r="O12" s="172"/>
      <c r="P12" s="172"/>
      <c r="Q12" s="172"/>
      <c r="R12" s="172"/>
      <c r="S12" s="172"/>
      <c r="T12" s="172"/>
      <c r="U12" s="172"/>
      <c r="V12" s="172"/>
      <c r="W12" s="163">
        <f t="shared" si="0"/>
        <v>0</v>
      </c>
      <c r="X12" s="98"/>
      <c r="Y12" s="98"/>
      <c r="Z12" s="98"/>
      <c r="AA12" s="98"/>
      <c r="AB12" s="98"/>
      <c r="AC12" s="98"/>
    </row>
    <row r="13" spans="1:29" x14ac:dyDescent="0.25">
      <c r="A13" s="770" t="s">
        <v>1063</v>
      </c>
      <c r="B13" s="770"/>
      <c r="C13" s="770"/>
      <c r="D13" s="770"/>
      <c r="E13" s="770"/>
      <c r="F13" s="770"/>
      <c r="G13" s="770"/>
      <c r="H13" s="770"/>
      <c r="I13" s="770"/>
      <c r="J13" s="770"/>
      <c r="K13" s="172"/>
      <c r="L13" s="172"/>
      <c r="M13" s="172"/>
      <c r="N13" s="172"/>
      <c r="O13" s="172"/>
      <c r="P13" s="172"/>
      <c r="Q13" s="172"/>
      <c r="R13" s="172"/>
      <c r="S13" s="172"/>
      <c r="T13" s="172"/>
      <c r="U13" s="172"/>
      <c r="V13" s="172"/>
      <c r="W13" s="163">
        <f t="shared" si="0"/>
        <v>0</v>
      </c>
      <c r="X13" s="98"/>
      <c r="Y13" s="98"/>
      <c r="Z13" s="98"/>
      <c r="AA13" s="98"/>
      <c r="AB13" s="98"/>
      <c r="AC13" s="98"/>
    </row>
    <row r="14" spans="1:29" ht="15.75" thickBot="1" x14ac:dyDescent="0.3">
      <c r="A14" s="767" t="s">
        <v>1064</v>
      </c>
      <c r="B14" s="767"/>
      <c r="C14" s="767"/>
      <c r="D14" s="767"/>
      <c r="E14" s="767"/>
      <c r="F14" s="767"/>
      <c r="G14" s="767"/>
      <c r="H14" s="767"/>
      <c r="I14" s="767"/>
      <c r="J14" s="767"/>
      <c r="K14" s="173"/>
      <c r="L14" s="173"/>
      <c r="M14" s="173"/>
      <c r="N14" s="173"/>
      <c r="O14" s="173"/>
      <c r="P14" s="173"/>
      <c r="Q14" s="173"/>
      <c r="R14" s="173"/>
      <c r="S14" s="173"/>
      <c r="T14" s="173"/>
      <c r="U14" s="173"/>
      <c r="V14" s="173"/>
      <c r="W14" s="164">
        <f t="shared" si="0"/>
        <v>0</v>
      </c>
      <c r="X14" s="98"/>
      <c r="Y14" s="98"/>
      <c r="Z14" s="98"/>
      <c r="AA14" s="98"/>
      <c r="AB14" s="98"/>
      <c r="AC14" s="98"/>
    </row>
    <row r="15" spans="1:29" s="98" customFormat="1" ht="15.75" thickBot="1" x14ac:dyDescent="0.3">
      <c r="A15" s="774" t="s">
        <v>1065</v>
      </c>
      <c r="B15" s="775"/>
      <c r="C15" s="775"/>
      <c r="D15" s="775"/>
      <c r="E15" s="775"/>
      <c r="F15" s="775"/>
      <c r="G15" s="775"/>
      <c r="H15" s="775"/>
      <c r="I15" s="775"/>
      <c r="J15" s="776"/>
      <c r="K15" s="174"/>
      <c r="L15" s="174"/>
      <c r="M15" s="174"/>
      <c r="N15" s="174"/>
      <c r="O15" s="174"/>
      <c r="P15" s="174"/>
      <c r="Q15" s="174"/>
      <c r="R15" s="174"/>
      <c r="S15" s="174"/>
      <c r="T15" s="174"/>
      <c r="U15" s="174"/>
      <c r="V15" s="174"/>
      <c r="W15" s="165">
        <f>SUM(K15:V15)</f>
        <v>0</v>
      </c>
    </row>
    <row r="16" spans="1:29" x14ac:dyDescent="0.25">
      <c r="A16" s="768" t="s">
        <v>1066</v>
      </c>
      <c r="B16" s="768"/>
      <c r="C16" s="768"/>
      <c r="D16" s="768"/>
      <c r="E16" s="768"/>
      <c r="F16" s="768"/>
      <c r="G16" s="768"/>
      <c r="H16" s="768"/>
      <c r="I16" s="768"/>
      <c r="J16" s="768"/>
      <c r="K16" s="175"/>
      <c r="L16" s="175"/>
      <c r="M16" s="175"/>
      <c r="N16" s="175"/>
      <c r="O16" s="175"/>
      <c r="P16" s="175"/>
      <c r="Q16" s="175"/>
      <c r="R16" s="175"/>
      <c r="S16" s="175"/>
      <c r="T16" s="175"/>
      <c r="U16" s="175"/>
      <c r="V16" s="175"/>
      <c r="W16" s="166">
        <f t="shared" si="0"/>
        <v>0</v>
      </c>
      <c r="X16" s="98"/>
      <c r="Y16" s="98"/>
      <c r="Z16" s="98"/>
      <c r="AA16" s="98"/>
      <c r="AB16" s="98"/>
      <c r="AC16" s="98"/>
    </row>
    <row r="17" spans="1:23" x14ac:dyDescent="0.25">
      <c r="A17" s="780" t="s">
        <v>1067</v>
      </c>
      <c r="B17" s="780"/>
      <c r="C17" s="780"/>
      <c r="D17" s="780"/>
      <c r="E17" s="780"/>
      <c r="F17" s="780"/>
      <c r="G17" s="780"/>
      <c r="H17" s="780"/>
      <c r="I17" s="780"/>
      <c r="J17" s="780"/>
      <c r="K17" s="176"/>
      <c r="L17" s="176"/>
      <c r="M17" s="176"/>
      <c r="N17" s="176"/>
      <c r="O17" s="176"/>
      <c r="P17" s="176"/>
      <c r="Q17" s="176"/>
      <c r="R17" s="176"/>
      <c r="S17" s="176"/>
      <c r="T17" s="176"/>
      <c r="U17" s="176"/>
      <c r="V17" s="176"/>
      <c r="W17" s="167">
        <f t="shared" si="0"/>
        <v>0</v>
      </c>
    </row>
    <row r="18" spans="1:23" x14ac:dyDescent="0.25">
      <c r="A18" s="780" t="s">
        <v>1068</v>
      </c>
      <c r="B18" s="780"/>
      <c r="C18" s="780"/>
      <c r="D18" s="780"/>
      <c r="E18" s="780"/>
      <c r="F18" s="780"/>
      <c r="G18" s="780"/>
      <c r="H18" s="780"/>
      <c r="I18" s="780"/>
      <c r="J18" s="780"/>
      <c r="K18" s="176"/>
      <c r="L18" s="176"/>
      <c r="M18" s="176"/>
      <c r="N18" s="176"/>
      <c r="O18" s="176"/>
      <c r="P18" s="176"/>
      <c r="Q18" s="176"/>
      <c r="R18" s="176"/>
      <c r="S18" s="176"/>
      <c r="T18" s="176"/>
      <c r="U18" s="176"/>
      <c r="V18" s="176"/>
      <c r="W18" s="167">
        <f t="shared" si="0"/>
        <v>0</v>
      </c>
    </row>
    <row r="19" spans="1:23" x14ac:dyDescent="0.25">
      <c r="A19" s="780" t="s">
        <v>1069</v>
      </c>
      <c r="B19" s="780"/>
      <c r="C19" s="780"/>
      <c r="D19" s="780"/>
      <c r="E19" s="780"/>
      <c r="F19" s="780"/>
      <c r="G19" s="780"/>
      <c r="H19" s="780"/>
      <c r="I19" s="780"/>
      <c r="J19" s="780"/>
      <c r="K19" s="176"/>
      <c r="L19" s="176"/>
      <c r="M19" s="176"/>
      <c r="N19" s="176"/>
      <c r="O19" s="176"/>
      <c r="P19" s="176"/>
      <c r="Q19" s="176"/>
      <c r="R19" s="176"/>
      <c r="S19" s="176"/>
      <c r="T19" s="176"/>
      <c r="U19" s="176"/>
      <c r="V19" s="176"/>
      <c r="W19" s="167">
        <f t="shared" si="0"/>
        <v>0</v>
      </c>
    </row>
    <row r="20" spans="1:23" x14ac:dyDescent="0.25">
      <c r="A20" s="780" t="s">
        <v>1070</v>
      </c>
      <c r="B20" s="780"/>
      <c r="C20" s="780"/>
      <c r="D20" s="780"/>
      <c r="E20" s="780"/>
      <c r="F20" s="780"/>
      <c r="G20" s="780"/>
      <c r="H20" s="780"/>
      <c r="I20" s="780"/>
      <c r="J20" s="780"/>
      <c r="K20" s="176"/>
      <c r="L20" s="176"/>
      <c r="M20" s="176"/>
      <c r="N20" s="176"/>
      <c r="O20" s="176"/>
      <c r="P20" s="176"/>
      <c r="Q20" s="176"/>
      <c r="R20" s="176"/>
      <c r="S20" s="176"/>
      <c r="T20" s="176"/>
      <c r="U20" s="176"/>
      <c r="V20" s="176"/>
      <c r="W20" s="167">
        <f t="shared" si="0"/>
        <v>0</v>
      </c>
    </row>
    <row r="21" spans="1:23" x14ac:dyDescent="0.25">
      <c r="A21" s="780" t="s">
        <v>1071</v>
      </c>
      <c r="B21" s="780"/>
      <c r="C21" s="780"/>
      <c r="D21" s="780"/>
      <c r="E21" s="780"/>
      <c r="F21" s="780"/>
      <c r="G21" s="780"/>
      <c r="H21" s="780"/>
      <c r="I21" s="780"/>
      <c r="J21" s="780"/>
      <c r="K21" s="176"/>
      <c r="L21" s="176"/>
      <c r="M21" s="176"/>
      <c r="N21" s="176"/>
      <c r="O21" s="176"/>
      <c r="P21" s="176"/>
      <c r="Q21" s="176"/>
      <c r="R21" s="176"/>
      <c r="S21" s="176"/>
      <c r="T21" s="176"/>
      <c r="U21" s="176"/>
      <c r="V21" s="176"/>
      <c r="W21" s="167">
        <f t="shared" si="0"/>
        <v>0</v>
      </c>
    </row>
  </sheetData>
  <sheetProtection algorithmName="SHA-512" hashValue="AvW2pUP4FoveYgQfkshlSdAybhmF/3j5i4JttYZ+69bmmCurYG5nbiIdZN42vF28WNEHKTTsWvwZ7/+BmBTRrA==" saltValue="SbitobseU0tgtdUN3ikPUQ==" spinCount="100000" sheet="1" objects="1" scenarios="1" selectLockedCells="1"/>
  <mergeCells count="30">
    <mergeCell ref="A17:J17"/>
    <mergeCell ref="A18:J18"/>
    <mergeCell ref="A19:J19"/>
    <mergeCell ref="A20:J20"/>
    <mergeCell ref="A21:J21"/>
    <mergeCell ref="A14:J14"/>
    <mergeCell ref="A16:J16"/>
    <mergeCell ref="A5:F5"/>
    <mergeCell ref="G5:K5"/>
    <mergeCell ref="L5:P5"/>
    <mergeCell ref="A7:J7"/>
    <mergeCell ref="A10:J10"/>
    <mergeCell ref="A11:J11"/>
    <mergeCell ref="A12:J12"/>
    <mergeCell ref="A13:J13"/>
    <mergeCell ref="A8:J8"/>
    <mergeCell ref="A15:J15"/>
    <mergeCell ref="A9:J9"/>
    <mergeCell ref="R5:T5"/>
    <mergeCell ref="U5:AC5"/>
    <mergeCell ref="A6:AC6"/>
    <mergeCell ref="A1:AC2"/>
    <mergeCell ref="A3:F3"/>
    <mergeCell ref="G3:P3"/>
    <mergeCell ref="R3:T3"/>
    <mergeCell ref="U3:AC3"/>
    <mergeCell ref="A4:F4"/>
    <mergeCell ref="G4:P4"/>
    <mergeCell ref="R4:T4"/>
    <mergeCell ref="U4:AC4"/>
  </mergeCells>
  <pageMargins left="0.7" right="0.7" top="0.75" bottom="0.75" header="0.3" footer="0.3"/>
  <pageSetup scale="68" orientation="landscape" r:id="rId1"/>
  <headerFooter>
    <oddFooter>&amp;LRevised 2/28/19&amp;C&amp;A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39997558519241921"/>
    <pageSetUpPr fitToPage="1"/>
  </sheetPr>
  <dimension ref="A1:BP72"/>
  <sheetViews>
    <sheetView topLeftCell="A51" zoomScale="80" zoomScaleNormal="80" workbookViewId="0">
      <selection activeCell="H62" sqref="H62:AA64"/>
    </sheetView>
  </sheetViews>
  <sheetFormatPr defaultRowHeight="15" x14ac:dyDescent="0.25"/>
  <cols>
    <col min="1" max="1" width="7.28515625" customWidth="1"/>
    <col min="2" max="3" width="6.7109375" customWidth="1"/>
    <col min="4" max="9" width="5.7109375" customWidth="1"/>
    <col min="10" max="11" width="6.28515625" customWidth="1"/>
    <col min="12" max="12" width="6.28515625" style="98" customWidth="1"/>
    <col min="13" max="14" width="6.28515625" customWidth="1"/>
    <col min="15" max="15" width="6.28515625" style="98" customWidth="1"/>
    <col min="16" max="17" width="6.28515625" customWidth="1"/>
    <col min="18" max="18" width="6.28515625" style="98" customWidth="1"/>
    <col min="19" max="20" width="6.28515625" customWidth="1"/>
    <col min="21" max="21" width="6.28515625" style="98" customWidth="1"/>
    <col min="22" max="23" width="6.28515625" customWidth="1"/>
    <col min="24" max="24" width="6.28515625" style="98" customWidth="1"/>
    <col min="25" max="26" width="6.28515625" customWidth="1"/>
    <col min="27" max="27" width="6.28515625" style="98" customWidth="1"/>
    <col min="28" max="29" width="6.28515625" customWidth="1"/>
    <col min="30" max="30" width="6.28515625" style="98" customWidth="1"/>
    <col min="31" max="31" width="7.5703125" customWidth="1"/>
    <col min="32" max="33" width="6.28515625" customWidth="1"/>
    <col min="34" max="34" width="6.28515625" style="98" customWidth="1"/>
    <col min="35" max="35" width="6.28515625" customWidth="1"/>
    <col min="36" max="36" width="5.7109375" customWidth="1"/>
    <col min="37" max="37" width="5.7109375" style="98" customWidth="1"/>
    <col min="38" max="39" width="5.7109375" customWidth="1"/>
    <col min="40" max="40" width="5.7109375" style="98" customWidth="1"/>
    <col min="41" max="41" width="8.42578125" customWidth="1"/>
    <col min="42" max="51" width="5.7109375" customWidth="1"/>
    <col min="61" max="61" width="6" customWidth="1"/>
    <col min="62" max="62" width="9.140625" hidden="1" customWidth="1"/>
    <col min="63" max="63" width="6.28515625" hidden="1" customWidth="1"/>
    <col min="64" max="64" width="9.140625" hidden="1" customWidth="1"/>
    <col min="65" max="65" width="6.85546875" hidden="1" customWidth="1"/>
    <col min="66" max="66" width="8.7109375" hidden="1" customWidth="1"/>
    <col min="67" max="67" width="9.140625" hidden="1" customWidth="1"/>
    <col min="68" max="68" width="10.85546875" hidden="1" customWidth="1"/>
    <col min="69" max="69" width="40.7109375" customWidth="1"/>
    <col min="70" max="70" width="60.7109375" customWidth="1"/>
  </cols>
  <sheetData>
    <row r="1" spans="1:41" ht="18.75" customHeight="1" x14ac:dyDescent="0.25">
      <c r="A1" s="432" t="s">
        <v>106</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432"/>
      <c r="AG1" s="432"/>
      <c r="AH1" s="432"/>
      <c r="AI1" s="432"/>
      <c r="AJ1" s="432"/>
      <c r="AK1" s="432"/>
      <c r="AL1" s="432"/>
      <c r="AM1" s="98"/>
      <c r="AO1" s="98"/>
    </row>
    <row r="2" spans="1:41" x14ac:dyDescent="0.25">
      <c r="A2" s="432"/>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432"/>
      <c r="AG2" s="432"/>
      <c r="AH2" s="432"/>
      <c r="AI2" s="432"/>
      <c r="AJ2" s="432"/>
      <c r="AK2" s="432"/>
      <c r="AL2" s="432"/>
      <c r="AM2" s="98"/>
      <c r="AO2" s="98"/>
    </row>
    <row r="3" spans="1:41" x14ac:dyDescent="0.25">
      <c r="A3" s="433" t="s">
        <v>107</v>
      </c>
      <c r="B3" s="434"/>
      <c r="C3" s="434"/>
      <c r="D3" s="434"/>
      <c r="E3" s="434"/>
      <c r="F3" s="435"/>
      <c r="G3" s="369" t="str">
        <f>Setup!G3</f>
        <v>Expanded School Mental Health</v>
      </c>
      <c r="H3" s="370"/>
      <c r="I3" s="370"/>
      <c r="J3" s="370"/>
      <c r="K3" s="370"/>
      <c r="L3" s="370"/>
      <c r="M3" s="370"/>
      <c r="N3" s="370"/>
      <c r="O3" s="370"/>
      <c r="P3" s="370"/>
      <c r="Q3" s="370"/>
      <c r="R3" s="370"/>
      <c r="S3" s="371"/>
      <c r="T3" s="1"/>
      <c r="U3" s="1"/>
      <c r="V3" s="433" t="s">
        <v>109</v>
      </c>
      <c r="W3" s="434"/>
      <c r="X3" s="434"/>
      <c r="Y3" s="435"/>
      <c r="Z3" s="372">
        <f>Setup!U3</f>
        <v>0</v>
      </c>
      <c r="AA3" s="372"/>
      <c r="AB3" s="372"/>
      <c r="AC3" s="372"/>
      <c r="AD3" s="372"/>
      <c r="AE3" s="372"/>
      <c r="AF3" s="372"/>
      <c r="AG3" s="372"/>
      <c r="AH3" s="372"/>
      <c r="AI3" s="372"/>
      <c r="AJ3" s="372"/>
      <c r="AK3" s="372"/>
      <c r="AL3" s="372"/>
      <c r="AM3" s="98"/>
      <c r="AO3" s="98"/>
    </row>
    <row r="4" spans="1:41" x14ac:dyDescent="0.25">
      <c r="A4" s="433" t="s">
        <v>110</v>
      </c>
      <c r="B4" s="434"/>
      <c r="C4" s="434"/>
      <c r="D4" s="434"/>
      <c r="E4" s="434"/>
      <c r="F4" s="435"/>
      <c r="G4" s="373">
        <f>Setup!G4</f>
        <v>0</v>
      </c>
      <c r="H4" s="374"/>
      <c r="I4" s="374"/>
      <c r="J4" s="374"/>
      <c r="K4" s="374"/>
      <c r="L4" s="374"/>
      <c r="M4" s="374"/>
      <c r="N4" s="374"/>
      <c r="O4" s="374"/>
      <c r="P4" s="374"/>
      <c r="Q4" s="374"/>
      <c r="R4" s="374"/>
      <c r="S4" s="375"/>
      <c r="T4" s="1"/>
      <c r="U4" s="1"/>
      <c r="V4" s="433" t="s">
        <v>114</v>
      </c>
      <c r="W4" s="434"/>
      <c r="X4" s="434"/>
      <c r="Y4" s="435"/>
      <c r="Z4" s="373">
        <f>Setup!U6</f>
        <v>0</v>
      </c>
      <c r="AA4" s="374"/>
      <c r="AB4" s="374"/>
      <c r="AC4" s="374"/>
      <c r="AD4" s="374"/>
      <c r="AE4" s="374"/>
      <c r="AF4" s="374"/>
      <c r="AG4" s="374"/>
      <c r="AH4" s="374"/>
      <c r="AI4" s="374"/>
      <c r="AJ4" s="374"/>
      <c r="AK4" s="374"/>
      <c r="AL4" s="375"/>
      <c r="AM4" s="98"/>
      <c r="AO4" s="98"/>
    </row>
    <row r="5" spans="1:41" ht="30" customHeight="1" x14ac:dyDescent="0.25">
      <c r="A5" s="417" t="s">
        <v>115</v>
      </c>
      <c r="B5" s="418"/>
      <c r="C5" s="418"/>
      <c r="D5" s="418"/>
      <c r="E5" s="418"/>
      <c r="F5" s="419"/>
      <c r="G5" s="869">
        <f>Setup!G7</f>
        <v>0</v>
      </c>
      <c r="H5" s="870"/>
      <c r="I5" s="870"/>
      <c r="J5" s="870"/>
      <c r="K5" s="870"/>
      <c r="L5" s="871"/>
      <c r="M5" s="340">
        <f>Setup!L7</f>
        <v>0</v>
      </c>
      <c r="N5" s="341"/>
      <c r="O5" s="341"/>
      <c r="P5" s="341"/>
      <c r="Q5" s="341"/>
      <c r="R5" s="341"/>
      <c r="S5" s="342"/>
      <c r="T5" s="1"/>
      <c r="U5" s="1"/>
      <c r="V5" s="423" t="s">
        <v>118</v>
      </c>
      <c r="W5" s="424"/>
      <c r="X5" s="424"/>
      <c r="Y5" s="425"/>
      <c r="Z5" s="346">
        <f>Setup!U7</f>
        <v>0</v>
      </c>
      <c r="AA5" s="347"/>
      <c r="AB5" s="347"/>
      <c r="AC5" s="347"/>
      <c r="AD5" s="347"/>
      <c r="AE5" s="347"/>
      <c r="AF5" s="347"/>
      <c r="AG5" s="347"/>
      <c r="AH5" s="347"/>
      <c r="AI5" s="347"/>
      <c r="AJ5" s="347"/>
      <c r="AK5" s="347"/>
      <c r="AL5" s="348"/>
      <c r="AM5" s="98"/>
      <c r="AO5" s="98"/>
    </row>
    <row r="6" spans="1:41" ht="18.75" customHeight="1" x14ac:dyDescent="0.25">
      <c r="A6" s="429" t="s">
        <v>119</v>
      </c>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1"/>
      <c r="AM6" s="98"/>
      <c r="AO6" s="98"/>
    </row>
    <row r="8" spans="1:41" ht="18.75" x14ac:dyDescent="0.3">
      <c r="A8" s="96" t="s">
        <v>1072</v>
      </c>
      <c r="B8" s="96"/>
      <c r="C8" s="96"/>
      <c r="D8" s="96"/>
      <c r="E8" s="96"/>
      <c r="F8" s="96"/>
      <c r="G8" s="96"/>
      <c r="H8" s="96"/>
      <c r="I8" s="96"/>
      <c r="J8" s="96"/>
      <c r="K8" s="96"/>
      <c r="L8" s="96"/>
      <c r="M8" s="96"/>
      <c r="N8" s="96"/>
      <c r="O8" s="96"/>
      <c r="P8" s="96"/>
      <c r="Q8" s="94"/>
      <c r="R8" s="94"/>
      <c r="S8" s="94"/>
      <c r="T8" s="94"/>
      <c r="U8" s="94"/>
      <c r="V8" s="94"/>
      <c r="W8" s="94"/>
      <c r="X8" s="94"/>
      <c r="Y8" s="94"/>
      <c r="Z8" s="94"/>
      <c r="AA8" s="94"/>
      <c r="AB8" s="94"/>
      <c r="AC8" s="94"/>
      <c r="AD8" s="94"/>
      <c r="AE8" s="94"/>
      <c r="AF8" s="94"/>
      <c r="AG8" s="94"/>
      <c r="AH8" s="94"/>
      <c r="AI8" s="94"/>
      <c r="AJ8" s="94"/>
      <c r="AK8" s="94"/>
      <c r="AL8" s="94"/>
      <c r="AM8" s="94"/>
      <c r="AN8" s="94"/>
      <c r="AO8" s="94"/>
    </row>
    <row r="9" spans="1:41" x14ac:dyDescent="0.25">
      <c r="A9" s="866" t="s">
        <v>1073</v>
      </c>
      <c r="B9" s="866"/>
      <c r="C9" s="866"/>
      <c r="D9" s="866"/>
      <c r="E9" s="866"/>
      <c r="F9" s="866"/>
      <c r="G9" s="866"/>
      <c r="H9" s="866"/>
      <c r="I9" s="97"/>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row>
    <row r="10" spans="1:41" x14ac:dyDescent="0.25">
      <c r="A10" s="867">
        <f>'Tier 1 Prevention'!Z501</f>
        <v>0</v>
      </c>
      <c r="B10" s="868"/>
      <c r="C10" s="868"/>
      <c r="D10" s="868"/>
      <c r="E10" s="868"/>
      <c r="F10" s="868"/>
      <c r="G10" s="868"/>
      <c r="H10" s="868"/>
      <c r="I10" s="97"/>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row>
    <row r="12" spans="1:41" ht="18.75" x14ac:dyDescent="0.3">
      <c r="A12" s="92" t="s">
        <v>1074</v>
      </c>
      <c r="B12" s="92"/>
      <c r="C12" s="92"/>
      <c r="D12" s="92"/>
      <c r="E12" s="92"/>
      <c r="F12" s="92"/>
      <c r="G12" s="92"/>
      <c r="H12" s="92"/>
      <c r="I12" s="92"/>
      <c r="J12" s="92"/>
      <c r="K12" s="92"/>
      <c r="L12" s="92"/>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row>
    <row r="13" spans="1:41" x14ac:dyDescent="0.25">
      <c r="A13" s="866" t="s">
        <v>1075</v>
      </c>
      <c r="B13" s="866"/>
      <c r="C13" s="866"/>
      <c r="D13" s="866"/>
      <c r="E13" s="866"/>
      <c r="F13" s="866"/>
      <c r="G13" s="866"/>
      <c r="H13" s="866"/>
      <c r="I13" s="95"/>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row>
    <row r="14" spans="1:41" x14ac:dyDescent="0.25">
      <c r="A14" s="867">
        <f>'Tier 2 Prevention'!Z502</f>
        <v>0</v>
      </c>
      <c r="B14" s="868"/>
      <c r="C14" s="868"/>
      <c r="D14" s="868"/>
      <c r="E14" s="868"/>
      <c r="F14" s="868"/>
      <c r="G14" s="868"/>
      <c r="H14" s="868"/>
      <c r="I14" s="95"/>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row>
    <row r="16" spans="1:41" s="98" customFormat="1" ht="24.75" customHeight="1" thickBot="1" x14ac:dyDescent="0.3">
      <c r="A16" s="864" t="s">
        <v>1076</v>
      </c>
      <c r="B16" s="864"/>
      <c r="C16" s="864"/>
      <c r="D16" s="864"/>
      <c r="E16" s="864"/>
      <c r="F16" s="864"/>
      <c r="G16" s="864"/>
      <c r="H16" s="864"/>
      <c r="I16" s="864"/>
      <c r="J16" s="864"/>
      <c r="K16" s="864"/>
      <c r="L16" s="864"/>
      <c r="M16" s="864"/>
      <c r="N16" s="864"/>
      <c r="O16" s="864"/>
      <c r="P16" s="864"/>
      <c r="Q16" s="864"/>
      <c r="R16" s="864"/>
      <c r="S16" s="864"/>
      <c r="T16" s="864"/>
      <c r="U16" s="864"/>
      <c r="V16" s="864"/>
      <c r="W16" s="864"/>
      <c r="X16" s="864"/>
      <c r="Y16" s="864"/>
      <c r="Z16" s="864"/>
      <c r="AA16" s="864"/>
      <c r="AB16" s="864"/>
      <c r="AC16" s="864"/>
      <c r="AD16" s="864"/>
      <c r="AE16" s="864"/>
      <c r="AF16" s="864"/>
      <c r="AG16" s="864"/>
      <c r="AH16" s="864"/>
      <c r="AI16" s="864"/>
      <c r="AJ16" s="864"/>
      <c r="AK16" s="864"/>
      <c r="AL16" s="864"/>
      <c r="AM16" s="864"/>
      <c r="AN16" s="864"/>
      <c r="AO16" s="865"/>
    </row>
    <row r="17" spans="1:41" ht="33" customHeight="1" thickTop="1" x14ac:dyDescent="0.25">
      <c r="A17" s="861" t="s">
        <v>1077</v>
      </c>
      <c r="B17" s="862"/>
      <c r="C17" s="862"/>
      <c r="D17" s="862"/>
      <c r="E17" s="862"/>
      <c r="F17" s="862"/>
      <c r="G17" s="862"/>
      <c r="H17" s="862"/>
      <c r="I17" s="863"/>
      <c r="J17" s="855" t="s">
        <v>1078</v>
      </c>
      <c r="K17" s="856"/>
      <c r="L17" s="857"/>
      <c r="M17" s="855" t="s">
        <v>1079</v>
      </c>
      <c r="N17" s="856"/>
      <c r="O17" s="857"/>
      <c r="P17" s="855" t="s">
        <v>278</v>
      </c>
      <c r="Q17" s="856"/>
      <c r="R17" s="857"/>
      <c r="S17" s="855" t="s">
        <v>1080</v>
      </c>
      <c r="T17" s="856"/>
      <c r="U17" s="857"/>
      <c r="V17" s="855" t="s">
        <v>1081</v>
      </c>
      <c r="W17" s="856"/>
      <c r="X17" s="857"/>
      <c r="Y17" s="855" t="s">
        <v>264</v>
      </c>
      <c r="Z17" s="856"/>
      <c r="AA17" s="857"/>
      <c r="AB17" s="855" t="s">
        <v>1082</v>
      </c>
      <c r="AC17" s="856"/>
      <c r="AD17" s="857"/>
      <c r="AE17" s="147" t="s">
        <v>228</v>
      </c>
      <c r="AF17" s="855" t="s">
        <v>1083</v>
      </c>
      <c r="AG17" s="856"/>
      <c r="AH17" s="857"/>
      <c r="AI17" s="855" t="s">
        <v>265</v>
      </c>
      <c r="AJ17" s="856"/>
      <c r="AK17" s="857"/>
      <c r="AL17" s="855" t="s">
        <v>1084</v>
      </c>
      <c r="AM17" s="856"/>
      <c r="AN17" s="856"/>
      <c r="AO17" s="151" t="s">
        <v>228</v>
      </c>
    </row>
    <row r="18" spans="1:41" x14ac:dyDescent="0.25">
      <c r="A18" s="858" t="s">
        <v>1085</v>
      </c>
      <c r="B18" s="859"/>
      <c r="C18" s="859"/>
      <c r="D18" s="859"/>
      <c r="E18" s="859"/>
      <c r="F18" s="859"/>
      <c r="G18" s="859"/>
      <c r="H18" s="859"/>
      <c r="I18" s="860"/>
      <c r="J18" s="153" t="s">
        <v>1086</v>
      </c>
      <c r="K18" s="116" t="s">
        <v>1087</v>
      </c>
      <c r="L18" s="117" t="s">
        <v>1088</v>
      </c>
      <c r="M18" s="153" t="s">
        <v>1086</v>
      </c>
      <c r="N18" s="116" t="s">
        <v>1087</v>
      </c>
      <c r="O18" s="117" t="s">
        <v>1088</v>
      </c>
      <c r="P18" s="153" t="s">
        <v>1086</v>
      </c>
      <c r="Q18" s="116" t="s">
        <v>1087</v>
      </c>
      <c r="R18" s="117" t="s">
        <v>1088</v>
      </c>
      <c r="S18" s="153" t="s">
        <v>1086</v>
      </c>
      <c r="T18" s="116" t="s">
        <v>1087</v>
      </c>
      <c r="U18" s="117" t="s">
        <v>1088</v>
      </c>
      <c r="V18" s="153" t="s">
        <v>1086</v>
      </c>
      <c r="W18" s="116" t="s">
        <v>1087</v>
      </c>
      <c r="X18" s="117" t="s">
        <v>1088</v>
      </c>
      <c r="Y18" s="153" t="s">
        <v>1086</v>
      </c>
      <c r="Z18" s="116" t="s">
        <v>1087</v>
      </c>
      <c r="AA18" s="117" t="s">
        <v>1088</v>
      </c>
      <c r="AB18" s="153" t="s">
        <v>1086</v>
      </c>
      <c r="AC18" s="116" t="s">
        <v>1087</v>
      </c>
      <c r="AD18" s="117" t="s">
        <v>1088</v>
      </c>
      <c r="AE18" s="148"/>
      <c r="AF18" s="153" t="s">
        <v>1086</v>
      </c>
      <c r="AG18" s="116" t="s">
        <v>1087</v>
      </c>
      <c r="AH18" s="117" t="s">
        <v>1088</v>
      </c>
      <c r="AI18" s="153" t="s">
        <v>1086</v>
      </c>
      <c r="AJ18" s="116" t="s">
        <v>1087</v>
      </c>
      <c r="AK18" s="117" t="s">
        <v>1088</v>
      </c>
      <c r="AL18" s="153" t="s">
        <v>1086</v>
      </c>
      <c r="AM18" s="116" t="s">
        <v>1087</v>
      </c>
      <c r="AN18" s="117" t="s">
        <v>1088</v>
      </c>
      <c r="AO18" s="152"/>
    </row>
    <row r="19" spans="1:41" x14ac:dyDescent="0.25">
      <c r="A19" s="849" t="s">
        <v>1089</v>
      </c>
      <c r="B19" s="850"/>
      <c r="C19" s="850"/>
      <c r="D19" s="850"/>
      <c r="E19" s="850"/>
      <c r="F19" s="850"/>
      <c r="G19" s="850"/>
      <c r="H19" s="850"/>
      <c r="I19" s="851"/>
      <c r="J19" s="154">
        <f>COUNTIFS('Tier 3 Intervention'!K11:K1083,"&gt;=0",'Tier 3 Intervention'!K11:K1083,"&lt;=4",'Tier 3 Intervention'!E11:E1083,"American Indian",'Tier 3 Intervention'!N11:N1083,"Male")</f>
        <v>0</v>
      </c>
      <c r="K19" s="154">
        <f>COUNTIFS('Tier 3 Intervention'!K11:K1083,"&gt;=0",'Tier 3 Intervention'!K11:K1083,"&lt;=4",'Tier 3 Intervention'!E11:E1083,"American Indian",'Tier 3 Intervention'!N11:N1083,"Female")</f>
        <v>0</v>
      </c>
      <c r="L19" s="154">
        <f>COUNTIFS('Tier 3 Intervention'!K11:K1083,"&gt;=0",'Tier 3 Intervention'!K11:K1083,"&lt;=4",'Tier 3 Intervention'!E11:E1083,"American Indian",'Tier 3 Intervention'!N11:N1083,"Other")</f>
        <v>0</v>
      </c>
      <c r="M19" s="154">
        <f>COUNTIFS('Tier 3 Intervention'!K11:K1083,"&gt;=0",'Tier 3 Intervention'!K11:K1083,"&lt;=4",'Tier 3 Intervention'!E11:E1083,"Asian",'Tier 3 Intervention'!N11:N1083,"Male")</f>
        <v>0</v>
      </c>
      <c r="N19" s="154">
        <f>COUNTIFS('Tier 3 Intervention'!K11:K1083,"&gt;=0",'Tier 3 Intervention'!K11:K1083,"&lt;=4",'Tier 3 Intervention'!E11:E1083,"Asian",'Tier 3 Intervention'!N11:N1083,"Female")</f>
        <v>0</v>
      </c>
      <c r="O19" s="154">
        <f>COUNTIFS('Tier 3 Intervention'!K11:K1083,"&gt;=0",'Tier 3 Intervention'!K11:K1083,"&lt;=4",'Tier 3 Intervention'!E11:E1083,"Asian",'Tier 3 Intervention'!N11:N1083,"Other")</f>
        <v>0</v>
      </c>
      <c r="P19" s="154">
        <f>COUNTIFS('Tier 3 Intervention'!K11:K1083,"&gt;=0",'Tier 3 Intervention'!K11:K1083,"&lt;=4",'Tier 3 Intervention'!E11:E1083,"Black or African American",'Tier 3 Intervention'!N11:N1083,"Male")</f>
        <v>0</v>
      </c>
      <c r="Q19" s="154">
        <f>COUNTIFS('Tier 3 Intervention'!K11:K1083,"&gt;=0",'Tier 3 Intervention'!K11:K1083,"&lt;=4",'Tier 3 Intervention'!E11:E1083,"Black or African American",'Tier 3 Intervention'!N11:N1083,"Female")</f>
        <v>0</v>
      </c>
      <c r="R19" s="154">
        <f>COUNTIFS('Tier 3 Intervention'!K11:K1083,"&gt;=0",'Tier 3 Intervention'!K11:K1083,"&lt;=4",'Tier 3 Intervention'!E11:E1083,"Black or African American",'Tier 3 Intervention'!N11:N1083,"Other")</f>
        <v>0</v>
      </c>
      <c r="S19" s="154">
        <f>COUNTIFS('Tier 3 Intervention'!K11:K1083,"&gt;=0",'Tier 3 Intervention'!K11:K1083,"&lt;=4",'Tier 3 Intervention'!E11:E1083,"More than One Race",'Tier 3 Intervention'!N11:N1083,"Male")</f>
        <v>0</v>
      </c>
      <c r="T19" s="154">
        <f>COUNTIFS('Tier 3 Intervention'!K11:K1083,"&gt;=0",'Tier 3 Intervention'!K11:K1083,"&lt;=4",'Tier 3 Intervention'!E11:E1083,"More than One Race",'Tier 3 Intervention'!N11:N1083,"Female")</f>
        <v>0</v>
      </c>
      <c r="U19" s="154">
        <f>COUNTIFS('Tier 3 Intervention'!K11:K1083,"&gt;=0",'Tier 3 Intervention'!K11:K1083,"&lt;=4",'Tier 3 Intervention'!E11:E1083,"More than One Race",'Tier 3 Intervention'!N11:N1083,"Other")</f>
        <v>0</v>
      </c>
      <c r="V19" s="154">
        <f>COUNTIFS('Tier 3 Intervention'!K11:K1083,"&gt;=0",'Tier 3 Intervention'!K11:K1083,"&lt;=4",'Tier 3 Intervention'!E11:E1083,"Native Hawaiian",'Tier 3 Intervention'!N11:N1083,"Male")</f>
        <v>0</v>
      </c>
      <c r="W19" s="154">
        <f>COUNTIFS('Tier 3 Intervention'!K11:K1083,"&gt;=0",'Tier 3 Intervention'!K11:K1083,"&lt;=4",'Tier 3 Intervention'!E11:E1083,"Native Hawaiian",'Tier 3 Intervention'!N11:N1083,"Female")</f>
        <v>0</v>
      </c>
      <c r="X19" s="154">
        <f>COUNTIFS('Tier 3 Intervention'!K11:K1083,"&gt;=0",'Tier 3 Intervention'!K11:K1083,"&lt;=4",'Tier 3 Intervention'!E11:E1083,"Native Hawaiian",'Tier 3 Intervention'!N11:N1083,"Other")</f>
        <v>0</v>
      </c>
      <c r="Y19" s="154">
        <f>COUNTIFS('Tier 3 Intervention'!K11:K1083,"&gt;=0",'Tier 3 Intervention'!K11:K1083,"&lt;=4",'Tier 3 Intervention'!E11:E1083,"White - Caucasian",'Tier 3 Intervention'!N11:N1083,"Male")</f>
        <v>0</v>
      </c>
      <c r="Z19" s="154">
        <f>COUNTIFS('Tier 3 Intervention'!K11:K1083,"&gt;=0",'Tier 3 Intervention'!K11:K1083,"&lt;=4",'Tier 3 Intervention'!E11:E1083,"White - Caucasian",'Tier 3 Intervention'!N11:N1083,"Female")</f>
        <v>0</v>
      </c>
      <c r="AA19" s="154">
        <f>COUNTIFS('Tier 3 Intervention'!K11:K1083,"&gt;=0",'Tier 3 Intervention'!K11:K1083,"&lt;=4",'Tier 3 Intervention'!E11:E1083,"White - Caucasian",'Tier 3 Intervention'!N11:N1083,"Other")</f>
        <v>0</v>
      </c>
      <c r="AB19" s="154">
        <f>COUNTIFS('Tier 3 Intervention'!K11:K1083,"&gt;=0",'Tier 3 Intervention'!K11:K1083,"&lt;=4",'Tier 3 Intervention'!E11:E1083,"Unknown",'Tier 3 Intervention'!N11:N1083,"Male")</f>
        <v>0</v>
      </c>
      <c r="AC19" s="154">
        <f>COUNTIFS('Tier 3 Intervention'!K11:K1083,"&gt;=0",'Tier 3 Intervention'!K11:K1083,"&lt;=4",'Tier 3 Intervention'!E11:E1083,"Unknown",'Tier 3 Intervention'!N11:N1083,"Female")</f>
        <v>0</v>
      </c>
      <c r="AD19" s="154">
        <f>COUNTIFS('Tier 3 Intervention'!K11:K1083,"&gt;=0",'Tier 3 Intervention'!K11:K1083,"&lt;=4",'Tier 3 Intervention'!E11:E1083,"Unknown",'Tier 3 Intervention'!N11:N1083,"Other")</f>
        <v>0</v>
      </c>
      <c r="AE19" s="149">
        <f>SUM(J19:AD19)</f>
        <v>0</v>
      </c>
      <c r="AF19" s="154">
        <f>COUNTIFS('Tier 3 Intervention'!K11:K1083,"&gt;=0",'Tier 3 Intervention'!K11:K1083,"&lt;=4",'Tier 3 Intervention'!G11:G1083,"Hispanic - Latino",'Tier 3 Intervention'!N11:N1083,"Male")</f>
        <v>0</v>
      </c>
      <c r="AG19" s="154">
        <f>COUNTIFS('Tier 3 Intervention'!K11:K1083,"&gt;=0",'Tier 3 Intervention'!K11:K1083,"&lt;=4",'Tier 3 Intervention'!G11:G1083,"Hispanic - Latino",'Tier 3 Intervention'!N11:N1083,"Female")</f>
        <v>0</v>
      </c>
      <c r="AH19" s="154">
        <f>COUNTIFS('Tier 3 Intervention'!K11:K1083,"&gt;=0",'Tier 3 Intervention'!K11:K1083,"&lt;=4",'Tier 3 Intervention'!G11:G1083,"Hispanic - Latino",'Tier 3 Intervention'!N11:N1083,"Other")</f>
        <v>0</v>
      </c>
      <c r="AI19" s="154">
        <f>COUNTIFS('Tier 3 Intervention'!K11:K1083,"&gt;=0",'Tier 3 Intervention'!K11:K1083,"&lt;=4",'Tier 3 Intervention'!G11:G1083,"Not Hispanic - Latino",'Tier 3 Intervention'!N11:N1083,"Male")</f>
        <v>0</v>
      </c>
      <c r="AJ19" s="154">
        <f>COUNTIFS('Tier 3 Intervention'!K11:K1083,"&gt;=0",'Tier 3 Intervention'!K11:K1083,"&lt;=4",'Tier 3 Intervention'!G11:G1083,"Not Hispanic - Latino",'Tier 3 Intervention'!N11:N1083,"Female")</f>
        <v>0</v>
      </c>
      <c r="AK19" s="154">
        <f>COUNTIFS('Tier 3 Intervention'!K11:K1083,"&gt;=0",'Tier 3 Intervention'!K11:K1083,"&lt;=4",'Tier 3 Intervention'!G11:G1083,"Not Hispanic - Latino",'Tier 3 Intervention'!N11:N1083,"Other")</f>
        <v>0</v>
      </c>
      <c r="AL19" s="154">
        <f>COUNTIFS('Tier 3 Intervention'!K11:K1083,"&gt;=0",'Tier 3 Intervention'!K11:K1083,"&lt;=4",'Tier 3 Intervention'!G11:G1083,"Origin Unknown",'Tier 3 Intervention'!N11:N1083,"Male")</f>
        <v>0</v>
      </c>
      <c r="AM19" s="154">
        <f>COUNTIFS('Tier 3 Intervention'!K11:K1083,"&gt;=0",'Tier 3 Intervention'!K11:K1083,"&lt;=4",'Tier 3 Intervention'!G11:G1083,"Origin Unknown",'Tier 3 Intervention'!N11:N1083,"Female")</f>
        <v>0</v>
      </c>
      <c r="AN19" s="155">
        <f>COUNTIFS('Tier 3 Intervention'!K11:K1083,"&gt;=0",'Tier 3 Intervention'!K11:K1083,"&lt;=4",'Tier 3 Intervention'!G11:G1083,"Origin Unknown",'Tier 3 Intervention'!N11:N1083,"Other")</f>
        <v>0</v>
      </c>
      <c r="AO19" s="149">
        <f t="shared" ref="AO19:AO34" si="0">SUM(AF19:AM19)</f>
        <v>0</v>
      </c>
    </row>
    <row r="20" spans="1:41" x14ac:dyDescent="0.25">
      <c r="A20" s="846" t="s">
        <v>1090</v>
      </c>
      <c r="B20" s="847"/>
      <c r="C20" s="847"/>
      <c r="D20" s="847"/>
      <c r="E20" s="847"/>
      <c r="F20" s="847"/>
      <c r="G20" s="847"/>
      <c r="H20" s="847"/>
      <c r="I20" s="848"/>
      <c r="J20" s="115">
        <f>COUNTIFS('Tier 3 Intervention'!K11:K1083,"&gt;=5",'Tier 3 Intervention'!K11:K1083,"&lt;=5",'Tier 3 Intervention'!E11:E1083,"American Indian",'Tier 3 Intervention'!N11:N1083,"Male")</f>
        <v>0</v>
      </c>
      <c r="K20" s="115">
        <f>COUNTIFS('Tier 3 Intervention'!K11:K1083,"&gt;=5",'Tier 3 Intervention'!K11:K1083,"&lt;=5",'Tier 3 Intervention'!E11:E1083,"American Indian",'Tier 3 Intervention'!N11:N1083,"Female")</f>
        <v>0</v>
      </c>
      <c r="L20" s="115">
        <f>COUNTIFS('Tier 3 Intervention'!K11:K1083,"&gt;=5",'Tier 3 Intervention'!K11:K1083,"&lt;=5",'Tier 3 Intervention'!E11:E1083,"American Indian",'Tier 3 Intervention'!N11:N1083,"Other")</f>
        <v>0</v>
      </c>
      <c r="M20" s="115">
        <f>COUNTIFS('Tier 3 Intervention'!K11:K1083,"&gt;=5",'Tier 3 Intervention'!K11:K1083,"&lt;=5",'Tier 3 Intervention'!E11:E1083,"Asian",'Tier 3 Intervention'!N11:N1083,"Male")</f>
        <v>0</v>
      </c>
      <c r="N20" s="115">
        <f>COUNTIFS('Tier 3 Intervention'!K11:K1083,"&gt;=5",'Tier 3 Intervention'!K11:K1083,"&lt;=5",'Tier 3 Intervention'!E11:E1083,"Asian",'Tier 3 Intervention'!N11:N1083,"Female")</f>
        <v>0</v>
      </c>
      <c r="O20" s="115">
        <f>COUNTIFS('Tier 3 Intervention'!K11:K1083,"&gt;=5",'Tier 3 Intervention'!K11:K1083,"&lt;=5",'Tier 3 Intervention'!E11:E1083,"Asian",'Tier 3 Intervention'!N11:N1083,"Other")</f>
        <v>0</v>
      </c>
      <c r="P20" s="115">
        <f>COUNTIFS('Tier 3 Intervention'!K11:K1083,"&gt;=5",'Tier 3 Intervention'!K11:K1083,"&lt;=5",'Tier 3 Intervention'!E11:E1083,"Black or African American",'Tier 3 Intervention'!N11:N1083,"Male")</f>
        <v>0</v>
      </c>
      <c r="Q20" s="115">
        <f>COUNTIFS('Tier 3 Intervention'!K11:K1083,"&gt;=5",'Tier 3 Intervention'!K11:K1083,"&lt;=5",'Tier 3 Intervention'!E11:E1083,"Black or African American",'Tier 3 Intervention'!N11:N1083,"Female")</f>
        <v>0</v>
      </c>
      <c r="R20" s="115">
        <f>COUNTIFS('Tier 3 Intervention'!K11:K1083,"&gt;=5",'Tier 3 Intervention'!K11:K1083,"&lt;=5",'Tier 3 Intervention'!E11:E1083,"Black or African American",'Tier 3 Intervention'!N11:N1083,"Other")</f>
        <v>0</v>
      </c>
      <c r="S20" s="115">
        <f>COUNTIFS('Tier 3 Intervention'!K11:K1083,"&gt;=5",'Tier 3 Intervention'!K11:K1083,"&lt;=5",'Tier 3 Intervention'!E11:E1083,"More than One Race",'Tier 3 Intervention'!N11:N1083,"Male")</f>
        <v>0</v>
      </c>
      <c r="T20" s="115">
        <f>COUNTIFS('Tier 3 Intervention'!K11:K1083,"&gt;=5",'Tier 3 Intervention'!K11:K1083,"&lt;=5",'Tier 3 Intervention'!E11:E1083,"More than One Race",'Tier 3 Intervention'!N11:N1083,"Female")</f>
        <v>0</v>
      </c>
      <c r="U20" s="115">
        <f>COUNTIFS('Tier 3 Intervention'!K11:K1083,"&gt;=5",'Tier 3 Intervention'!K11:K1083,"&lt;=5",'Tier 3 Intervention'!E11:E1083,"More than One Race",'Tier 3 Intervention'!N11:N1083,"Other")</f>
        <v>0</v>
      </c>
      <c r="V20" s="115">
        <f>COUNTIFS('Tier 3 Intervention'!K11:K1083,"&gt;=5",'Tier 3 Intervention'!K11:K1083,"&lt;=5",'Tier 3 Intervention'!E11:E1083,"Native Hawaiian",'Tier 3 Intervention'!N11:N1083,"Male")</f>
        <v>0</v>
      </c>
      <c r="W20" s="115">
        <f>COUNTIFS('Tier 3 Intervention'!K11:K1083,"&gt;=5",'Tier 3 Intervention'!K11:K1083,"&lt;=5",'Tier 3 Intervention'!E11:E1083,"Native Hawaiian",'Tier 3 Intervention'!N11:N1083,"Female")</f>
        <v>0</v>
      </c>
      <c r="X20" s="115">
        <f>COUNTIFS('Tier 3 Intervention'!K11:K1083,"&gt;=5",'Tier 3 Intervention'!K11:K1083,"&lt;=5",'Tier 3 Intervention'!E11:E1083,"Native Hawaiian",'Tier 3 Intervention'!N11:N1083,"Other")</f>
        <v>0</v>
      </c>
      <c r="Y20" s="115">
        <f>COUNTIFS('Tier 3 Intervention'!K11:K1083,"&gt;=5",'Tier 3 Intervention'!K11:K1083,"&lt;=5",'Tier 3 Intervention'!E11:E1083,"White - Caucasian",'Tier 3 Intervention'!N11:N1083,"Male")</f>
        <v>0</v>
      </c>
      <c r="Z20" s="115">
        <f>COUNTIFS('Tier 3 Intervention'!K11:K1083,"&gt;=5",'Tier 3 Intervention'!K11:K1083,"&lt;=5",'Tier 3 Intervention'!E11:E1083,"White - Caucasian",'Tier 3 Intervention'!N11:N1083,"Female")</f>
        <v>0</v>
      </c>
      <c r="AA20" s="115">
        <f>COUNTIFS('Tier 3 Intervention'!K11:K1083,"&gt;=5",'Tier 3 Intervention'!K11:K1083,"&lt;=5",'Tier 3 Intervention'!E11:E1083,"White - Caucasian",'Tier 3 Intervention'!N11:N1083,"Other")</f>
        <v>0</v>
      </c>
      <c r="AB20" s="115">
        <f>COUNTIFS('Tier 3 Intervention'!K11:K1083,"&gt;=5",'Tier 3 Intervention'!K11:K1083,"&lt;=5",'Tier 3 Intervention'!E11:E1083,"Unknown",'Tier 3 Intervention'!N11:N1083,"Male")</f>
        <v>0</v>
      </c>
      <c r="AC20" s="115">
        <f>COUNTIFS('Tier 3 Intervention'!K11:K1083,"&gt;=5",'Tier 3 Intervention'!K11:K1083,"&lt;=5",'Tier 3 Intervention'!E11:E1083,"Unknown",'Tier 3 Intervention'!N11:N1083,"Female")</f>
        <v>0</v>
      </c>
      <c r="AD20" s="115">
        <f>COUNTIFS('Tier 3 Intervention'!K11:K1083,"&gt;=5",'Tier 3 Intervention'!K11:K1083,"&lt;=5",'Tier 3 Intervention'!E11:E1083,"Unknown",'Tier 3 Intervention'!N11:N1083,"Other")</f>
        <v>0</v>
      </c>
      <c r="AE20" s="149">
        <f t="shared" ref="AE20:AE34" si="1">SUM(J20:AD20)</f>
        <v>0</v>
      </c>
      <c r="AF20" s="115">
        <f>COUNTIFS('Tier 3 Intervention'!K11:K1083,"&gt;=5",'Tier 3 Intervention'!K11:K1083,"&lt;=5",'Tier 3 Intervention'!G11:G1083,"Hispanic - Latino",'Tier 3 Intervention'!N11:N1083,"Male")</f>
        <v>0</v>
      </c>
      <c r="AG20" s="115">
        <f>COUNTIFS('Tier 3 Intervention'!K11:K1083,"&gt;=5",'Tier 3 Intervention'!K11:K1083,"&lt;=5",'Tier 3 Intervention'!G11:G1083,"Hispanic - Latino",'Tier 3 Intervention'!N11:N1083,"Female")</f>
        <v>0</v>
      </c>
      <c r="AH20" s="115">
        <f>COUNTIFS('Tier 3 Intervention'!K11:K1083,"&gt;=5",'Tier 3 Intervention'!K11:K1083,"&lt;=5",'Tier 3 Intervention'!G11:G1083,"Hispanic - Latino",'Tier 3 Intervention'!N11:N1083,"Other")</f>
        <v>0</v>
      </c>
      <c r="AI20" s="115">
        <f>COUNTIFS('Tier 3 Intervention'!K11:K1083,"&gt;=5",'Tier 3 Intervention'!K11:K1083,"&lt;=5",'Tier 3 Intervention'!G11:G1083,"Not Hispanic - Latino",'Tier 3 Intervention'!N11:N1083,"Male")</f>
        <v>0</v>
      </c>
      <c r="AJ20" s="115">
        <f>COUNTIFS('Tier 3 Intervention'!K11:K1083,"&gt;=5",'Tier 3 Intervention'!K11:K1083,"&lt;=5",'Tier 3 Intervention'!G11:G1083,"Not Hispanic - Latino",'Tier 3 Intervention'!N11:N1083,"Female")</f>
        <v>0</v>
      </c>
      <c r="AK20" s="115">
        <f>COUNTIFS('Tier 3 Intervention'!K11:K1083,"&gt;=5",'Tier 3 Intervention'!K11:K1083,"&lt;=5",'Tier 3 Intervention'!G11:G1083,"Not Hispanic - Latino",'Tier 3 Intervention'!N11:N1083,"Other")</f>
        <v>0</v>
      </c>
      <c r="AL20" s="115">
        <f>COUNTIFS('Tier 3 Intervention'!K11:K1083,"&gt;=5",'Tier 3 Intervention'!K11:K1083,"&lt;=5",'Tier 3 Intervention'!G11:G1083,"Origin Unknown",'Tier 3 Intervention'!N11:N1083,"Male")</f>
        <v>0</v>
      </c>
      <c r="AM20" s="115">
        <f>COUNTIFS('Tier 3 Intervention'!K11:K1083,"&gt;=5",'Tier 3 Intervention'!K11:K1083,"&lt;=5",'Tier 3 Intervention'!G11:G1083,"Origin Unknown",'Tier 3 Intervention'!N11:N1083,"Female")</f>
        <v>0</v>
      </c>
      <c r="AN20" s="118">
        <f>COUNTIFS('Tier 3 Intervention'!K11:K1083,"&gt;=5",'Tier 3 Intervention'!K11:K1083,"&lt;=5",'Tier 3 Intervention'!G11:G1083,"Origin Unknown",'Tier 3 Intervention'!N11:N1083,"Other")</f>
        <v>0</v>
      </c>
      <c r="AO20" s="149">
        <f t="shared" si="0"/>
        <v>0</v>
      </c>
    </row>
    <row r="21" spans="1:41" x14ac:dyDescent="0.25">
      <c r="A21" s="849" t="s">
        <v>1091</v>
      </c>
      <c r="B21" s="850"/>
      <c r="C21" s="850"/>
      <c r="D21" s="850"/>
      <c r="E21" s="850"/>
      <c r="F21" s="850"/>
      <c r="G21" s="850"/>
      <c r="H21" s="850"/>
      <c r="I21" s="851"/>
      <c r="J21" s="154">
        <f>COUNTIFS('Tier 3 Intervention'!K11:K1083,"&gt;=6",'Tier 3 Intervention'!K11:K1083,"&lt;=6",'Tier 3 Intervention'!E11:E1083,"American Indian",'Tier 3 Intervention'!N11:N1083,"Male")</f>
        <v>0</v>
      </c>
      <c r="K21" s="154">
        <f>COUNTIFS('Tier 3 Intervention'!K11:K1083,"&gt;=6",'Tier 3 Intervention'!K11:K1083,"&lt;=6",'Tier 3 Intervention'!E11:E1083,"American Indian",'Tier 3 Intervention'!N11:N1083,"Female")</f>
        <v>0</v>
      </c>
      <c r="L21" s="154">
        <f>COUNTIFS('Tier 3 Intervention'!K11:K1083,"&gt;=6",'Tier 3 Intervention'!K11:K1083,"&lt;=6",'Tier 3 Intervention'!E11:E1083,"American Indian",'Tier 3 Intervention'!N11:N1083,"Other")</f>
        <v>0</v>
      </c>
      <c r="M21" s="154">
        <f>COUNTIFS('Tier 3 Intervention'!K11:K1083,"&gt;=6",'Tier 3 Intervention'!K11:K1083,"&lt;=6",'Tier 3 Intervention'!E11:E1083,"Asian",'Tier 3 Intervention'!N11:N1083,"Male")</f>
        <v>0</v>
      </c>
      <c r="N21" s="154">
        <f>COUNTIFS('Tier 3 Intervention'!K11:K1083,"&gt;=6",'Tier 3 Intervention'!K11:K1083,"&lt;=6",'Tier 3 Intervention'!E11:E1083,"American Indian",'Tier 3 Intervention'!N11:N1083,"Female")</f>
        <v>0</v>
      </c>
      <c r="O21" s="154">
        <f>COUNTIFS('Tier 3 Intervention'!K11:K1083,"&gt;=6",'Tier 3 Intervention'!K11:K1083,"&lt;=6",'Tier 3 Intervention'!E11:E1083,"American Indian",'Tier 3 Intervention'!N11:N1083,"Other")</f>
        <v>0</v>
      </c>
      <c r="P21" s="154">
        <f>COUNTIFS('Tier 3 Intervention'!K11:K1083,"&gt;=6",'Tier 3 Intervention'!K11:K1083,"&lt;=6",'Tier 3 Intervention'!E11:E1083,"Black or African American",'Tier 3 Intervention'!N11:N1083,"Male")</f>
        <v>0</v>
      </c>
      <c r="Q21" s="154">
        <f>COUNTIFS('Tier 3 Intervention'!K11:K1083,"&gt;=6",'Tier 3 Intervention'!K11:K1083,"&lt;=6",'Tier 3 Intervention'!E11:E1083,"Black or African American",'Tier 3 Intervention'!N11:N1083,"Female")</f>
        <v>0</v>
      </c>
      <c r="R21" s="154">
        <f>COUNTIFS('Tier 3 Intervention'!K11:K1083,"&gt;=6",'Tier 3 Intervention'!K11:K1083,"&lt;=6",'Tier 3 Intervention'!E11:E1083,"Black or African American",'Tier 3 Intervention'!N11:N1083,"Other")</f>
        <v>0</v>
      </c>
      <c r="S21" s="154">
        <f>COUNTIFS('Tier 3 Intervention'!K11:K1083,"&gt;=6",'Tier 3 Intervention'!K11:K1083,"&lt;=6",'Tier 3 Intervention'!E11:E1083,"More than One Race",'Tier 3 Intervention'!N11:N1083,"Male")</f>
        <v>0</v>
      </c>
      <c r="T21" s="154">
        <f>COUNTIFS('Tier 3 Intervention'!K11:K1083,"&gt;=6",'Tier 3 Intervention'!K11:K1083,"&lt;=6",'Tier 3 Intervention'!E11:E1083,"More than One Race",'Tier 3 Intervention'!N11:N1083,"Female")</f>
        <v>0</v>
      </c>
      <c r="U21" s="154">
        <f>COUNTIFS('Tier 3 Intervention'!K11:K1083,"&gt;=6",'Tier 3 Intervention'!K11:K1083,"&lt;=6",'Tier 3 Intervention'!E11:E1083,"More than One Race",'Tier 3 Intervention'!N11:N1083,"Other")</f>
        <v>0</v>
      </c>
      <c r="V21" s="154">
        <f>COUNTIFS('Tier 3 Intervention'!K11:K1083,"&gt;=6",'Tier 3 Intervention'!K11:K1083,"&lt;=6",'Tier 3 Intervention'!E11:E1083,"Native Hawaiian",'Tier 3 Intervention'!N11:N1083,"Male")</f>
        <v>0</v>
      </c>
      <c r="W21" s="154">
        <f>COUNTIFS('Tier 3 Intervention'!K11:K1083,"&gt;=6",'Tier 3 Intervention'!K11:K1083,"&lt;=6",'Tier 3 Intervention'!E11:E1083,"Native Hawaiian",'Tier 3 Intervention'!N11:N1083,"Female")</f>
        <v>0</v>
      </c>
      <c r="X21" s="154">
        <f>COUNTIFS('Tier 3 Intervention'!K11:K1083,"&gt;=6",'Tier 3 Intervention'!K11:K1083,"&lt;=6",'Tier 3 Intervention'!E11:E1083,"Native Hawaiian",'Tier 3 Intervention'!N11:N1083,"Other")</f>
        <v>0</v>
      </c>
      <c r="Y21" s="154">
        <f>COUNTIFS('Tier 3 Intervention'!K11:K1083,"&gt;=6",'Tier 3 Intervention'!K11:K1083,"&lt;=6",'Tier 3 Intervention'!E11:E1083,"White - Caucasian",'Tier 3 Intervention'!N11:N1083,"Male")</f>
        <v>0</v>
      </c>
      <c r="Z21" s="154">
        <f>COUNTIFS('Tier 3 Intervention'!K11:K1083,"&gt;=6",'Tier 3 Intervention'!K11:K1083,"&lt;=6",'Tier 3 Intervention'!E11:E1083,"White - Caucasian",'Tier 3 Intervention'!N11:N1083,"Female")</f>
        <v>0</v>
      </c>
      <c r="AA21" s="154">
        <f>COUNTIFS('Tier 3 Intervention'!K11:K1083,"&gt;=6",'Tier 3 Intervention'!K11:K1083,"&lt;=6",'Tier 3 Intervention'!E11:E1083,"White - Caucasian",'Tier 3 Intervention'!N11:N1083,"Other")</f>
        <v>0</v>
      </c>
      <c r="AB21" s="154">
        <f>COUNTIFS('Tier 3 Intervention'!K11:K1083,"&gt;=6",'Tier 3 Intervention'!K11:K1083,"&lt;=6",'Tier 3 Intervention'!E11:E1083,"Unknown",'Tier 3 Intervention'!N11:N1083,"Male")</f>
        <v>0</v>
      </c>
      <c r="AC21" s="154">
        <f>COUNTIFS('Tier 3 Intervention'!K11:K1083,"&gt;=6",'Tier 3 Intervention'!K11:K1083,"&lt;=6",'Tier 3 Intervention'!E11:E1083,"Unknown",'Tier 3 Intervention'!N11:N1083,"Female")</f>
        <v>0</v>
      </c>
      <c r="AD21" s="154">
        <f>COUNTIFS('Tier 3 Intervention'!K11:K1083,"&gt;=6",'Tier 3 Intervention'!K11:K1083,"&lt;=6",'Tier 3 Intervention'!E11:E1083,"Unknown",'Tier 3 Intervention'!N11:N1083,"Other")</f>
        <v>0</v>
      </c>
      <c r="AE21" s="149">
        <f t="shared" si="1"/>
        <v>0</v>
      </c>
      <c r="AF21" s="154">
        <f>COUNTIFS('Tier 3 Intervention'!K11:K1083,"&gt;=6",'Tier 3 Intervention'!K11:K1083,"&lt;=6",'Tier 3 Intervention'!G11:G1083,"Hispanic - Latino",'Tier 3 Intervention'!N11:N1083,"Male")</f>
        <v>0</v>
      </c>
      <c r="AG21" s="154">
        <f>COUNTIFS('Tier 3 Intervention'!K11:K1083,"&gt;=6",'Tier 3 Intervention'!K11:K1083,"&lt;=6",'Tier 3 Intervention'!G11:G1083,"Hispanic - Latino",'Tier 3 Intervention'!N11:N1083,"Female")</f>
        <v>0</v>
      </c>
      <c r="AH21" s="154">
        <f>COUNTIFS('Tier 3 Intervention'!K11:K1083,"&gt;=6",'Tier 3 Intervention'!K11:K1083,"&lt;=6",'Tier 3 Intervention'!G11:G1083,"Hispanic - Latino",'Tier 3 Intervention'!N11:N1083,"Other")</f>
        <v>0</v>
      </c>
      <c r="AI21" s="154">
        <f>COUNTIFS('Tier 3 Intervention'!K11:K1083,"&gt;=6",'Tier 3 Intervention'!K11:K1083,"&lt;=6",'Tier 3 Intervention'!G11:G1083,"Not Hispanic - Latino",'Tier 3 Intervention'!N11:N1083,"Male")</f>
        <v>0</v>
      </c>
      <c r="AJ21" s="154">
        <f>COUNTIFS('Tier 3 Intervention'!K11:K1083,"&gt;=6",'Tier 3 Intervention'!K11:K1083,"&lt;=6",'Tier 3 Intervention'!G11:G1083,"Not Hispanic - Latino",'Tier 3 Intervention'!N11:N1083,"Female")</f>
        <v>0</v>
      </c>
      <c r="AK21" s="154">
        <f>COUNTIFS('Tier 3 Intervention'!K11:K1083,"&gt;=6",'Tier 3 Intervention'!K11:K1083,"&lt;=6",'Tier 3 Intervention'!G11:G1083,"Not Hispanic - Latino",'Tier 3 Intervention'!N11:N1083,"Other")</f>
        <v>0</v>
      </c>
      <c r="AL21" s="154">
        <f>COUNTIFS('Tier 3 Intervention'!K11:K1083,"&gt;=6",'Tier 3 Intervention'!K11:K1083,"&lt;=6",'Tier 3 Intervention'!G11:G1083,"Origin Unknown",'Tier 3 Intervention'!N11:N1083,"Male")</f>
        <v>0</v>
      </c>
      <c r="AM21" s="154">
        <f>COUNTIFS('Tier 3 Intervention'!K11:K1083,"&gt;=6",'Tier 3 Intervention'!K11:K1083,"&lt;=6",'Tier 3 Intervention'!G11:G1083,"Origin Unknown",'Tier 3 Intervention'!N11:N1083,"Female")</f>
        <v>0</v>
      </c>
      <c r="AN21" s="155">
        <f>COUNTIFS('Tier 3 Intervention'!K11:K1083,"&gt;=6",'Tier 3 Intervention'!K11:K1083,"&lt;=6",'Tier 3 Intervention'!G11:G1083,"Origin Unknown",'Tier 3 Intervention'!N11:N1083,"Other")</f>
        <v>0</v>
      </c>
      <c r="AO21" s="149">
        <f t="shared" si="0"/>
        <v>0</v>
      </c>
    </row>
    <row r="22" spans="1:41" x14ac:dyDescent="0.25">
      <c r="A22" s="846" t="s">
        <v>1092</v>
      </c>
      <c r="B22" s="847"/>
      <c r="C22" s="847"/>
      <c r="D22" s="847"/>
      <c r="E22" s="847"/>
      <c r="F22" s="847"/>
      <c r="G22" s="847"/>
      <c r="H22" s="847"/>
      <c r="I22" s="848"/>
      <c r="J22" s="115">
        <f>COUNTIFS('Tier 3 Intervention'!K11:K1083,"&gt;=7",'Tier 3 Intervention'!K11:K1083,"&lt;=7",'Tier 3 Intervention'!E11:E1083,"American Indian",'Tier 3 Intervention'!N11:N1083,"Male")</f>
        <v>0</v>
      </c>
      <c r="K22" s="115">
        <f>COUNTIFS('Tier 3 Intervention'!K11:K1083,"&gt;=7",'Tier 3 Intervention'!K11:K1083,"&lt;=7",'Tier 3 Intervention'!E11:E1083,"American Indian",'Tier 3 Intervention'!N11:N1083,"Female")</f>
        <v>0</v>
      </c>
      <c r="L22" s="115">
        <f>COUNTIFS('Tier 3 Intervention'!K11:K1083,"&gt;=7",'Tier 3 Intervention'!K11:K1083,"&lt;=7",'Tier 3 Intervention'!E11:E1083,"American Indian",'Tier 3 Intervention'!N11:N1083,"Other")</f>
        <v>0</v>
      </c>
      <c r="M22" s="115">
        <f>COUNTIFS('Tier 3 Intervention'!K11:K1083,"&gt;=7",'Tier 3 Intervention'!K11:K1083,"&lt;=7",'Tier 3 Intervention'!E11:E1083,"Asian",'Tier 3 Intervention'!N11:N1083,"Male")</f>
        <v>0</v>
      </c>
      <c r="N22" s="115">
        <f>COUNTIFS('Tier 3 Intervention'!K11:K1083,"&gt;=7",'Tier 3 Intervention'!K11:K1083,"&lt;=7",'Tier 3 Intervention'!E11:E1083,"Asian",'Tier 3 Intervention'!N11:N1083,"Female")</f>
        <v>0</v>
      </c>
      <c r="O22" s="115">
        <f>COUNTIFS('Tier 3 Intervention'!K11:K1083,"&gt;=7",'Tier 3 Intervention'!K11:K1083,"&lt;=7",'Tier 3 Intervention'!E11:E1083,"Asian",'Tier 3 Intervention'!N11:N1083,"Other")</f>
        <v>0</v>
      </c>
      <c r="P22" s="115">
        <f>COUNTIFS('Tier 3 Intervention'!K11:K1083,"&gt;=7",'Tier 3 Intervention'!K11:K1083,"&lt;=7",'Tier 3 Intervention'!E11:E1083,"Black or African American",'Tier 3 Intervention'!N11:N1083,"Male")</f>
        <v>0</v>
      </c>
      <c r="Q22" s="115">
        <f>COUNTIFS('Tier 3 Intervention'!K11:K1083,"&gt;=7",'Tier 3 Intervention'!K11:K1083,"&lt;=7",'Tier 3 Intervention'!E11:E1083,"Black or African American",'Tier 3 Intervention'!N11:N1083,"Female")</f>
        <v>0</v>
      </c>
      <c r="R22" s="115">
        <f>COUNTIFS('Tier 3 Intervention'!K11:K1083,"&gt;=7",'Tier 3 Intervention'!K11:K1083,"&lt;=7",'Tier 3 Intervention'!E11:E1083,"Black or African American",'Tier 3 Intervention'!N11:N1083,"Other")</f>
        <v>0</v>
      </c>
      <c r="S22" s="115">
        <f>COUNTIFS('Tier 3 Intervention'!K11:K1083,"&gt;=7",'Tier 3 Intervention'!K11:K1083,"&lt;=7",'Tier 3 Intervention'!E11:E1083,"More than One Race",'Tier 3 Intervention'!N11:N1083,"Male")</f>
        <v>0</v>
      </c>
      <c r="T22" s="115">
        <f>COUNTIFS('Tier 3 Intervention'!K11:K1083,"&gt;=7",'Tier 3 Intervention'!K11:K1083,"&lt;=7",'Tier 3 Intervention'!E11:E1083,"More than One Race",'Tier 3 Intervention'!N11:N1083,"Female")</f>
        <v>0</v>
      </c>
      <c r="U22" s="115">
        <f>COUNTIFS('Tier 3 Intervention'!K11:K1083,"&gt;=7",'Tier 3 Intervention'!K11:K1083,"&lt;=7",'Tier 3 Intervention'!E11:E1083,"More than One Race",'Tier 3 Intervention'!N11:N1083,"Other")</f>
        <v>0</v>
      </c>
      <c r="V22" s="115">
        <f>COUNTIFS('Tier 3 Intervention'!K11:K1083,"&gt;=7",'Tier 3 Intervention'!K11:K1083,"&lt;=7",'Tier 3 Intervention'!E11:E1083,"Native Hawaiian",'Tier 3 Intervention'!N11:N1083,"Male")</f>
        <v>0</v>
      </c>
      <c r="W22" s="115">
        <f>COUNTIFS('Tier 3 Intervention'!K11:K1083,"&gt;=7",'Tier 3 Intervention'!K11:K1083,"&lt;=7",'Tier 3 Intervention'!E11:E1083,"Native Hawaiian",'Tier 3 Intervention'!N11:N1083,"Female")</f>
        <v>0</v>
      </c>
      <c r="X22" s="115">
        <f>COUNTIFS('Tier 3 Intervention'!K11:K1083,"&gt;=7",'Tier 3 Intervention'!K11:K1083,"&lt;=7",'Tier 3 Intervention'!E11:E1083,"Native Hawaiian",'Tier 3 Intervention'!N11:N1083,"Other")</f>
        <v>0</v>
      </c>
      <c r="Y22" s="115">
        <f>COUNTIFS('Tier 3 Intervention'!K11:K1083,"&gt;=7",'Tier 3 Intervention'!K11:K1083,"&lt;=7",'Tier 3 Intervention'!E11:E1083,"White - Caucasian",'Tier 3 Intervention'!N11:N1083,"Male")</f>
        <v>0</v>
      </c>
      <c r="Z22" s="115">
        <f>COUNTIFS('Tier 3 Intervention'!K11:K1083,"&gt;=7",'Tier 3 Intervention'!K11:K1083,"&lt;=7",'Tier 3 Intervention'!E11:E1083,"White - Caucasian",'Tier 3 Intervention'!N11:N1083,"Female")</f>
        <v>0</v>
      </c>
      <c r="AA22" s="115">
        <f>COUNTIFS('Tier 3 Intervention'!K11:K1083,"&gt;=7",'Tier 3 Intervention'!K11:K1083,"&lt;=7",'Tier 3 Intervention'!E11:E1083,"White - Caucasian",'Tier 3 Intervention'!N11:N1083,"Other")</f>
        <v>0</v>
      </c>
      <c r="AB22" s="115">
        <f>COUNTIFS('Tier 3 Intervention'!K11:K1083,"&gt;=7",'Tier 3 Intervention'!K11:K1083,"&lt;=7",'Tier 3 Intervention'!E11:E1083,"Unknown",'Tier 3 Intervention'!N11:N1083,"Male")</f>
        <v>0</v>
      </c>
      <c r="AC22" s="115">
        <f>COUNTIFS('Tier 3 Intervention'!K11:K1083,"&gt;=7",'Tier 3 Intervention'!K11:K1083,"&lt;=7",'Tier 3 Intervention'!E11:E1083,"Unknown",'Tier 3 Intervention'!N11:N1083,"Female")</f>
        <v>0</v>
      </c>
      <c r="AD22" s="115">
        <f>COUNTIFS('Tier 3 Intervention'!K11:K1083,"&gt;=7",'Tier 3 Intervention'!K11:K1083,"&lt;=7",'Tier 3 Intervention'!E11:E1083,"Unknown",'Tier 3 Intervention'!N11:N1083,"Other")</f>
        <v>0</v>
      </c>
      <c r="AE22" s="149">
        <f t="shared" si="1"/>
        <v>0</v>
      </c>
      <c r="AF22" s="115">
        <f>COUNTIFS('Tier 3 Intervention'!K11:K1083,"&gt;=7",'Tier 3 Intervention'!K11:K1083,"&lt;=7",'Tier 3 Intervention'!G11:G1083,"Hispanic - Latino",'Tier 3 Intervention'!N11:N1083,"Male")</f>
        <v>0</v>
      </c>
      <c r="AG22" s="115">
        <f>COUNTIFS('Tier 3 Intervention'!K11:K1083,"&gt;=7",'Tier 3 Intervention'!K11:K1083,"&lt;=7",'Tier 3 Intervention'!G11:G1083,"Hispanic - Latino",'Tier 3 Intervention'!N11:N1083,"Female")</f>
        <v>0</v>
      </c>
      <c r="AH22" s="115">
        <f>COUNTIFS('Tier 3 Intervention'!K11:K1083,"&gt;=7",'Tier 3 Intervention'!K11:K1083,"&lt;=7",'Tier 3 Intervention'!G11:G1083,"Hispanic - Latino",'Tier 3 Intervention'!N11:N1083,"Other")</f>
        <v>0</v>
      </c>
      <c r="AI22" s="115">
        <f>COUNTIFS('Tier 3 Intervention'!K11:K1083,"&gt;=7",'Tier 3 Intervention'!K11:K1083,"&lt;=7",'Tier 3 Intervention'!G11:G1083,"Not Hispanic - Latino",'Tier 3 Intervention'!N11:N1083,"Male")</f>
        <v>0</v>
      </c>
      <c r="AJ22" s="115">
        <f>COUNTIFS('Tier 3 Intervention'!K11:K1083,"&gt;=7",'Tier 3 Intervention'!K11:K1083,"&lt;=7",'Tier 3 Intervention'!G11:G1083,"Not Hispanic - Latino",'Tier 3 Intervention'!N11:N1083,"Female")</f>
        <v>0</v>
      </c>
      <c r="AK22" s="115">
        <f>COUNTIFS('Tier 3 Intervention'!K11:K1083,"&gt;=7",'Tier 3 Intervention'!K11:K1083,"&lt;=7",'Tier 3 Intervention'!G11:G1083,"Not Hispanic - Latino",'Tier 3 Intervention'!N11:N1083,"Other")</f>
        <v>0</v>
      </c>
      <c r="AL22" s="115">
        <f>COUNTIFS('Tier 3 Intervention'!K11:K1083,"&gt;=7",'Tier 3 Intervention'!K11:K1083,"&lt;=7",'Tier 3 Intervention'!G11:G1083,"Origin Unknown",'Tier 3 Intervention'!N11:N1083,"Male")</f>
        <v>0</v>
      </c>
      <c r="AM22" s="115">
        <f>COUNTIFS('Tier 3 Intervention'!K11:K1083,"&gt;=7",'Tier 3 Intervention'!K11:K1083,"&lt;=7",'Tier 3 Intervention'!G11:G1083,"Origin Unknown",'Tier 3 Intervention'!N11:N1083,"Female")</f>
        <v>0</v>
      </c>
      <c r="AN22" s="118">
        <f>COUNTIFS('Tier 3 Intervention'!K11:K1083,"&gt;=7",'Tier 3 Intervention'!K11:K1083,"&lt;=7",'Tier 3 Intervention'!G11:G1083,"Origin Unknown",'Tier 3 Intervention'!N11:N1083,"Other")</f>
        <v>0</v>
      </c>
      <c r="AO22" s="149">
        <f t="shared" si="0"/>
        <v>0</v>
      </c>
    </row>
    <row r="23" spans="1:41" x14ac:dyDescent="0.25">
      <c r="A23" s="849" t="s">
        <v>1093</v>
      </c>
      <c r="B23" s="850"/>
      <c r="C23" s="850"/>
      <c r="D23" s="850"/>
      <c r="E23" s="850"/>
      <c r="F23" s="850"/>
      <c r="G23" s="850"/>
      <c r="H23" s="850"/>
      <c r="I23" s="851"/>
      <c r="J23" s="154">
        <f>COUNTIFS('Tier 3 Intervention'!K11:K1083,"&gt;=8",'Tier 3 Intervention'!K11:K1083,"&lt;=8",'Tier 3 Intervention'!E11:E1083,"American Indian",'Tier 3 Intervention'!N11:N1083,"Male")</f>
        <v>0</v>
      </c>
      <c r="K23" s="154">
        <f>COUNTIFS('Tier 3 Intervention'!K11:K1083,"&gt;=8",'Tier 3 Intervention'!K11:K1083,"&lt;=8",'Tier 3 Intervention'!E11:E1083,"American Indian",'Tier 3 Intervention'!N11:N1083,"Female")</f>
        <v>0</v>
      </c>
      <c r="L23" s="154">
        <f>COUNTIFS('Tier 3 Intervention'!K11:K1083,"&gt;=8",'Tier 3 Intervention'!K11:K1083,"&lt;=8",'Tier 3 Intervention'!E11:E1083,"American Indian",'Tier 3 Intervention'!N11:N1083,"Other")</f>
        <v>0</v>
      </c>
      <c r="M23" s="154">
        <f>COUNTIFS('Tier 3 Intervention'!K11:K1083,"&gt;=8",'Tier 3 Intervention'!K11:K1083,"&lt;=8",'Tier 3 Intervention'!E11:E1083,"Asian",'Tier 3 Intervention'!N11:N1083,"Male")</f>
        <v>0</v>
      </c>
      <c r="N23" s="154">
        <f>COUNTIFS('Tier 3 Intervention'!K11:K1083,"&gt;=8",'Tier 3 Intervention'!K11:K1083,"&lt;=8",'Tier 3 Intervention'!E11:E1083,"Asian",'Tier 3 Intervention'!N11:N1083,"Female")</f>
        <v>0</v>
      </c>
      <c r="O23" s="154">
        <f>COUNTIFS('Tier 3 Intervention'!K11:K1083,"&gt;=8",'Tier 3 Intervention'!K11:K1083,"&lt;=8",'Tier 3 Intervention'!E11:E1083,"Asian",'Tier 3 Intervention'!N11:N1083,"Other")</f>
        <v>0</v>
      </c>
      <c r="P23" s="154">
        <f>COUNTIFS('Tier 3 Intervention'!K11:K1083,"&gt;=8",'Tier 3 Intervention'!K11:K1083,"&lt;=8",'Tier 3 Intervention'!E11:E1083,"Black or African American",'Tier 3 Intervention'!N11:N1083,"Male")</f>
        <v>0</v>
      </c>
      <c r="Q23" s="154">
        <f>COUNTIFS('Tier 3 Intervention'!K11:K1083,"&gt;=8",'Tier 3 Intervention'!K11:K1083,"&lt;=8",'Tier 3 Intervention'!E11:E1083,"Black or African American",'Tier 3 Intervention'!N11:N1083,"Female")</f>
        <v>0</v>
      </c>
      <c r="R23" s="154">
        <f>COUNTIFS('Tier 3 Intervention'!K11:K1083,"&gt;=8",'Tier 3 Intervention'!K11:K1083,"&lt;=8",'Tier 3 Intervention'!E11:E1083,"Black or African American",'Tier 3 Intervention'!N11:N1083,"Other")</f>
        <v>0</v>
      </c>
      <c r="S23" s="154">
        <f>COUNTIFS('Tier 3 Intervention'!K11:K1083,"&gt;=8",'Tier 3 Intervention'!K11:K1083,"&lt;=8",'Tier 3 Intervention'!E11:E1083,"More than One Race",'Tier 3 Intervention'!N11:N1083,"Male")</f>
        <v>0</v>
      </c>
      <c r="T23" s="154">
        <f>COUNTIFS('Tier 3 Intervention'!K11:K1083,"&gt;=8",'Tier 3 Intervention'!K11:K1083,"&lt;=8",'Tier 3 Intervention'!E11:E1083,"More than One Race",'Tier 3 Intervention'!N11:N1083,"Female")</f>
        <v>0</v>
      </c>
      <c r="U23" s="154">
        <f>COUNTIFS('Tier 3 Intervention'!K11:K1083,"&gt;=8",'Tier 3 Intervention'!K11:K1083,"&lt;=8",'Tier 3 Intervention'!E11:E1083,"More than One Race",'Tier 3 Intervention'!N11:N1083,"Other")</f>
        <v>0</v>
      </c>
      <c r="V23" s="154">
        <f>COUNTIFS('Tier 3 Intervention'!K11:K1083,"&gt;=8",'Tier 3 Intervention'!K11:K1083,"&lt;=8",'Tier 3 Intervention'!E11:E1083,"Native Hawaiian",'Tier 3 Intervention'!N11:N1083,"Male")</f>
        <v>0</v>
      </c>
      <c r="W23" s="154">
        <f>COUNTIFS('Tier 3 Intervention'!K11:K1083,"&gt;=8",'Tier 3 Intervention'!K11:K1083,"&lt;=8",'Tier 3 Intervention'!E11:E1083,"Native Hawaiian",'Tier 3 Intervention'!N11:N1083,"Female")</f>
        <v>0</v>
      </c>
      <c r="X23" s="154">
        <f>COUNTIFS('Tier 3 Intervention'!K11:K1083,"&gt;=8",'Tier 3 Intervention'!K11:K1083,"&lt;=8",'Tier 3 Intervention'!E11:E1083,"Native Hawaiian",'Tier 3 Intervention'!N11:N1083,"Other")</f>
        <v>0</v>
      </c>
      <c r="Y23" s="154">
        <f>COUNTIFS('Tier 3 Intervention'!K11:K1083,"&gt;=8",'Tier 3 Intervention'!K11:K1083,"&lt;=8",'Tier 3 Intervention'!E11:E1083,"White - Caucasian",'Tier 3 Intervention'!N11:N1083,"Male")</f>
        <v>0</v>
      </c>
      <c r="Z23" s="154">
        <f>COUNTIFS('Tier 3 Intervention'!K11:K1083,"&gt;=8",'Tier 3 Intervention'!K11:K1083,"&lt;=8",'Tier 3 Intervention'!E11:E1083,"White - Caucasian",'Tier 3 Intervention'!N11:N1083,"Female")</f>
        <v>0</v>
      </c>
      <c r="AA23" s="154">
        <f>COUNTIFS('Tier 3 Intervention'!K11:K1083,"&gt;=8",'Tier 3 Intervention'!K11:K1083,"&lt;=8",'Tier 3 Intervention'!E11:E1083,"White - Caucasian",'Tier 3 Intervention'!N11:N1083,"Other")</f>
        <v>0</v>
      </c>
      <c r="AB23" s="154">
        <f>COUNTIFS('Tier 3 Intervention'!K11:K1083,"&gt;=8",'Tier 3 Intervention'!K11:K1083,"&lt;=8",'Tier 3 Intervention'!E11:E1083,"Unknown",'Tier 3 Intervention'!N11:N1083,"Male")</f>
        <v>0</v>
      </c>
      <c r="AC23" s="154">
        <f>COUNTIFS('Tier 3 Intervention'!K11:K1083,"&gt;=8",'Tier 3 Intervention'!K11:K1083,"&lt;=8",'Tier 3 Intervention'!E11:E1083,"Unknown",'Tier 3 Intervention'!N11:N1083,"Female")</f>
        <v>0</v>
      </c>
      <c r="AD23" s="154">
        <f>COUNTIFS('Tier 3 Intervention'!K11:K1083,"&gt;=8",'Tier 3 Intervention'!K11:K1083,"&lt;=8",'Tier 3 Intervention'!E11:E1083,"Unknown",'Tier 3 Intervention'!N11:N1083,"Other")</f>
        <v>0</v>
      </c>
      <c r="AE23" s="149">
        <f t="shared" si="1"/>
        <v>0</v>
      </c>
      <c r="AF23" s="154">
        <f>COUNTIFS('Tier 3 Intervention'!K11:K1083,"&gt;=8",'Tier 3 Intervention'!K11:K1083,"&lt;=8",'Tier 3 Intervention'!G11:G1083,"Hispanic - Latino",'Tier 3 Intervention'!N11:N1083,"Male")</f>
        <v>0</v>
      </c>
      <c r="AG23" s="154">
        <f>COUNTIFS('Tier 3 Intervention'!K11:K1083,"&gt;=8",'Tier 3 Intervention'!K11:K1083,"&lt;=8",'Tier 3 Intervention'!G11:G1083,"Hispanic - Latino",'Tier 3 Intervention'!N11:N1083,"Female")</f>
        <v>0</v>
      </c>
      <c r="AH23" s="154">
        <f>COUNTIFS('Tier 3 Intervention'!K11:K1083,"&gt;=8",'Tier 3 Intervention'!K11:K1083,"&lt;=8",'Tier 3 Intervention'!G11:G1083,"Hispanic - Latino",'Tier 3 Intervention'!N11:N1083,"Other")</f>
        <v>0</v>
      </c>
      <c r="AI23" s="154">
        <f>COUNTIFS('Tier 3 Intervention'!K11:K1083,"&gt;=8",'Tier 3 Intervention'!K11:K1083,"&lt;=8",'Tier 3 Intervention'!G11:G1083,"Not Hispanic - Latino",'Tier 3 Intervention'!N11:N1083,"Male")</f>
        <v>0</v>
      </c>
      <c r="AJ23" s="154">
        <f>COUNTIFS('Tier 3 Intervention'!K11:K1083,"&gt;=8",'Tier 3 Intervention'!K11:K1083,"&lt;=8",'Tier 3 Intervention'!G11:G1083,"Not Hispanic - Latino",'Tier 3 Intervention'!N11:N1083,"Female")</f>
        <v>0</v>
      </c>
      <c r="AK23" s="154">
        <f>COUNTIFS('Tier 3 Intervention'!K11:K1083,"&gt;=8",'Tier 3 Intervention'!K11:K1083,"&lt;=8",'Tier 3 Intervention'!G11:G1083,"Not Hispanic - Latino",'Tier 3 Intervention'!N11:N1083,"Other")</f>
        <v>0</v>
      </c>
      <c r="AL23" s="154">
        <f>COUNTIFS('Tier 3 Intervention'!K11:K1083,"&gt;=8",'Tier 3 Intervention'!K11:K1083,"&lt;=8",'Tier 3 Intervention'!G11:G1083,"Origin Unknown",'Tier 3 Intervention'!N11:N1083,"Male")</f>
        <v>0</v>
      </c>
      <c r="AM23" s="154">
        <f>COUNTIFS('Tier 3 Intervention'!K11:K1083,"&gt;=8",'Tier 3 Intervention'!K11:K1083,"&lt;=8",'Tier 3 Intervention'!G11:G1083,"Origin Unknown",'Tier 3 Intervention'!N11:N1083,"Female")</f>
        <v>0</v>
      </c>
      <c r="AN23" s="155">
        <f>COUNTIFS('Tier 3 Intervention'!K11:K1083,"&gt;=8",'Tier 3 Intervention'!K11:K1083,"&lt;=8",'Tier 3 Intervention'!G11:G1083,"Origin Unknown",'Tier 3 Intervention'!N11:N1083,"Other")</f>
        <v>0</v>
      </c>
      <c r="AO23" s="149">
        <f t="shared" si="0"/>
        <v>0</v>
      </c>
    </row>
    <row r="24" spans="1:41" x14ac:dyDescent="0.25">
      <c r="A24" s="846" t="s">
        <v>1094</v>
      </c>
      <c r="B24" s="847"/>
      <c r="C24" s="847"/>
      <c r="D24" s="847"/>
      <c r="E24" s="847"/>
      <c r="F24" s="847"/>
      <c r="G24" s="847"/>
      <c r="H24" s="847"/>
      <c r="I24" s="848"/>
      <c r="J24" s="115">
        <f>COUNTIFS('Tier 3 Intervention'!K11:K1083,"&gt;=9",'Tier 3 Intervention'!K11:K1083,"&lt;=9",'Tier 3 Intervention'!E11:E1083,"American Indian",'Tier 3 Intervention'!N11:N1083,"Male")</f>
        <v>0</v>
      </c>
      <c r="K24" s="115">
        <f>COUNTIFS('Tier 3 Intervention'!K11:K1083,"&gt;=9",'Tier 3 Intervention'!K11:K1083,"&lt;=9",'Tier 3 Intervention'!E11:E1083,"American Indian",'Tier 3 Intervention'!N11:N1083,"Female")</f>
        <v>0</v>
      </c>
      <c r="L24" s="115">
        <f>COUNTIFS('Tier 3 Intervention'!K11:K1083,"&gt;=9",'Tier 3 Intervention'!K11:K1083,"&lt;=9",'Tier 3 Intervention'!E11:E1083,"American Indian",'Tier 3 Intervention'!N11:N1083,"Other")</f>
        <v>0</v>
      </c>
      <c r="M24" s="115">
        <f>COUNTIFS('Tier 3 Intervention'!K11:K1083,"&gt;=9",'Tier 3 Intervention'!K11:K1083,"&lt;=9",'Tier 3 Intervention'!E11:E1083,"Asian",'Tier 3 Intervention'!N11:N1083,"Male")</f>
        <v>0</v>
      </c>
      <c r="N24" s="115">
        <f>COUNTIFS('Tier 3 Intervention'!K11:K1083,"&gt;=9",'Tier 3 Intervention'!K11:K1083,"&lt;=9",'Tier 3 Intervention'!E11:E1083,"Asian",'Tier 3 Intervention'!N11:N1083,"Female")</f>
        <v>0</v>
      </c>
      <c r="O24" s="115">
        <f>COUNTIFS('Tier 3 Intervention'!K11:K1083,"&gt;=9",'Tier 3 Intervention'!K11:K1083,"&lt;=9",'Tier 3 Intervention'!E11:E1083,"Asian",'Tier 3 Intervention'!N11:N1083,"Other")</f>
        <v>0</v>
      </c>
      <c r="P24" s="115">
        <f>COUNTIFS('Tier 3 Intervention'!K11:K1083,"&gt;=9",'Tier 3 Intervention'!K11:K1083,"&lt;=9",'Tier 3 Intervention'!E11:E1083,"Black or African American",'Tier 3 Intervention'!N11:N1083,"Male")</f>
        <v>0</v>
      </c>
      <c r="Q24" s="115">
        <f>COUNTIFS('Tier 3 Intervention'!K11:K1083,"&gt;=9",'Tier 3 Intervention'!K11:K1083,"&lt;=9",'Tier 3 Intervention'!E11:E1083,"Black or African American",'Tier 3 Intervention'!N11:N1083,"Female")</f>
        <v>0</v>
      </c>
      <c r="R24" s="115">
        <f>COUNTIFS('Tier 3 Intervention'!K11:K1083,"&gt;=9",'Tier 3 Intervention'!K11:K1083,"&lt;=9",'Tier 3 Intervention'!E11:E1083,"Black or African American",'Tier 3 Intervention'!N11:N1083,"Other")</f>
        <v>0</v>
      </c>
      <c r="S24" s="115">
        <f>COUNTIFS('Tier 3 Intervention'!K11:K1083,"&gt;=9",'Tier 3 Intervention'!K11:K1083,"&lt;=9",'Tier 3 Intervention'!E11:E1083,"More than One Race",'Tier 3 Intervention'!N11:N1083,"Male")</f>
        <v>0</v>
      </c>
      <c r="T24" s="115">
        <f>COUNTIFS('Tier 3 Intervention'!K11:K1083,"&gt;=9",'Tier 3 Intervention'!K11:K1083,"&lt;=9",'Tier 3 Intervention'!E11:E1083,"More than One Race",'Tier 3 Intervention'!N11:N1083,"Female")</f>
        <v>0</v>
      </c>
      <c r="U24" s="115">
        <f>COUNTIFS('Tier 3 Intervention'!K11:K1083,"&gt;=9",'Tier 3 Intervention'!K11:K1083,"&lt;=9",'Tier 3 Intervention'!E11:E1083,"More than One Race",'Tier 3 Intervention'!N11:N1083,"Other")</f>
        <v>0</v>
      </c>
      <c r="V24" s="115">
        <f>COUNTIFS('Tier 3 Intervention'!K11:K1083,"&gt;=9",'Tier 3 Intervention'!K11:K1083,"&lt;=9",'Tier 3 Intervention'!E11:E1083,"Native Hawaiian",'Tier 3 Intervention'!N11:N1083,"Male")</f>
        <v>0</v>
      </c>
      <c r="W24" s="115">
        <f>COUNTIFS('Tier 3 Intervention'!K11:K1083,"&gt;=9",'Tier 3 Intervention'!K11:K1083,"&lt;=9",'Tier 3 Intervention'!E11:E1083,"Native Hawaiian",'Tier 3 Intervention'!N11:N1083,"Female")</f>
        <v>0</v>
      </c>
      <c r="X24" s="115">
        <f>COUNTIFS('Tier 3 Intervention'!K11:K1083,"&gt;=9",'Tier 3 Intervention'!K11:K1083,"&lt;=9",'Tier 3 Intervention'!E11:E1083,"Native Hawaiian",'Tier 3 Intervention'!N11:N1083,"Other")</f>
        <v>0</v>
      </c>
      <c r="Y24" s="115">
        <f>COUNTIFS('Tier 3 Intervention'!K11:K1083,"&gt;=9",'Tier 3 Intervention'!K11:K1083,"&lt;=9",'Tier 3 Intervention'!E11:E1083,"White - Caucasian",'Tier 3 Intervention'!N11:N1083,"Male")</f>
        <v>0</v>
      </c>
      <c r="Z24" s="115">
        <f>COUNTIFS('Tier 3 Intervention'!K11:K1083,"&gt;=9",'Tier 3 Intervention'!K11:K1083,"&lt;=9",'Tier 3 Intervention'!E11:E1083,"White - Caucasian",'Tier 3 Intervention'!N11:N1083,"Female")</f>
        <v>0</v>
      </c>
      <c r="AA24" s="115">
        <f>COUNTIFS('Tier 3 Intervention'!K11:K1083,"&gt;=9",'Tier 3 Intervention'!K11:K1083,"&lt;=9",'Tier 3 Intervention'!E11:E1083,"White - Caucasian",'Tier 3 Intervention'!N11:N1083,"Other")</f>
        <v>0</v>
      </c>
      <c r="AB24" s="115">
        <f>COUNTIFS('Tier 3 Intervention'!K11:K1083,"&gt;=9",'Tier 3 Intervention'!K11:K1083,"&lt;=9",'Tier 3 Intervention'!E11:E1083,"Unknown",'Tier 3 Intervention'!N11:N1083,"Male")</f>
        <v>0</v>
      </c>
      <c r="AC24" s="115">
        <f>COUNTIFS('Tier 3 Intervention'!K11:K1083,"&gt;=9",'Tier 3 Intervention'!K11:K1083,"&lt;=9",'Tier 3 Intervention'!E11:E1083,"Unknown",'Tier 3 Intervention'!N11:N1083,"Female")</f>
        <v>0</v>
      </c>
      <c r="AD24" s="115">
        <f>COUNTIFS('Tier 3 Intervention'!K11:K1083,"&gt;=9",'Tier 3 Intervention'!K11:K1083,"&lt;=9",'Tier 3 Intervention'!E11:E1083,"Unknown",'Tier 3 Intervention'!N11:N1083,"Other")</f>
        <v>0</v>
      </c>
      <c r="AE24" s="149">
        <f t="shared" si="1"/>
        <v>0</v>
      </c>
      <c r="AF24" s="115">
        <f>COUNTIFS('Tier 3 Intervention'!K11:K1083,"&gt;=9",'Tier 3 Intervention'!K11:K1083,"&lt;=9",'Tier 3 Intervention'!G11:G1083,"Hispanic - Latino",'Tier 3 Intervention'!N11:N1083,"Male")</f>
        <v>0</v>
      </c>
      <c r="AG24" s="115">
        <f>COUNTIFS('Tier 3 Intervention'!K11:K1083,"&gt;=9",'Tier 3 Intervention'!K11:K1083,"&lt;=9",'Tier 3 Intervention'!G11:G1083,"Hispanic - Latino",'Tier 3 Intervention'!N11:N1083,"Female")</f>
        <v>0</v>
      </c>
      <c r="AH24" s="115">
        <f>COUNTIFS('Tier 3 Intervention'!K11:K1083,"&gt;=9",'Tier 3 Intervention'!K11:K1083,"&lt;=9",'Tier 3 Intervention'!G11:G1083,"Hispanic - Latino",'Tier 3 Intervention'!N11:N1083,"Other")</f>
        <v>0</v>
      </c>
      <c r="AI24" s="115">
        <f>COUNTIFS('Tier 3 Intervention'!K11:K1083,"&gt;=9",'Tier 3 Intervention'!K11:K1083,"&lt;=9",'Tier 3 Intervention'!G11:G1083,"Not Hispanic - Latino",'Tier 3 Intervention'!N11:N1083,"Male")</f>
        <v>0</v>
      </c>
      <c r="AJ24" s="115">
        <f>COUNTIFS('Tier 3 Intervention'!K11:K1083,"&gt;=9",'Tier 3 Intervention'!K11:K1083,"&lt;=9",'Tier 3 Intervention'!G11:G1083,"Not Hispanic - Latino",'Tier 3 Intervention'!N11:N1083,"Female")</f>
        <v>0</v>
      </c>
      <c r="AK24" s="115">
        <f>COUNTIFS('Tier 3 Intervention'!K11:K1083,"&gt;=9",'Tier 3 Intervention'!K11:K1083,"&lt;=9",'Tier 3 Intervention'!G11:G1083,"Not Hispanic - Latino",'Tier 3 Intervention'!N11:N1083,"Other")</f>
        <v>0</v>
      </c>
      <c r="AL24" s="115">
        <f>COUNTIFS('Tier 3 Intervention'!K11:K1083,"&gt;=9",'Tier 3 Intervention'!K11:K1083,"&lt;=9",'Tier 3 Intervention'!G11:G1083,"Origin Unknown",'Tier 3 Intervention'!N11:N1083,"Male")</f>
        <v>0</v>
      </c>
      <c r="AM24" s="115">
        <f>COUNTIFS('Tier 3 Intervention'!K11:K1083,"&gt;=9",'Tier 3 Intervention'!K11:K1083,"&lt;=9",'Tier 3 Intervention'!G11:G1083,"Origin Unknown",'Tier 3 Intervention'!N11:N1083,"Female")</f>
        <v>0</v>
      </c>
      <c r="AN24" s="118">
        <f>COUNTIFS('Tier 3 Intervention'!K11:K1083,"&gt;=9",'Tier 3 Intervention'!K11:K1083,"&lt;=9",'Tier 3 Intervention'!G11:G1083,"Origin Unknown",'Tier 3 Intervention'!N11:N1083,"Other")</f>
        <v>0</v>
      </c>
      <c r="AO24" s="149">
        <f t="shared" si="0"/>
        <v>0</v>
      </c>
    </row>
    <row r="25" spans="1:41" x14ac:dyDescent="0.25">
      <c r="A25" s="849" t="s">
        <v>1095</v>
      </c>
      <c r="B25" s="850"/>
      <c r="C25" s="850"/>
      <c r="D25" s="850"/>
      <c r="E25" s="850"/>
      <c r="F25" s="850"/>
      <c r="G25" s="850"/>
      <c r="H25" s="850"/>
      <c r="I25" s="851"/>
      <c r="J25" s="154">
        <f>COUNTIFS('Tier 3 Intervention'!K11:K1083,"&gt;=10",'Tier 3 Intervention'!K11:K1083,"&lt;=10",'Tier 3 Intervention'!E11:E1083,"American Indian",'Tier 3 Intervention'!N11:N1083,"Male")</f>
        <v>0</v>
      </c>
      <c r="K25" s="154">
        <f>COUNTIFS('Tier 3 Intervention'!K11:K1083,"&gt;=10",'Tier 3 Intervention'!K11:K1083,"&lt;=10",'Tier 3 Intervention'!E11:E1083,"American Indian",'Tier 3 Intervention'!N11:N1083,"Female")</f>
        <v>0</v>
      </c>
      <c r="L25" s="154">
        <f>COUNTIFS('Tier 3 Intervention'!K11:K1083,"&gt;=10",'Tier 3 Intervention'!K11:K1083,"&lt;=10",'Tier 3 Intervention'!E11:E1083,"American Indian",'Tier 3 Intervention'!N11:N1083,"Other")</f>
        <v>0</v>
      </c>
      <c r="M25" s="154">
        <f>COUNTIFS('Tier 3 Intervention'!K11:K1083,"&gt;=10",'Tier 3 Intervention'!K11:K1083,"&lt;=10",'Tier 3 Intervention'!E11:E1083,"Asian",'Tier 3 Intervention'!N11:N1083,"Male")</f>
        <v>0</v>
      </c>
      <c r="N25" s="154">
        <f>COUNTIFS('Tier 3 Intervention'!K11:K1083,"&gt;=10",'Tier 3 Intervention'!K11:K1083,"&lt;=10",'Tier 3 Intervention'!E11:E1083,"Asian",'Tier 3 Intervention'!N11:N1083,"Female")</f>
        <v>0</v>
      </c>
      <c r="O25" s="154">
        <f>COUNTIFS('Tier 3 Intervention'!K11:K1083,"&gt;=10",'Tier 3 Intervention'!K11:K1083,"&lt;=10",'Tier 3 Intervention'!E11:E1083,"Asian",'Tier 3 Intervention'!N11:N1083,"Other")</f>
        <v>0</v>
      </c>
      <c r="P25" s="154">
        <f>COUNTIFS('Tier 3 Intervention'!K11:K1083,"&gt;=10",'Tier 3 Intervention'!K11:K1083,"&lt;=10",'Tier 3 Intervention'!E11:E1083,"Black or African American",'Tier 3 Intervention'!N11:N1083,"Male")</f>
        <v>0</v>
      </c>
      <c r="Q25" s="154">
        <f>COUNTIFS('Tier 3 Intervention'!K11:K1083,"&gt;=10",'Tier 3 Intervention'!K11:K1083,"&lt;=10",'Tier 3 Intervention'!E11:E1083,"Black or African American",'Tier 3 Intervention'!N11:N1083,"Female")</f>
        <v>0</v>
      </c>
      <c r="R25" s="154">
        <f>COUNTIFS('Tier 3 Intervention'!K11:K1083,"&gt;=10",'Tier 3 Intervention'!K11:K1083,"&lt;=10",'Tier 3 Intervention'!E11:E1083,"Black or African American",'Tier 3 Intervention'!N11:N1083,"Other")</f>
        <v>0</v>
      </c>
      <c r="S25" s="154">
        <f>COUNTIFS('Tier 3 Intervention'!K11:K1083,"&gt;=10",'Tier 3 Intervention'!K11:K1083,"&lt;=10",'Tier 3 Intervention'!E11:E1083,"More than One Race",'Tier 3 Intervention'!N11:N1083,"Male")</f>
        <v>0</v>
      </c>
      <c r="T25" s="154">
        <f>COUNTIFS('Tier 3 Intervention'!K11:K1083,"&gt;=10",'Tier 3 Intervention'!K11:K1083,"&lt;=10",'Tier 3 Intervention'!E11:E1083,"More than One Race",'Tier 3 Intervention'!N11:N1083,"Female")</f>
        <v>0</v>
      </c>
      <c r="U25" s="154">
        <f>COUNTIFS('Tier 3 Intervention'!K11:K1083,"&gt;=10",'Tier 3 Intervention'!K11:K1083,"&lt;=10",'Tier 3 Intervention'!E11:E1083,"More than One Race",'Tier 3 Intervention'!N11:N1083,"Other")</f>
        <v>0</v>
      </c>
      <c r="V25" s="154">
        <f>COUNTIFS('Tier 3 Intervention'!K11:K1083,"&gt;=10",'Tier 3 Intervention'!K11:K1083,"&lt;=10",'Tier 3 Intervention'!E11:E1083,"Native Hawaiian",'Tier 3 Intervention'!N11:N1083,"Male")</f>
        <v>0</v>
      </c>
      <c r="W25" s="154">
        <f>COUNTIFS('Tier 3 Intervention'!K11:K1083,"&gt;=10",'Tier 3 Intervention'!K11:K1083,"&lt;=10",'Tier 3 Intervention'!E11:E1083,"Native Hawaiian",'Tier 3 Intervention'!N11:N1083,"Female")</f>
        <v>0</v>
      </c>
      <c r="X25" s="154">
        <f>COUNTIFS('Tier 3 Intervention'!K11:K1083,"&gt;=10",'Tier 3 Intervention'!K11:K1083,"&lt;=10",'Tier 3 Intervention'!E11:E1083,"Native Hawaiian",'Tier 3 Intervention'!N11:N1083,"Other")</f>
        <v>0</v>
      </c>
      <c r="Y25" s="154">
        <f>COUNTIFS('Tier 3 Intervention'!K11:K1083,"&gt;=10",'Tier 3 Intervention'!K11:K1083,"&lt;=10",'Tier 3 Intervention'!E11:E1083,"White - Caucasian",'Tier 3 Intervention'!N11:N1083,"Male")</f>
        <v>0</v>
      </c>
      <c r="Z25" s="154">
        <f>COUNTIFS('Tier 3 Intervention'!K11:K1083,"&gt;=10",'Tier 3 Intervention'!K11:K1083,"&lt;=10",'Tier 3 Intervention'!E11:E1083,"White - Caucasian",'Tier 3 Intervention'!N11:N1083,"Female")</f>
        <v>0</v>
      </c>
      <c r="AA25" s="154">
        <f>COUNTIFS('Tier 3 Intervention'!K11:K1083,"&gt;=10",'Tier 3 Intervention'!K11:K1083,"&lt;=10",'Tier 3 Intervention'!E11:E1083,"White - Caucasian",'Tier 3 Intervention'!N11:N1083,"Other")</f>
        <v>0</v>
      </c>
      <c r="AB25" s="154">
        <f>COUNTIFS('Tier 3 Intervention'!K11:K1083,"&gt;=10",'Tier 3 Intervention'!K11:K1083,"&lt;=10",'Tier 3 Intervention'!E11:E1083,"Unknown",'Tier 3 Intervention'!N11:N1083,"Male")</f>
        <v>0</v>
      </c>
      <c r="AC25" s="154">
        <f>COUNTIFS('Tier 3 Intervention'!K11:K1083,"&gt;=10",'Tier 3 Intervention'!K11:K1083,"&lt;=10",'Tier 3 Intervention'!E11:E1083,"Unknown",'Tier 3 Intervention'!N11:N1083,"Female")</f>
        <v>0</v>
      </c>
      <c r="AD25" s="154">
        <f>COUNTIFS('Tier 3 Intervention'!K11:K1083,"&gt;=10",'Tier 3 Intervention'!K11:K1083,"&lt;=10",'Tier 3 Intervention'!E11:E1083,"Unknown",'Tier 3 Intervention'!N11:N1083,"Other")</f>
        <v>0</v>
      </c>
      <c r="AE25" s="149">
        <f t="shared" si="1"/>
        <v>0</v>
      </c>
      <c r="AF25" s="154">
        <f>COUNTIFS('Tier 3 Intervention'!K11:K1083,"&gt;=10",'Tier 3 Intervention'!K11:K1083,"&lt;=10",'Tier 3 Intervention'!G11:G1083,"Hispanic - Latino",'Tier 3 Intervention'!N11:N1083,"Male")</f>
        <v>0</v>
      </c>
      <c r="AG25" s="154">
        <f>COUNTIFS('Tier 3 Intervention'!K11:K1083,"&gt;=10",'Tier 3 Intervention'!K11:K1083,"&lt;=10",'Tier 3 Intervention'!G11:G1083,"Hispanic - Latino",'Tier 3 Intervention'!N11:N1083,"Female")</f>
        <v>0</v>
      </c>
      <c r="AH25" s="154">
        <f>COUNTIFS('Tier 3 Intervention'!K11:K1083,"&gt;=10",'Tier 3 Intervention'!K11:K1083,"&lt;=10",'Tier 3 Intervention'!G11:G1083,"Hispanic - Latino",'Tier 3 Intervention'!N11:N1083,"Other")</f>
        <v>0</v>
      </c>
      <c r="AI25" s="154">
        <f>COUNTIFS('Tier 3 Intervention'!K11:K1083,"&gt;=10",'Tier 3 Intervention'!K11:K1083,"&lt;=10",'Tier 3 Intervention'!G11:G1083,"Not Hispanic - Latino",'Tier 3 Intervention'!N11:N1083,"Male")</f>
        <v>0</v>
      </c>
      <c r="AJ25" s="154">
        <f>COUNTIFS('Tier 3 Intervention'!K11:K1083,"&gt;=10",'Tier 3 Intervention'!K11:K1083,"&lt;=10",'Tier 3 Intervention'!G11:G1083,"Not Hispanic - Latino",'Tier 3 Intervention'!N11:N1083,"Female")</f>
        <v>0</v>
      </c>
      <c r="AK25" s="154">
        <f>COUNTIFS('Tier 3 Intervention'!K11:K1083,"&gt;=10",'Tier 3 Intervention'!K11:K1083,"&lt;=10",'Tier 3 Intervention'!G11:G1083,"Not Hispanic - Latino",'Tier 3 Intervention'!N11:N1083,"Other")</f>
        <v>0</v>
      </c>
      <c r="AL25" s="154">
        <f>COUNTIFS('Tier 3 Intervention'!K11:K1083,"&gt;=10",'Tier 3 Intervention'!K11:K1083,"&lt;=10",'Tier 3 Intervention'!G11:G1083,"Origin Unknown",'Tier 3 Intervention'!N11:N1083,"Male")</f>
        <v>0</v>
      </c>
      <c r="AM25" s="154">
        <f>COUNTIFS('Tier 3 Intervention'!K11:K1083,"&gt;=10",'Tier 3 Intervention'!K11:K1083,"&lt;=10",'Tier 3 Intervention'!G11:G1083,"Origin Unknown",'Tier 3 Intervention'!N11:N1083,"Female")</f>
        <v>0</v>
      </c>
      <c r="AN25" s="155">
        <f>COUNTIFS('Tier 3 Intervention'!K11:K1083,"&gt;=10",'Tier 3 Intervention'!K11:K1083,"&lt;=10",'Tier 3 Intervention'!G11:G1083,"Origin Unknown",'Tier 3 Intervention'!N11:N1083,"Other")</f>
        <v>0</v>
      </c>
      <c r="AO25" s="149">
        <f t="shared" si="0"/>
        <v>0</v>
      </c>
    </row>
    <row r="26" spans="1:41" x14ac:dyDescent="0.25">
      <c r="A26" s="846" t="s">
        <v>1096</v>
      </c>
      <c r="B26" s="847"/>
      <c r="C26" s="847"/>
      <c r="D26" s="847"/>
      <c r="E26" s="847"/>
      <c r="F26" s="847"/>
      <c r="G26" s="847"/>
      <c r="H26" s="847"/>
      <c r="I26" s="848"/>
      <c r="J26" s="115">
        <f>COUNTIFS('Tier 3 Intervention'!K11:K1083,"&gt;=11",'Tier 3 Intervention'!K11:K1083,"&lt;=11",'Tier 3 Intervention'!E11:E1083,"American Indian",'Tier 3 Intervention'!N11:N1083,"Male")</f>
        <v>0</v>
      </c>
      <c r="K26" s="115">
        <f>COUNTIFS('Tier 3 Intervention'!K11:K1083,"&gt;=11",'Tier 3 Intervention'!K11:K1083,"&lt;=11",'Tier 3 Intervention'!E11:E1083,"American Indian",'Tier 3 Intervention'!N11:N1083,"Female")</f>
        <v>0</v>
      </c>
      <c r="L26" s="115">
        <f>COUNTIFS('Tier 3 Intervention'!K11:K1083,"&gt;=11",'Tier 3 Intervention'!K11:K1083,"&lt;=11",'Tier 3 Intervention'!E11:E1083,"American Indian",'Tier 3 Intervention'!N11:N1083,"Other")</f>
        <v>0</v>
      </c>
      <c r="M26" s="115">
        <f>COUNTIFS('Tier 3 Intervention'!K11:K1083,"&gt;=11",'Tier 3 Intervention'!K11:K1083,"&lt;=11",'Tier 3 Intervention'!E11:E1083,"Asian",'Tier 3 Intervention'!N11:N1083,"Male")</f>
        <v>0</v>
      </c>
      <c r="N26" s="115">
        <f>COUNTIFS('Tier 3 Intervention'!K11:K1083,"&gt;=11",'Tier 3 Intervention'!K11:K1083,"&lt;=11",'Tier 3 Intervention'!E11:E1083,"Asian",'Tier 3 Intervention'!N11:N1083,"Female")</f>
        <v>0</v>
      </c>
      <c r="O26" s="115">
        <f>COUNTIFS('Tier 3 Intervention'!K11:K1083,"&gt;=11",'Tier 3 Intervention'!K11:K1083,"&lt;=11",'Tier 3 Intervention'!E11:E1083,"Asian",'Tier 3 Intervention'!N11:N1083,"Other")</f>
        <v>0</v>
      </c>
      <c r="P26" s="115">
        <f>COUNTIFS('Tier 3 Intervention'!K11:K1083,"&gt;=11",'Tier 3 Intervention'!K11:K1083,"&lt;=11",'Tier 3 Intervention'!E11:E1083,"Black or African American",'Tier 3 Intervention'!N11:N1083,"Male")</f>
        <v>0</v>
      </c>
      <c r="Q26" s="115">
        <f>COUNTIFS('Tier 3 Intervention'!K11:K1083,"&gt;=11",'Tier 3 Intervention'!K11:K1083,"&lt;=11",'Tier 3 Intervention'!E11:E1083,"Black or African American",'Tier 3 Intervention'!N11:N1083,"Female")</f>
        <v>0</v>
      </c>
      <c r="R26" s="115">
        <f>COUNTIFS('Tier 3 Intervention'!K11:K1083,"&gt;=11",'Tier 3 Intervention'!K11:K1083,"&lt;=11",'Tier 3 Intervention'!E11:E1083,"Black or African American",'Tier 3 Intervention'!N11:N1083,"Other")</f>
        <v>0</v>
      </c>
      <c r="S26" s="115">
        <f>COUNTIFS('Tier 3 Intervention'!K11:K1083,"&gt;=11",'Tier 3 Intervention'!K11:K1083,"&lt;=11",'Tier 3 Intervention'!E11:E1083,"More than One Race",'Tier 3 Intervention'!N11:N1083,"Male")</f>
        <v>0</v>
      </c>
      <c r="T26" s="115">
        <f>COUNTIFS('Tier 3 Intervention'!K11:K1083,"&gt;=11",'Tier 3 Intervention'!K11:K1083,"&lt;=11",'Tier 3 Intervention'!E11:E1083,"More than One Race",'Tier 3 Intervention'!N11:N1083,"Female")</f>
        <v>0</v>
      </c>
      <c r="U26" s="115">
        <f>COUNTIFS('Tier 3 Intervention'!K11:K1083,"&gt;=11",'Tier 3 Intervention'!K11:K1083,"&lt;=11",'Tier 3 Intervention'!E11:E1083,"More than One Race",'Tier 3 Intervention'!N11:N1083,"Other")</f>
        <v>0</v>
      </c>
      <c r="V26" s="115">
        <f>COUNTIFS('Tier 3 Intervention'!K11:K1083,"&gt;=11",'Tier 3 Intervention'!K11:K1083,"&lt;=11",'Tier 3 Intervention'!E11:E1083,"Native Hawaiian",'Tier 3 Intervention'!N11:N1083,"Male")</f>
        <v>0</v>
      </c>
      <c r="W26" s="115">
        <f>COUNTIFS('Tier 3 Intervention'!K11:K1083,"&gt;=11",'Tier 3 Intervention'!K11:K1083,"&lt;=11",'Tier 3 Intervention'!E11:E1083,"Native Hawaiian",'Tier 3 Intervention'!N11:N1083,"Female")</f>
        <v>0</v>
      </c>
      <c r="X26" s="115">
        <f>COUNTIFS('Tier 3 Intervention'!K11:K1083,"&gt;=11",'Tier 3 Intervention'!K11:K1083,"&lt;=11",'Tier 3 Intervention'!E11:E1083,"Native Hawaiian",'Tier 3 Intervention'!N11:N1083,"Other")</f>
        <v>0</v>
      </c>
      <c r="Y26" s="115">
        <f>COUNTIFS('Tier 3 Intervention'!K11:K1083,"&gt;=11",'Tier 3 Intervention'!K11:K1083,"&lt;=11",'Tier 3 Intervention'!E11:E1083,"White - Caucasian",'Tier 3 Intervention'!N11:N1083,"Male")</f>
        <v>0</v>
      </c>
      <c r="Z26" s="115">
        <f>COUNTIFS('Tier 3 Intervention'!K11:K1083,"&gt;=11",'Tier 3 Intervention'!K11:K1083,"&lt;=11",'Tier 3 Intervention'!E11:E1083,"White - Caucasian",'Tier 3 Intervention'!N11:N1083,"Female")</f>
        <v>0</v>
      </c>
      <c r="AA26" s="115">
        <f>COUNTIFS('Tier 3 Intervention'!K11:K1083,"&gt;=11",'Tier 3 Intervention'!K11:K1083,"&lt;=11",'Tier 3 Intervention'!E11:E1083,"White - Caucasian",'Tier 3 Intervention'!N11:N1083,"Other")</f>
        <v>0</v>
      </c>
      <c r="AB26" s="115">
        <f>COUNTIFS('Tier 3 Intervention'!K11:K1083,"&gt;=11",'Tier 3 Intervention'!K11:K1083,"&lt;=11",'Tier 3 Intervention'!E11:E1083,"Unknown",'Tier 3 Intervention'!N11:N1083,"Male")</f>
        <v>0</v>
      </c>
      <c r="AC26" s="115">
        <f>COUNTIFS('Tier 3 Intervention'!K11:K1083,"&gt;=11",'Tier 3 Intervention'!K11:K1083,"&lt;=11",'Tier 3 Intervention'!E11:E1083,"Unknown",'Tier 3 Intervention'!N11:N1083,"Female")</f>
        <v>0</v>
      </c>
      <c r="AD26" s="115">
        <f>COUNTIFS('Tier 3 Intervention'!K11:K1083,"&gt;=11",'Tier 3 Intervention'!K11:K1083,"&lt;=11",'Tier 3 Intervention'!E11:E1083,"Unknown",'Tier 3 Intervention'!N11:N1083,"Other")</f>
        <v>0</v>
      </c>
      <c r="AE26" s="149">
        <f t="shared" si="1"/>
        <v>0</v>
      </c>
      <c r="AF26" s="115">
        <f>COUNTIFS('Tier 3 Intervention'!K11:K1083,"&gt;=11",'Tier 3 Intervention'!K11:K1083,"&lt;=11",'Tier 3 Intervention'!G11:G1083,"Hispanic - Latino",'Tier 3 Intervention'!N11:N1083,"Male")</f>
        <v>0</v>
      </c>
      <c r="AG26" s="115">
        <f>COUNTIFS('Tier 3 Intervention'!K11:K1083,"&gt;=11",'Tier 3 Intervention'!K11:K1083,"&lt;=11",'Tier 3 Intervention'!G11:G1083,"Hispanic - Latino",'Tier 3 Intervention'!N11:N1083,"Female")</f>
        <v>0</v>
      </c>
      <c r="AH26" s="115">
        <f>COUNTIFS('Tier 3 Intervention'!K11:K1083,"&gt;=11",'Tier 3 Intervention'!K11:K1083,"&lt;=11",'Tier 3 Intervention'!G11:G1083,"Hispanic - Latino",'Tier 3 Intervention'!N11:N1083,"Other")</f>
        <v>0</v>
      </c>
      <c r="AI26" s="115">
        <f>COUNTIFS('Tier 3 Intervention'!K11:K1083,"&gt;=11",'Tier 3 Intervention'!K11:K1083,"&lt;=11",'Tier 3 Intervention'!G11:G1083,"Not Hispanic - Latino",'Tier 3 Intervention'!N11:N1083,"Male")</f>
        <v>0</v>
      </c>
      <c r="AJ26" s="115">
        <f>COUNTIFS('Tier 3 Intervention'!K11:K1083,"&gt;=11",'Tier 3 Intervention'!K11:K1083,"&lt;=11",'Tier 3 Intervention'!G11:G1083,"Not Hispanic - Latino",'Tier 3 Intervention'!N11:N1083,"Female")</f>
        <v>0</v>
      </c>
      <c r="AK26" s="115">
        <f>COUNTIFS('Tier 3 Intervention'!K11:K1083,"&gt;=11",'Tier 3 Intervention'!K11:K1083,"&lt;=11",'Tier 3 Intervention'!G11:G1083,"Not Hispanic - Latino",'Tier 3 Intervention'!N11:N1083,"Other")</f>
        <v>0</v>
      </c>
      <c r="AL26" s="115">
        <f>COUNTIFS('Tier 3 Intervention'!K11:K1083,"&gt;=11",'Tier 3 Intervention'!K11:K1083,"&lt;=11",'Tier 3 Intervention'!G11:G1083,"Origin Unknown",'Tier 3 Intervention'!N11:N1083,"Male")</f>
        <v>0</v>
      </c>
      <c r="AM26" s="115">
        <f>COUNTIFS('Tier 3 Intervention'!K11:K1083,"&gt;=11",'Tier 3 Intervention'!K11:K1083,"&lt;=11",'Tier 3 Intervention'!G11:G1083,"Origin Unknown",'Tier 3 Intervention'!N11:N1083,"Female")</f>
        <v>0</v>
      </c>
      <c r="AN26" s="118">
        <f>COUNTIFS('Tier 3 Intervention'!K11:K1083,"&gt;=11",'Tier 3 Intervention'!K11:K1083,"&lt;=11",'Tier 3 Intervention'!G11:G1083,"Origin Unknown",'Tier 3 Intervention'!N11:N1083,"Other")</f>
        <v>0</v>
      </c>
      <c r="AO26" s="149">
        <f t="shared" si="0"/>
        <v>0</v>
      </c>
    </row>
    <row r="27" spans="1:41" x14ac:dyDescent="0.25">
      <c r="A27" s="849" t="s">
        <v>1097</v>
      </c>
      <c r="B27" s="850"/>
      <c r="C27" s="850"/>
      <c r="D27" s="850"/>
      <c r="E27" s="850"/>
      <c r="F27" s="850"/>
      <c r="G27" s="850"/>
      <c r="H27" s="850"/>
      <c r="I27" s="851"/>
      <c r="J27" s="154">
        <f>COUNTIFS('Tier 3 Intervention'!K11:K1083,"&gt;=12",'Tier 3 Intervention'!K11:K1083,"&lt;=12",'Tier 3 Intervention'!E11:E1083,"American Indian",'Tier 3 Intervention'!N11:N1083,"Male")</f>
        <v>0</v>
      </c>
      <c r="K27" s="154">
        <f>COUNTIFS('Tier 3 Intervention'!K11:K1083,"&gt;=12",'Tier 3 Intervention'!K11:K1083,"&lt;=12",'Tier 3 Intervention'!E11:E1083,"American Indian",'Tier 3 Intervention'!N11:N1083,"Female")</f>
        <v>0</v>
      </c>
      <c r="L27" s="154">
        <f>COUNTIFS('Tier 3 Intervention'!K11:K1083,"&gt;=12",'Tier 3 Intervention'!K11:K1083,"&lt;=12",'Tier 3 Intervention'!E11:E1083,"American Indian",'Tier 3 Intervention'!N11:N1083,"Other")</f>
        <v>0</v>
      </c>
      <c r="M27" s="154">
        <f>COUNTIFS('Tier 3 Intervention'!K11:K1083,"&gt;=12",'Tier 3 Intervention'!K11:K1083,"&lt;=12",'Tier 3 Intervention'!E11:E1083,"Asian",'Tier 3 Intervention'!N11:N1083,"Male")</f>
        <v>0</v>
      </c>
      <c r="N27" s="154">
        <f>COUNTIFS('Tier 3 Intervention'!K11:K1083,"&gt;=12",'Tier 3 Intervention'!K11:K1083,"&lt;=12",'Tier 3 Intervention'!E11:E1083,"Asian",'Tier 3 Intervention'!N11:N1083,"Female")</f>
        <v>0</v>
      </c>
      <c r="O27" s="154">
        <f>COUNTIFS('Tier 3 Intervention'!K11:K1083,"&gt;=12",'Tier 3 Intervention'!K11:K1083,"&lt;=12",'Tier 3 Intervention'!E11:E1083,"Asian",'Tier 3 Intervention'!N11:N1083,"Other")</f>
        <v>0</v>
      </c>
      <c r="P27" s="154">
        <f>COUNTIFS('Tier 3 Intervention'!K11:K1083,"&gt;=12",'Tier 3 Intervention'!K11:K1083,"&lt;=12",'Tier 3 Intervention'!E11:E1083,"Black or African American",'Tier 3 Intervention'!N11:N1083,"Male")</f>
        <v>0</v>
      </c>
      <c r="Q27" s="154">
        <f>COUNTIFS('Tier 3 Intervention'!K11:K1083,"&gt;=12",'Tier 3 Intervention'!K11:K1083,"&lt;=12",'Tier 3 Intervention'!E11:E1083,"Black or African American",'Tier 3 Intervention'!N11:N1083,"Female")</f>
        <v>0</v>
      </c>
      <c r="R27" s="154">
        <f>COUNTIFS('Tier 3 Intervention'!K11:K1083,"&gt;=12",'Tier 3 Intervention'!K11:K1083,"&lt;=12",'Tier 3 Intervention'!E11:E1083,"Black or African American",'Tier 3 Intervention'!N11:N1083,"Other")</f>
        <v>0</v>
      </c>
      <c r="S27" s="154">
        <f>COUNTIFS('Tier 3 Intervention'!K11:K1083,"&gt;=12",'Tier 3 Intervention'!K11:K1083,"&lt;=12",'Tier 3 Intervention'!E11:E1083,"More than One Race",'Tier 3 Intervention'!N11:N1083,"Male")</f>
        <v>0</v>
      </c>
      <c r="T27" s="154">
        <f>COUNTIFS('Tier 3 Intervention'!K11:K1083,"&gt;=12",'Tier 3 Intervention'!K11:K1083,"&lt;=12",'Tier 3 Intervention'!E11:E1083,"More than One Race",'Tier 3 Intervention'!N11:N1083,"Female")</f>
        <v>0</v>
      </c>
      <c r="U27" s="154">
        <f>COUNTIFS('Tier 3 Intervention'!K11:K1083,"&gt;=12",'Tier 3 Intervention'!K11:K1083,"&lt;=12",'Tier 3 Intervention'!E11:E1083,"More than One Race",'Tier 3 Intervention'!N11:N1083,"Other")</f>
        <v>0</v>
      </c>
      <c r="V27" s="154">
        <f>COUNTIFS('Tier 3 Intervention'!K11:K1083,"&gt;=12",'Tier 3 Intervention'!K11:K1083,"&lt;=12",'Tier 3 Intervention'!E11:E1083,"Native Hawaiian",'Tier 3 Intervention'!N11:N1083,"Male")</f>
        <v>0</v>
      </c>
      <c r="W27" s="154">
        <f>COUNTIFS('Tier 3 Intervention'!K11:K1083,"&gt;=12",'Tier 3 Intervention'!K11:K1083,"&lt;=12",'Tier 3 Intervention'!E11:E1083,"Native Hawaiian",'Tier 3 Intervention'!N11:N1083,"Female")</f>
        <v>0</v>
      </c>
      <c r="X27" s="154">
        <f>COUNTIFS('Tier 3 Intervention'!K11:K1083,"&gt;=12",'Tier 3 Intervention'!K11:K1083,"&lt;=12",'Tier 3 Intervention'!E11:E1083,"Native Hawaiian",'Tier 3 Intervention'!N11:N1083,"Other")</f>
        <v>0</v>
      </c>
      <c r="Y27" s="154">
        <f>COUNTIFS('Tier 3 Intervention'!K11:K1083,"&gt;=12",'Tier 3 Intervention'!K11:K1083,"&lt;=12",'Tier 3 Intervention'!E11:E1083,"White - Caucasian",'Tier 3 Intervention'!N11:N1083,"Male")</f>
        <v>0</v>
      </c>
      <c r="Z27" s="154">
        <f>COUNTIFS('Tier 3 Intervention'!K11:K1083,"&gt;=12",'Tier 3 Intervention'!K11:K1083,"&lt;=12",'Tier 3 Intervention'!E11:E1083,"White - Caucasian",'Tier 3 Intervention'!N11:N1083,"Female")</f>
        <v>0</v>
      </c>
      <c r="AA27" s="154">
        <f>COUNTIFS('Tier 3 Intervention'!K11:K1083,"&gt;=12",'Tier 3 Intervention'!K11:K1083,"&lt;=12",'Tier 3 Intervention'!E11:E1083,"White - Caucasian",'Tier 3 Intervention'!N11:N1083,"Other")</f>
        <v>0</v>
      </c>
      <c r="AB27" s="154">
        <f>COUNTIFS('Tier 3 Intervention'!K11:K1083,"&gt;=12",'Tier 3 Intervention'!K11:K1083,"&lt;=12",'Tier 3 Intervention'!E11:E1083,"Unknown",'Tier 3 Intervention'!N11:N1083,"Male")</f>
        <v>0</v>
      </c>
      <c r="AC27" s="154">
        <f>COUNTIFS('Tier 3 Intervention'!K11:K1083,"&gt;=12",'Tier 3 Intervention'!K11:K1083,"&lt;=12",'Tier 3 Intervention'!E11:E1083,"Unknown",'Tier 3 Intervention'!N11:N1083,"Female")</f>
        <v>0</v>
      </c>
      <c r="AD27" s="154">
        <f>COUNTIFS('Tier 3 Intervention'!K11:K1083,"&gt;=12",'Tier 3 Intervention'!K11:K1083,"&lt;=12",'Tier 3 Intervention'!E11:E1083,"Unknown",'Tier 3 Intervention'!N11:N1083,"Other")</f>
        <v>0</v>
      </c>
      <c r="AE27" s="149">
        <f t="shared" si="1"/>
        <v>0</v>
      </c>
      <c r="AF27" s="154">
        <f>COUNTIFS('Tier 3 Intervention'!K11:K1083,"&gt;=12",'Tier 3 Intervention'!K11:K1083,"&lt;=12",'Tier 3 Intervention'!G11:G1083,"Hispanic - Latino",'Tier 3 Intervention'!N11:N1083,"Male")</f>
        <v>0</v>
      </c>
      <c r="AG27" s="154">
        <f>COUNTIFS('Tier 3 Intervention'!K11:K1083,"&gt;=12",'Tier 3 Intervention'!K11:K1083,"&lt;=12",'Tier 3 Intervention'!G11:G1083,"Hispanic - Latino",'Tier 3 Intervention'!N11:N1083,"Female")</f>
        <v>0</v>
      </c>
      <c r="AH27" s="154">
        <f>COUNTIFS('Tier 3 Intervention'!K11:K1083,"&gt;=12",'Tier 3 Intervention'!K11:K1083,"&lt;=12",'Tier 3 Intervention'!G11:G1083,"Hispanic - Latino",'Tier 3 Intervention'!N11:N1083,"Other")</f>
        <v>0</v>
      </c>
      <c r="AI27" s="154">
        <f>COUNTIFS('Tier 3 Intervention'!K11:K1083,"&gt;=12",'Tier 3 Intervention'!K11:K1083,"&lt;=12",'Tier 3 Intervention'!G11:G1083,"Not Hispanic - Latino",'Tier 3 Intervention'!N11:N1083,"Male")</f>
        <v>0</v>
      </c>
      <c r="AJ27" s="154">
        <f>COUNTIFS('Tier 3 Intervention'!K11:K1083,"&gt;=12",'Tier 3 Intervention'!K11:K1083,"&lt;=12",'Tier 3 Intervention'!G11:G1083,"Not Hispanic - Latino",'Tier 3 Intervention'!N11:N1083,"Female")</f>
        <v>0</v>
      </c>
      <c r="AK27" s="154">
        <f>COUNTIFS('Tier 3 Intervention'!K11:K1083,"&gt;=12",'Tier 3 Intervention'!K11:K1083,"&lt;=12",'Tier 3 Intervention'!G11:G1083,"Not Hispanic - Latino",'Tier 3 Intervention'!N11:N1083,"Other")</f>
        <v>0</v>
      </c>
      <c r="AL27" s="154">
        <f>COUNTIFS('Tier 3 Intervention'!K11:K1083,"&gt;=12",'Tier 3 Intervention'!K11:K1083,"&lt;=12",'Tier 3 Intervention'!G11:G1083,"Origin Unknown",'Tier 3 Intervention'!N11:N1083,"Male")</f>
        <v>0</v>
      </c>
      <c r="AM27" s="154">
        <f>COUNTIFS('Tier 3 Intervention'!K11:K1083,"&gt;=12",'Tier 3 Intervention'!K11:K1083,"&lt;=12",'Tier 3 Intervention'!G11:G1083,"Origin Unknown",'Tier 3 Intervention'!N11:N1083,"Female")</f>
        <v>0</v>
      </c>
      <c r="AN27" s="155">
        <f>COUNTIFS('Tier 3 Intervention'!K11:K1083,"&gt;=12",'Tier 3 Intervention'!K11:K1083,"&lt;=12",'Tier 3 Intervention'!G11:G1083,"Origin Unknown",'Tier 3 Intervention'!N11:N1083,"Other")</f>
        <v>0</v>
      </c>
      <c r="AO27" s="149">
        <f t="shared" si="0"/>
        <v>0</v>
      </c>
    </row>
    <row r="28" spans="1:41" x14ac:dyDescent="0.25">
      <c r="A28" s="846" t="s">
        <v>1098</v>
      </c>
      <c r="B28" s="847"/>
      <c r="C28" s="847"/>
      <c r="D28" s="847"/>
      <c r="E28" s="847"/>
      <c r="F28" s="847"/>
      <c r="G28" s="847"/>
      <c r="H28" s="847"/>
      <c r="I28" s="848"/>
      <c r="J28" s="115">
        <f>COUNTIFS('Tier 3 Intervention'!K11:K1083,"&gt;=13",'Tier 3 Intervention'!K11:K1083,"&lt;=13",'Tier 3 Intervention'!E11:E1083,"American Indian",'Tier 3 Intervention'!N11:N1083,"Male")</f>
        <v>0</v>
      </c>
      <c r="K28" s="115">
        <f>COUNTIFS('Tier 3 Intervention'!K11:K1083,"&gt;=13",'Tier 3 Intervention'!K11:K1083,"&lt;=13",'Tier 3 Intervention'!E11:E1083,"American Indian",'Tier 3 Intervention'!N11:N1083,"Female")</f>
        <v>0</v>
      </c>
      <c r="L28" s="115">
        <f>COUNTIFS('Tier 3 Intervention'!K11:K1083,"&gt;=13",'Tier 3 Intervention'!K11:K1083,"&lt;=13",'Tier 3 Intervention'!E11:E1083,"American Indian",'Tier 3 Intervention'!N11:N1083,"Other")</f>
        <v>0</v>
      </c>
      <c r="M28" s="115">
        <f>COUNTIFS('Tier 3 Intervention'!K11:K1083,"&gt;=13",'Tier 3 Intervention'!K11:K1083,"&lt;=13",'Tier 3 Intervention'!E11:E1083,"Asian",'Tier 3 Intervention'!N11:N1083,"Male")</f>
        <v>0</v>
      </c>
      <c r="N28" s="115">
        <f>COUNTIFS('Tier 3 Intervention'!K11:K1083,"&gt;=13",'Tier 3 Intervention'!K11:K1083,"&lt;=13",'Tier 3 Intervention'!E11:E1083,"Asian",'Tier 3 Intervention'!N11:N1083,"Female")</f>
        <v>0</v>
      </c>
      <c r="O28" s="115">
        <f>COUNTIFS('Tier 3 Intervention'!K11:K1083,"&gt;=13",'Tier 3 Intervention'!K11:K1083,"&lt;=13",'Tier 3 Intervention'!E11:E1083,"Asian",'Tier 3 Intervention'!N11:N1083,"Other")</f>
        <v>0</v>
      </c>
      <c r="P28" s="115">
        <f>COUNTIFS('Tier 3 Intervention'!K11:K1083,"&gt;=13",'Tier 3 Intervention'!K11:K1083,"&lt;=13",'Tier 3 Intervention'!E11:E1083,"Black or African American",'Tier 3 Intervention'!N11:N1083,"Male")</f>
        <v>0</v>
      </c>
      <c r="Q28" s="115">
        <f>COUNTIFS('Tier 3 Intervention'!K11:K1083,"&gt;=13",'Tier 3 Intervention'!K11:K1083,"&lt;=13",'Tier 3 Intervention'!E11:E1083,"Black or African American",'Tier 3 Intervention'!N11:N1083,"Female")</f>
        <v>0</v>
      </c>
      <c r="R28" s="115">
        <f>COUNTIFS('Tier 3 Intervention'!K11:K1083,"&gt;=13",'Tier 3 Intervention'!K11:K1083,"&lt;=13",'Tier 3 Intervention'!E11:E1083,"Black or African American",'Tier 3 Intervention'!N11:N1083,"Other")</f>
        <v>0</v>
      </c>
      <c r="S28" s="115">
        <f>COUNTIFS('Tier 3 Intervention'!K11:K1083,"&gt;=13",'Tier 3 Intervention'!K11:K1083,"&lt;=13",'Tier 3 Intervention'!E11:E1083,"More than One Race",'Tier 3 Intervention'!N11:N1083,"Male")</f>
        <v>0</v>
      </c>
      <c r="T28" s="115">
        <f>COUNTIFS('Tier 3 Intervention'!K11:K1083,"&gt;=13",'Tier 3 Intervention'!K11:K1083,"&lt;=13",'Tier 3 Intervention'!E11:E1083,"More than One Race",'Tier 3 Intervention'!N11:N1083,"Female")</f>
        <v>0</v>
      </c>
      <c r="U28" s="115">
        <f>COUNTIFS('Tier 3 Intervention'!K11:K1083,"&gt;=13",'Tier 3 Intervention'!K11:K1083,"&lt;=13",'Tier 3 Intervention'!E11:E1083,"More than One Race",'Tier 3 Intervention'!N11:N1083,"Other")</f>
        <v>0</v>
      </c>
      <c r="V28" s="115">
        <f>COUNTIFS('Tier 3 Intervention'!K11:K1083,"&gt;=13",'Tier 3 Intervention'!K11:K1083,"&lt;=13",'Tier 3 Intervention'!E11:E1083,"Native Hawaiian",'Tier 3 Intervention'!N11:N1083,"Male")</f>
        <v>0</v>
      </c>
      <c r="W28" s="115">
        <f>COUNTIFS('Tier 3 Intervention'!K11:K1083,"&gt;=13",'Tier 3 Intervention'!K11:K1083,"&lt;=13",'Tier 3 Intervention'!E11:E1083,"Native Hawaiian",'Tier 3 Intervention'!N11:N1083,"Female")</f>
        <v>0</v>
      </c>
      <c r="X28" s="115">
        <f>COUNTIFS('Tier 3 Intervention'!K11:K1083,"&gt;=13",'Tier 3 Intervention'!K11:K1083,"&lt;=13",'Tier 3 Intervention'!E11:E1083,"Native Hawaiian",'Tier 3 Intervention'!N11:N1083,"Other")</f>
        <v>0</v>
      </c>
      <c r="Y28" s="115">
        <f>COUNTIFS('Tier 3 Intervention'!K11:K1083,"&gt;=13",'Tier 3 Intervention'!K11:K1083,"&lt;=13",'Tier 3 Intervention'!E11:E1083,"White - Caucasian",'Tier 3 Intervention'!N11:N1083,"Male")</f>
        <v>0</v>
      </c>
      <c r="Z28" s="115">
        <f>COUNTIFS('Tier 3 Intervention'!K11:K1083,"&gt;=13",'Tier 3 Intervention'!K11:K1083,"&lt;=13",'Tier 3 Intervention'!E11:E1083,"White - Caucasian",'Tier 3 Intervention'!N11:N1083,"Female")</f>
        <v>0</v>
      </c>
      <c r="AA28" s="115">
        <f>COUNTIFS('Tier 3 Intervention'!K11:K1083,"&gt;=13",'Tier 3 Intervention'!K11:K1083,"&lt;=13",'Tier 3 Intervention'!E11:E1083,"White - Caucasian",'Tier 3 Intervention'!N11:N1083,"Other")</f>
        <v>0</v>
      </c>
      <c r="AB28" s="115">
        <f>COUNTIFS('Tier 3 Intervention'!K11:K1083,"&gt;=13",'Tier 3 Intervention'!K11:K1083,"&lt;=13",'Tier 3 Intervention'!E11:E1083,"Unknown",'Tier 3 Intervention'!N11:N1083,"Male")</f>
        <v>0</v>
      </c>
      <c r="AC28" s="115">
        <f>COUNTIFS('Tier 3 Intervention'!K11:K1083,"&gt;=13",'Tier 3 Intervention'!K11:K1083,"&lt;=13",'Tier 3 Intervention'!E11:E1083,"Unknown",'Tier 3 Intervention'!N11:N1083,"Female")</f>
        <v>0</v>
      </c>
      <c r="AD28" s="115">
        <f>COUNTIFS('Tier 3 Intervention'!K11:K1083,"&gt;=13",'Tier 3 Intervention'!K11:K1083,"&lt;=13",'Tier 3 Intervention'!E11:E1083,"Unknown",'Tier 3 Intervention'!N11:N1083,"Other")</f>
        <v>0</v>
      </c>
      <c r="AE28" s="149">
        <f t="shared" si="1"/>
        <v>0</v>
      </c>
      <c r="AF28" s="115">
        <f>COUNTIFS('Tier 3 Intervention'!K11:K1083,"&gt;=13",'Tier 3 Intervention'!K11:K1083,"&lt;=13",'Tier 3 Intervention'!G11:G1083,"Hispanic - Latino",'Tier 3 Intervention'!N11:N1083,"Male")</f>
        <v>0</v>
      </c>
      <c r="AG28" s="115">
        <f>COUNTIFS('Tier 3 Intervention'!K11:K1083,"&gt;=13",'Tier 3 Intervention'!K11:K1083,"&lt;=13",'Tier 3 Intervention'!G11:G1083,"Hispanic - Latino",'Tier 3 Intervention'!N11:N1083,"Female")</f>
        <v>0</v>
      </c>
      <c r="AH28" s="115">
        <f>COUNTIFS('Tier 3 Intervention'!K11:K1083,"&gt;=13",'Tier 3 Intervention'!K11:K1083,"&lt;=13",'Tier 3 Intervention'!G11:G1083,"Hispanic - Latino",'Tier 3 Intervention'!N11:N1083,"Other")</f>
        <v>0</v>
      </c>
      <c r="AI28" s="115">
        <f>COUNTIFS('Tier 3 Intervention'!K11:K1083,"&gt;=13",'Tier 3 Intervention'!K11:K1083,"&lt;=13",'Tier 3 Intervention'!G11:G1083,"Not Hispanic - Latino",'Tier 3 Intervention'!N11:N1083,"Male")</f>
        <v>0</v>
      </c>
      <c r="AJ28" s="115">
        <f>COUNTIFS('Tier 3 Intervention'!K11:K1083,"&gt;=13",'Tier 3 Intervention'!K11:K1083,"&lt;=13",'Tier 3 Intervention'!G11:G1083,"Not Hispanic - Latino",'Tier 3 Intervention'!N11:N1083,"Female")</f>
        <v>0</v>
      </c>
      <c r="AK28" s="115">
        <f>COUNTIFS('Tier 3 Intervention'!K11:K1083,"&gt;=13",'Tier 3 Intervention'!K11:K1083,"&lt;=13",'Tier 3 Intervention'!G11:G1083,"Not Hispanic - Latino",'Tier 3 Intervention'!N11:N1083,"Other")</f>
        <v>0</v>
      </c>
      <c r="AL28" s="115">
        <f>COUNTIFS('Tier 3 Intervention'!K11:K1083,"&gt;=13",'Tier 3 Intervention'!K11:K1083,"&lt;=13",'Tier 3 Intervention'!G11:G1083,"Origin Unknown",'Tier 3 Intervention'!N11:N1083,"Male")</f>
        <v>0</v>
      </c>
      <c r="AM28" s="115">
        <f>COUNTIFS('Tier 3 Intervention'!K11:K1083,"&gt;=13",'Tier 3 Intervention'!K11:K1083,"&lt;=13",'Tier 3 Intervention'!G11:G1083,"Origin Unknown",'Tier 3 Intervention'!N11:N1083,"Female")</f>
        <v>0</v>
      </c>
      <c r="AN28" s="118">
        <f>COUNTIFS('Tier 3 Intervention'!K11:K1083,"&gt;=13",'Tier 3 Intervention'!K11:K1083,"&lt;=13",'Tier 3 Intervention'!G11:G1083,"Origin Unknown",'Tier 3 Intervention'!N11:N1083,"Other")</f>
        <v>0</v>
      </c>
      <c r="AO28" s="149">
        <f t="shared" si="0"/>
        <v>0</v>
      </c>
    </row>
    <row r="29" spans="1:41" x14ac:dyDescent="0.25">
      <c r="A29" s="849" t="s">
        <v>1099</v>
      </c>
      <c r="B29" s="850"/>
      <c r="C29" s="850"/>
      <c r="D29" s="850"/>
      <c r="E29" s="850"/>
      <c r="F29" s="850"/>
      <c r="G29" s="850"/>
      <c r="H29" s="850"/>
      <c r="I29" s="851"/>
      <c r="J29" s="154">
        <f>COUNTIFS('Tier 3 Intervention'!K11:K1083,"&gt;=14",'Tier 3 Intervention'!K11:K1083,"&lt;=14",'Tier 3 Intervention'!E11:E1083,"American Indian",'Tier 3 Intervention'!N11:N1083,"Male")</f>
        <v>0</v>
      </c>
      <c r="K29" s="154">
        <f>COUNTIFS('Tier 3 Intervention'!K11:K1083,"&gt;=14",'Tier 3 Intervention'!K11:K1083,"&lt;=14",'Tier 3 Intervention'!E11:E1083,"American Indian",'Tier 3 Intervention'!N11:N1083,"Female")</f>
        <v>0</v>
      </c>
      <c r="L29" s="154">
        <f>COUNTIFS('Tier 3 Intervention'!K11:K1083,"&gt;=14",'Tier 3 Intervention'!K11:K1083,"&lt;=14",'Tier 3 Intervention'!E11:E1083,"American Indian",'Tier 3 Intervention'!N11:N1083,"Other")</f>
        <v>0</v>
      </c>
      <c r="M29" s="154">
        <f>COUNTIFS('Tier 3 Intervention'!K11:K1083,"&gt;=14",'Tier 3 Intervention'!K11:K1083,"&lt;=14",'Tier 3 Intervention'!E11:E1083,"Asian",'Tier 3 Intervention'!N11:N1083,"Male")</f>
        <v>0</v>
      </c>
      <c r="N29" s="154">
        <f>COUNTIFS('Tier 3 Intervention'!K11:K1083,"&gt;=14",'Tier 3 Intervention'!K11:K1083,"&lt;=14",'Tier 3 Intervention'!E11:E1083,"Asian",'Tier 3 Intervention'!N11:N1083,"Female")</f>
        <v>0</v>
      </c>
      <c r="O29" s="154">
        <f>COUNTIFS('Tier 3 Intervention'!K11:K1083,"&gt;=14",'Tier 3 Intervention'!K11:K1083,"&lt;=14",'Tier 3 Intervention'!E11:E1083,"Asian",'Tier 3 Intervention'!N11:N1083,"Other")</f>
        <v>0</v>
      </c>
      <c r="P29" s="154">
        <f>COUNTIFS('Tier 3 Intervention'!K11:K1083,"&gt;=14",'Tier 3 Intervention'!K11:K1083,"&lt;=14",'Tier 3 Intervention'!E11:E1083,"Black or African American",'Tier 3 Intervention'!N11:N1083,"Male")</f>
        <v>0</v>
      </c>
      <c r="Q29" s="154">
        <f>COUNTIFS('Tier 3 Intervention'!K11:K1083,"&gt;=14",'Tier 3 Intervention'!K11:K1083,"&lt;=14",'Tier 3 Intervention'!E11:E1083,"Black or African American",'Tier 3 Intervention'!N11:N1083,"Female")</f>
        <v>0</v>
      </c>
      <c r="R29" s="154">
        <f>COUNTIFS('Tier 3 Intervention'!K11:K1083,"&gt;=14",'Tier 3 Intervention'!K11:K1083,"&lt;=14",'Tier 3 Intervention'!E11:E1083,"Black or African American",'Tier 3 Intervention'!N11:N1083,"Other")</f>
        <v>0</v>
      </c>
      <c r="S29" s="154">
        <f>COUNTIFS('Tier 3 Intervention'!K11:K1083,"&gt;=14",'Tier 3 Intervention'!K11:K1083,"&lt;=14",'Tier 3 Intervention'!E11:E1083,"More than One Race",'Tier 3 Intervention'!N11:N1083,"Male")</f>
        <v>0</v>
      </c>
      <c r="T29" s="154">
        <f>COUNTIFS('Tier 3 Intervention'!K11:K1083,"&gt;=14",'Tier 3 Intervention'!K11:K1083,"&lt;=14",'Tier 3 Intervention'!E11:E1083,"More than One Race",'Tier 3 Intervention'!N11:N1083,"Female")</f>
        <v>0</v>
      </c>
      <c r="U29" s="154">
        <f>COUNTIFS('Tier 3 Intervention'!K11:K1083,"&gt;=14",'Tier 3 Intervention'!K11:K1083,"&lt;=14",'Tier 3 Intervention'!E11:E1083,"More than One Race",'Tier 3 Intervention'!N11:N1083,"Other")</f>
        <v>0</v>
      </c>
      <c r="V29" s="154">
        <f>COUNTIFS('Tier 3 Intervention'!K11:K1083,"&gt;=14",'Tier 3 Intervention'!K11:K1083,"&lt;=14",'Tier 3 Intervention'!E11:E1083,"Native Hawaiian",'Tier 3 Intervention'!N11:N1083,"Male")</f>
        <v>0</v>
      </c>
      <c r="W29" s="154">
        <f>COUNTIFS('Tier 3 Intervention'!K11:K1083,"&gt;=14",'Tier 3 Intervention'!K11:K1083,"&lt;=14",'Tier 3 Intervention'!E11:E1083,"Native Hawaiian",'Tier 3 Intervention'!N11:N1083,"Female")</f>
        <v>0</v>
      </c>
      <c r="X29" s="154">
        <f>COUNTIFS('Tier 3 Intervention'!K11:K1083,"&gt;=14",'Tier 3 Intervention'!K11:K1083,"&lt;=14",'Tier 3 Intervention'!E11:E1083,"Native Hawaiian",'Tier 3 Intervention'!N11:N1083,"Other")</f>
        <v>0</v>
      </c>
      <c r="Y29" s="154">
        <f>COUNTIFS('Tier 3 Intervention'!K11:K1083,"&gt;=14",'Tier 3 Intervention'!K11:K1083,"&lt;=14",'Tier 3 Intervention'!E11:E1083,"White - Caucasian",'Tier 3 Intervention'!N11:N1083,"Male")</f>
        <v>0</v>
      </c>
      <c r="Z29" s="154">
        <f>COUNTIFS('Tier 3 Intervention'!K11:K1083,"&gt;=14",'Tier 3 Intervention'!K11:K1083,"&lt;=14",'Tier 3 Intervention'!E11:E1083,"White - Caucasian",'Tier 3 Intervention'!N11:N1083,"Female")</f>
        <v>0</v>
      </c>
      <c r="AA29" s="154">
        <f>COUNTIFS('Tier 3 Intervention'!K11:K1083,"&gt;=14",'Tier 3 Intervention'!K11:K1083,"&lt;=14",'Tier 3 Intervention'!E11:E1083,"White - Caucasian",'Tier 3 Intervention'!N11:N1083,"Other")</f>
        <v>0</v>
      </c>
      <c r="AB29" s="154">
        <f>COUNTIFS('Tier 3 Intervention'!K11:K1083,"&gt;=14",'Tier 3 Intervention'!K11:K1083,"&lt;=14",'Tier 3 Intervention'!E11:E1083,"Unknown",'Tier 3 Intervention'!N11:N1083,"Male")</f>
        <v>0</v>
      </c>
      <c r="AC29" s="154">
        <f>COUNTIFS('Tier 3 Intervention'!K11:K1083,"&gt;=14",'Tier 3 Intervention'!K11:K1083,"&lt;=14",'Tier 3 Intervention'!E11:E1083,"Unknown",'Tier 3 Intervention'!N11:N1083,"Female")</f>
        <v>0</v>
      </c>
      <c r="AD29" s="154">
        <f>COUNTIFS('Tier 3 Intervention'!K11:K1083,"&gt;=14",'Tier 3 Intervention'!K11:K1083,"&lt;=14",'Tier 3 Intervention'!E11:E1083,"Unknown",'Tier 3 Intervention'!N11:N1083,"Other")</f>
        <v>0</v>
      </c>
      <c r="AE29" s="149">
        <f t="shared" si="1"/>
        <v>0</v>
      </c>
      <c r="AF29" s="154">
        <f>COUNTIFS('Tier 3 Intervention'!K11:K1083,"&gt;=14",'Tier 3 Intervention'!K11:K1083,"&lt;=14",'Tier 3 Intervention'!G11:G1083,"Hispanic - Latino",'Tier 3 Intervention'!N11:N1083,"Male")</f>
        <v>0</v>
      </c>
      <c r="AG29" s="154">
        <f>COUNTIFS('Tier 3 Intervention'!K11:K1083,"&gt;=14",'Tier 3 Intervention'!K11:K1083,"&lt;=14",'Tier 3 Intervention'!G11:G1083,"Hispanic - Latino",'Tier 3 Intervention'!N11:N1083,"Female")</f>
        <v>0</v>
      </c>
      <c r="AH29" s="154">
        <f>COUNTIFS('Tier 3 Intervention'!K11:K1083,"&gt;=14",'Tier 3 Intervention'!K11:K1083,"&lt;=14",'Tier 3 Intervention'!G11:G1083,"Hispanic - Latino",'Tier 3 Intervention'!N11:N1083,"Other")</f>
        <v>0</v>
      </c>
      <c r="AI29" s="154">
        <f>COUNTIFS('Tier 3 Intervention'!K11:K1083,"&gt;=14",'Tier 3 Intervention'!K11:K1083,"&lt;=14",'Tier 3 Intervention'!G11:G1083,"Not Hispanic - Latino",'Tier 3 Intervention'!N11:N1083,"Male")</f>
        <v>0</v>
      </c>
      <c r="AJ29" s="154">
        <f>COUNTIFS('Tier 3 Intervention'!K11:K1083,"&gt;=14",'Tier 3 Intervention'!K11:K1083,"&lt;=14",'Tier 3 Intervention'!G11:G1083,"Not Hispanic - Latino",'Tier 3 Intervention'!N11:N1083,"Female")</f>
        <v>0</v>
      </c>
      <c r="AK29" s="154">
        <f>COUNTIFS('Tier 3 Intervention'!K11:K1083,"&gt;=14",'Tier 3 Intervention'!K11:K1083,"&lt;=14",'Tier 3 Intervention'!G11:G1083,"Not Hispanic - Latino",'Tier 3 Intervention'!N11:N1083,"Other")</f>
        <v>0</v>
      </c>
      <c r="AL29" s="154">
        <f>COUNTIFS('Tier 3 Intervention'!K11:K1083,"&gt;=14",'Tier 3 Intervention'!K11:K1083,"&lt;=14",'Tier 3 Intervention'!G11:G1083,"Origin Unknown",'Tier 3 Intervention'!N11:N1083,"Male")</f>
        <v>0</v>
      </c>
      <c r="AM29" s="154">
        <f>COUNTIFS('Tier 3 Intervention'!K11:K1083,"&gt;=14",'Tier 3 Intervention'!K11:K1083,"&lt;=14",'Tier 3 Intervention'!G11:G1083,"Origin Unknown",'Tier 3 Intervention'!N11:N1083,"Female")</f>
        <v>0</v>
      </c>
      <c r="AN29" s="155">
        <f>COUNTIFS('Tier 3 Intervention'!K11:K1083,"&gt;=14",'Tier 3 Intervention'!K11:K1083,"&lt;=14",'Tier 3 Intervention'!G11:G1083,"Origin Unknown",'Tier 3 Intervention'!N11:N1083,"Other")</f>
        <v>0</v>
      </c>
      <c r="AO29" s="149">
        <f t="shared" si="0"/>
        <v>0</v>
      </c>
    </row>
    <row r="30" spans="1:41" x14ac:dyDescent="0.25">
      <c r="A30" s="846" t="s">
        <v>1100</v>
      </c>
      <c r="B30" s="847"/>
      <c r="C30" s="847"/>
      <c r="D30" s="847"/>
      <c r="E30" s="847"/>
      <c r="F30" s="847"/>
      <c r="G30" s="847"/>
      <c r="H30" s="847"/>
      <c r="I30" s="848"/>
      <c r="J30" s="115">
        <f>COUNTIFS('Tier 3 Intervention'!K11:K1083,"&gt;=15",'Tier 3 Intervention'!K11:K1083,"&lt;=15",'Tier 3 Intervention'!E11:E1083,"American Indian",'Tier 3 Intervention'!N11:N1083,"Male")</f>
        <v>0</v>
      </c>
      <c r="K30" s="115">
        <f>COUNTIFS('Tier 3 Intervention'!K11:K1083,"&gt;=15",'Tier 3 Intervention'!K11:K1083,"&lt;=15",'Tier 3 Intervention'!E11:E1083,"American Indian",'Tier 3 Intervention'!N11:N1083,"Female")</f>
        <v>0</v>
      </c>
      <c r="L30" s="115">
        <f>COUNTIFS('Tier 3 Intervention'!K11:K1083,"&gt;=15",'Tier 3 Intervention'!K11:K1083,"&lt;=15",'Tier 3 Intervention'!E11:E1083,"American Indian",'Tier 3 Intervention'!N11:N1083,"Other")</f>
        <v>0</v>
      </c>
      <c r="M30" s="115">
        <f>COUNTIFS('Tier 3 Intervention'!K11:K1083,"&gt;=15",'Tier 3 Intervention'!K11:K1083,"&lt;=15",'Tier 3 Intervention'!E11:E1083,"Asian",'Tier 3 Intervention'!N11:N1083,"Male")</f>
        <v>0</v>
      </c>
      <c r="N30" s="115">
        <f>COUNTIFS('Tier 3 Intervention'!K11:K1083,"&gt;=15",'Tier 3 Intervention'!K11:K1083,"&lt;=15",'Tier 3 Intervention'!E11:E1083,"Asian",'Tier 3 Intervention'!N11:N1083,"Female")</f>
        <v>0</v>
      </c>
      <c r="O30" s="115">
        <f>COUNTIFS('Tier 3 Intervention'!K11:K1083,"&gt;=15",'Tier 3 Intervention'!K11:K1083,"&lt;=15",'Tier 3 Intervention'!E11:E1083,"Asian",'Tier 3 Intervention'!N11:N1083,"Other")</f>
        <v>0</v>
      </c>
      <c r="P30" s="115">
        <f>COUNTIFS('Tier 3 Intervention'!K11:K1083,"&gt;=15",'Tier 3 Intervention'!K11:K1083,"&lt;=15",'Tier 3 Intervention'!E11:E1083,"Black or African American",'Tier 3 Intervention'!N11:N1083,"Male")</f>
        <v>0</v>
      </c>
      <c r="Q30" s="115">
        <f>COUNTIFS('Tier 3 Intervention'!K11:K1083,"&gt;=15",'Tier 3 Intervention'!K11:K1083,"&lt;=15",'Tier 3 Intervention'!E11:E1083,"Black or African American",'Tier 3 Intervention'!N11:N1083,"Female")</f>
        <v>0</v>
      </c>
      <c r="R30" s="115">
        <f>COUNTIFS('Tier 3 Intervention'!K11:K1083,"&gt;=15",'Tier 3 Intervention'!K11:K1083,"&lt;=15",'Tier 3 Intervention'!E11:E1083,"Black or African American",'Tier 3 Intervention'!N11:N1083,"Other")</f>
        <v>0</v>
      </c>
      <c r="S30" s="115">
        <f>COUNTIFS('Tier 3 Intervention'!K11:K1083,"&gt;=15",'Tier 3 Intervention'!K11:K1083,"&lt;=15",'Tier 3 Intervention'!E11:E1083,"More than One Race",'Tier 3 Intervention'!N11:N1083,"Male")</f>
        <v>0</v>
      </c>
      <c r="T30" s="115">
        <f>COUNTIFS('Tier 3 Intervention'!K11:K1083,"&gt;=15",'Tier 3 Intervention'!K11:K1083,"&lt;=15",'Tier 3 Intervention'!E11:E1083,"More than One Race",'Tier 3 Intervention'!N11:N1083,"Female")</f>
        <v>0</v>
      </c>
      <c r="U30" s="115">
        <f>COUNTIFS('Tier 3 Intervention'!K11:K1083,"&gt;=15",'Tier 3 Intervention'!K11:K1083,"&lt;=15",'Tier 3 Intervention'!E11:E1083,"More than One Race",'Tier 3 Intervention'!N11:N1083,"Other")</f>
        <v>0</v>
      </c>
      <c r="V30" s="115">
        <f>COUNTIFS('Tier 3 Intervention'!K11:K1083,"&gt;=15",'Tier 3 Intervention'!K11:K1083,"&lt;=15",'Tier 3 Intervention'!E11:E1083,"Native Hawaiian",'Tier 3 Intervention'!N11:N1083,"Male")</f>
        <v>0</v>
      </c>
      <c r="W30" s="115">
        <f>COUNTIFS('Tier 3 Intervention'!K11:K1083,"&gt;=15",'Tier 3 Intervention'!K11:K1083,"&lt;=15",'Tier 3 Intervention'!E11:E1083,"Native Hawaiian",'Tier 3 Intervention'!N11:N1083,"Female")</f>
        <v>0</v>
      </c>
      <c r="X30" s="115">
        <f>COUNTIFS('Tier 3 Intervention'!K11:K1083,"&gt;=15",'Tier 3 Intervention'!K11:K1083,"&lt;=15",'Tier 3 Intervention'!E11:E1083,"Native Hawaiian",'Tier 3 Intervention'!N11:N1083,"Other")</f>
        <v>0</v>
      </c>
      <c r="Y30" s="115">
        <f>COUNTIFS('Tier 3 Intervention'!K11:K1083,"&gt;=15",'Tier 3 Intervention'!K11:K1083,"&lt;=15",'Tier 3 Intervention'!E11:E1083,"White - Caucasian",'Tier 3 Intervention'!N11:N1083,"Male")</f>
        <v>0</v>
      </c>
      <c r="Z30" s="115">
        <f>COUNTIFS('Tier 3 Intervention'!K11:K1083,"&gt;=15",'Tier 3 Intervention'!K11:K1083,"&lt;=15",'Tier 3 Intervention'!E11:E1083,"White - Caucasian",'Tier 3 Intervention'!N11:N1083,"Female")</f>
        <v>0</v>
      </c>
      <c r="AA30" s="115">
        <f>COUNTIFS('Tier 3 Intervention'!K11:K1083,"&gt;=15",'Tier 3 Intervention'!K11:K1083,"&lt;=15",'Tier 3 Intervention'!E11:E1083,"White - Caucasian",'Tier 3 Intervention'!N11:N1083,"Other")</f>
        <v>0</v>
      </c>
      <c r="AB30" s="115">
        <f>COUNTIFS('Tier 3 Intervention'!K11:K1083,"&gt;=15",'Tier 3 Intervention'!K11:K1083,"&lt;=15",'Tier 3 Intervention'!E11:E1083,"Unknown",'Tier 3 Intervention'!N11:N1083,"Male")</f>
        <v>0</v>
      </c>
      <c r="AC30" s="115">
        <f>COUNTIFS('Tier 3 Intervention'!K11:K1083,"&gt;=15",'Tier 3 Intervention'!K11:K1083,"&lt;=15",'Tier 3 Intervention'!E11:E1083,"Unknown",'Tier 3 Intervention'!N11:N1083,"Female")</f>
        <v>0</v>
      </c>
      <c r="AD30" s="115">
        <f>COUNTIFS('Tier 3 Intervention'!K11:K1083,"&gt;=15",'Tier 3 Intervention'!K11:K1083,"&lt;=15",'Tier 3 Intervention'!E11:E1083,"Unknown",'Tier 3 Intervention'!N11:N1083,"Other")</f>
        <v>0</v>
      </c>
      <c r="AE30" s="149">
        <f t="shared" si="1"/>
        <v>0</v>
      </c>
      <c r="AF30" s="115">
        <f>COUNTIFS('Tier 3 Intervention'!K11:K1083,"&gt;=15",'Tier 3 Intervention'!K11:K1083,"&lt;=15",'Tier 3 Intervention'!G11:G1083,"Hispanic - Latino",'Tier 3 Intervention'!N11:N1083,"Male")</f>
        <v>0</v>
      </c>
      <c r="AG30" s="115">
        <f>COUNTIFS('Tier 3 Intervention'!K11:K1083,"&gt;=15",'Tier 3 Intervention'!K11:K1083,"&lt;=15",'Tier 3 Intervention'!G11:G1083,"Hispanic - Latino",'Tier 3 Intervention'!N11:N1083,"Female")</f>
        <v>0</v>
      </c>
      <c r="AH30" s="115">
        <f>COUNTIFS('Tier 3 Intervention'!K11:K1083,"&gt;=15",'Tier 3 Intervention'!K11:K1083,"&lt;=15",'Tier 3 Intervention'!G11:G1083,"Hispanic - Latino",'Tier 3 Intervention'!N11:N1083,"Other")</f>
        <v>0</v>
      </c>
      <c r="AI30" s="115">
        <f>COUNTIFS('Tier 3 Intervention'!K11:K1083,"&gt;=15",'Tier 3 Intervention'!K11:K1083,"&lt;=15",'Tier 3 Intervention'!G11:G1083,"Not Hispanic - Latino",'Tier 3 Intervention'!N11:N1083,"Male")</f>
        <v>0</v>
      </c>
      <c r="AJ30" s="115">
        <f>COUNTIFS('Tier 3 Intervention'!K11:K1083,"&gt;=15",'Tier 3 Intervention'!K11:K1083,"&lt;=15",'Tier 3 Intervention'!G11:G1083,"Not Hispanic - Latino",'Tier 3 Intervention'!N11:N1083,"Female")</f>
        <v>0</v>
      </c>
      <c r="AK30" s="115">
        <f>COUNTIFS('Tier 3 Intervention'!K11:K1083,"&gt;=15",'Tier 3 Intervention'!K11:K1083,"&lt;=15",'Tier 3 Intervention'!G11:G1083,"Not Hispanic - Latino",'Tier 3 Intervention'!N11:N1083,"Other")</f>
        <v>0</v>
      </c>
      <c r="AL30" s="115">
        <f>COUNTIFS('Tier 3 Intervention'!K11:K1083,"&gt;=15",'Tier 3 Intervention'!K11:K1083,"&lt;=15",'Tier 3 Intervention'!G11:G1083,"Origin Unknown",'Tier 3 Intervention'!N11:N1083,"Male")</f>
        <v>0</v>
      </c>
      <c r="AM30" s="115">
        <f>COUNTIFS('Tier 3 Intervention'!K11:K1083,"&gt;=15",'Tier 3 Intervention'!K11:K1083,"&lt;=15",'Tier 3 Intervention'!G11:G1083,"Origin Unknown",'Tier 3 Intervention'!N11:N1083,"Female")</f>
        <v>0</v>
      </c>
      <c r="AN30" s="118">
        <f>COUNTIFS('Tier 3 Intervention'!K11:K1083,"&gt;=15",'Tier 3 Intervention'!K11:K1083,"&lt;=15",'Tier 3 Intervention'!G11:G1083,"Origin Unknown",'Tier 3 Intervention'!N11:N1083,"Other")</f>
        <v>0</v>
      </c>
      <c r="AO30" s="149">
        <f t="shared" si="0"/>
        <v>0</v>
      </c>
    </row>
    <row r="31" spans="1:41" x14ac:dyDescent="0.25">
      <c r="A31" s="849" t="s">
        <v>1101</v>
      </c>
      <c r="B31" s="850"/>
      <c r="C31" s="850"/>
      <c r="D31" s="850"/>
      <c r="E31" s="850"/>
      <c r="F31" s="850"/>
      <c r="G31" s="850"/>
      <c r="H31" s="850"/>
      <c r="I31" s="851"/>
      <c r="J31" s="154">
        <f>COUNTIFS('Tier 3 Intervention'!K11:K1083,"&gt;=16",'Tier 3 Intervention'!K11:K1083,"&lt;=16",'Tier 3 Intervention'!E11:E1083,"American Indian",'Tier 3 Intervention'!N11:N1083,"Male")</f>
        <v>0</v>
      </c>
      <c r="K31" s="154">
        <f>COUNTIFS('Tier 3 Intervention'!K11:K1083,"&gt;=16",'Tier 3 Intervention'!K11:K1083,"&lt;=16",'Tier 3 Intervention'!E11:E1083,"American Indian",'Tier 3 Intervention'!N11:N1083,"Female")</f>
        <v>0</v>
      </c>
      <c r="L31" s="154">
        <f>COUNTIFS('Tier 3 Intervention'!K11:K1083,"&gt;=16",'Tier 3 Intervention'!K11:K1083,"&lt;=16",'Tier 3 Intervention'!E11:E1083,"American Indian",'Tier 3 Intervention'!N11:N1083,"Other")</f>
        <v>0</v>
      </c>
      <c r="M31" s="154">
        <f>COUNTIFS('Tier 3 Intervention'!K11:K1083,"&gt;=16",'Tier 3 Intervention'!K11:K1083,"&lt;=16",'Tier 3 Intervention'!E11:E1083,"Asian",'Tier 3 Intervention'!N11:N1083,"Male")</f>
        <v>0</v>
      </c>
      <c r="N31" s="154">
        <f>COUNTIFS('Tier 3 Intervention'!K11:K1083,"&gt;=16",'Tier 3 Intervention'!K11:K1083,"&lt;=16",'Tier 3 Intervention'!E11:E1083,"Asian",'Tier 3 Intervention'!N11:N1083,"Female")</f>
        <v>0</v>
      </c>
      <c r="O31" s="154">
        <f>COUNTIFS('Tier 3 Intervention'!K11:K1083,"&gt;=16",'Tier 3 Intervention'!K11:K1083,"&lt;=16",'Tier 3 Intervention'!E11:E1083,"Asian",'Tier 3 Intervention'!N11:N1083,"Other")</f>
        <v>0</v>
      </c>
      <c r="P31" s="154">
        <f>COUNTIFS('Tier 3 Intervention'!K11:K1083,"&gt;=16",'Tier 3 Intervention'!K11:K1083,"&lt;=16",'Tier 3 Intervention'!E11:E1083,"Black or African American",'Tier 3 Intervention'!N11:N1083,"Male")</f>
        <v>0</v>
      </c>
      <c r="Q31" s="154">
        <f>COUNTIFS('Tier 3 Intervention'!K11:K1083,"&gt;=16",'Tier 3 Intervention'!K11:K1083,"&lt;=16",'Tier 3 Intervention'!E11:E1083,"Black or African American",'Tier 3 Intervention'!N11:N1083,"Female")</f>
        <v>0</v>
      </c>
      <c r="R31" s="154">
        <f>COUNTIFS('Tier 3 Intervention'!K11:K1083,"&gt;=16",'Tier 3 Intervention'!K11:K1083,"&lt;=16",'Tier 3 Intervention'!E11:E1083,"Black or African American",'Tier 3 Intervention'!N11:N1083,"Other")</f>
        <v>0</v>
      </c>
      <c r="S31" s="154">
        <f>COUNTIFS('Tier 3 Intervention'!K11:K1083,"&gt;=16",'Tier 3 Intervention'!K11:K1083,"&lt;=16",'Tier 3 Intervention'!E11:E1083,"More than One Race",'Tier 3 Intervention'!N11:N1083,"Male")</f>
        <v>0</v>
      </c>
      <c r="T31" s="154">
        <f>COUNTIFS('Tier 3 Intervention'!K11:K1083,"&gt;=16",'Tier 3 Intervention'!K11:K1083,"&lt;=16",'Tier 3 Intervention'!E11:E1083,"More than One Race",'Tier 3 Intervention'!N11:N1083,"Female")</f>
        <v>0</v>
      </c>
      <c r="U31" s="154">
        <f>COUNTIFS('Tier 3 Intervention'!K11:K1083,"&gt;=16",'Tier 3 Intervention'!K11:K1083,"&lt;=16",'Tier 3 Intervention'!E11:E1083,"More than One Race",'Tier 3 Intervention'!N11:N1083,"Other")</f>
        <v>0</v>
      </c>
      <c r="V31" s="154">
        <f>COUNTIFS('Tier 3 Intervention'!K11:K1083,"&gt;=16",'Tier 3 Intervention'!K11:K1083,"&lt;=16",'Tier 3 Intervention'!E11:E1083,"Native Hawaiian",'Tier 3 Intervention'!N11:N1083,"Male")</f>
        <v>0</v>
      </c>
      <c r="W31" s="154">
        <f>COUNTIFS('Tier 3 Intervention'!K11:K1083,"&gt;=16",'Tier 3 Intervention'!K11:K1083,"&lt;=16",'Tier 3 Intervention'!E11:E1083,"Native Hawaiian",'Tier 3 Intervention'!N11:N1083,"Female")</f>
        <v>0</v>
      </c>
      <c r="X31" s="154">
        <f>COUNTIFS('Tier 3 Intervention'!K11:K1083,"&gt;=16",'Tier 3 Intervention'!K11:K1083,"&lt;=16",'Tier 3 Intervention'!E11:E1083,"Native Hawaiian",'Tier 3 Intervention'!N11:N1083,"Other")</f>
        <v>0</v>
      </c>
      <c r="Y31" s="154">
        <f>COUNTIFS('Tier 3 Intervention'!K11:K1083,"&gt;=16",'Tier 3 Intervention'!K11:K1083,"&lt;=16",'Tier 3 Intervention'!E11:E1083,"White - Caucasian",'Tier 3 Intervention'!N11:N1083,"Male")</f>
        <v>0</v>
      </c>
      <c r="Z31" s="154">
        <f>COUNTIFS('Tier 3 Intervention'!K11:K1083,"&gt;=16",'Tier 3 Intervention'!K11:K1083,"&lt;=16",'Tier 3 Intervention'!E11:E1083,"White - Caucasian",'Tier 3 Intervention'!N11:N1083,"Female")</f>
        <v>0</v>
      </c>
      <c r="AA31" s="154">
        <f>COUNTIFS('Tier 3 Intervention'!K11:K1083,"&gt;=16",'Tier 3 Intervention'!K11:K1083,"&lt;=16",'Tier 3 Intervention'!E11:E1083,"White - Caucasian",'Tier 3 Intervention'!N11:N1083,"Other")</f>
        <v>0</v>
      </c>
      <c r="AB31" s="154">
        <f>COUNTIFS('Tier 3 Intervention'!K11:K1083,"&gt;=16",'Tier 3 Intervention'!K11:K1083,"&lt;=16",'Tier 3 Intervention'!E11:E1083,"Unknown",'Tier 3 Intervention'!N11:N1083,"Male")</f>
        <v>0</v>
      </c>
      <c r="AC31" s="154">
        <f>COUNTIFS('Tier 3 Intervention'!K11:K1083,"&gt;=16",'Tier 3 Intervention'!K11:K1083,"&lt;=16",'Tier 3 Intervention'!E11:E1083,"Unknown",'Tier 3 Intervention'!N11:N1083,"Female")</f>
        <v>0</v>
      </c>
      <c r="AD31" s="154">
        <f>COUNTIFS('Tier 3 Intervention'!K11:K1083,"&gt;=16",'Tier 3 Intervention'!K11:K1083,"&lt;=16",'Tier 3 Intervention'!E11:E1083,"Unknown",'Tier 3 Intervention'!N11:N1083,"Other")</f>
        <v>0</v>
      </c>
      <c r="AE31" s="149">
        <f t="shared" si="1"/>
        <v>0</v>
      </c>
      <c r="AF31" s="154">
        <f>COUNTIFS('Tier 3 Intervention'!K11:K1083,"&gt;=16",'Tier 3 Intervention'!K11:K1083,"&lt;=16",'Tier 3 Intervention'!G11:G1083,"Hispanic - Latino",'Tier 3 Intervention'!N11:N1083,"Male")</f>
        <v>0</v>
      </c>
      <c r="AG31" s="154">
        <f>COUNTIFS('Tier 3 Intervention'!K11:K1083,"&gt;=16",'Tier 3 Intervention'!K11:K1083,"&lt;=16",'Tier 3 Intervention'!G11:G1083,"Hispanic - Latino",'Tier 3 Intervention'!N11:N1083,"Female")</f>
        <v>0</v>
      </c>
      <c r="AH31" s="154">
        <f>COUNTIFS('Tier 3 Intervention'!K11:K1083,"&gt;=16",'Tier 3 Intervention'!K11:K1083,"&lt;=16",'Tier 3 Intervention'!G11:G1083,"Hispanic - Latino",'Tier 3 Intervention'!N11:N1083,"Other")</f>
        <v>0</v>
      </c>
      <c r="AI31" s="154">
        <f>COUNTIFS('Tier 3 Intervention'!K11:K1083,"&gt;=16",'Tier 3 Intervention'!K11:K1083,"&lt;=16",'Tier 3 Intervention'!G11:G1083,"Not Hispanic - Latino",'Tier 3 Intervention'!N11:N1083,"Male")</f>
        <v>0</v>
      </c>
      <c r="AJ31" s="154">
        <f>COUNTIFS('Tier 3 Intervention'!K11:K1083,"&gt;=16",'Tier 3 Intervention'!K11:K1083,"&lt;=16",'Tier 3 Intervention'!G11:G1083,"Not Hispanic - Latino",'Tier 3 Intervention'!N11:N1083,"Female")</f>
        <v>0</v>
      </c>
      <c r="AK31" s="154">
        <f>COUNTIFS('Tier 3 Intervention'!K11:K1083,"&gt;=16",'Tier 3 Intervention'!K11:K1083,"&lt;=16",'Tier 3 Intervention'!G11:G1083,"Not Hispanic - Latino",'Tier 3 Intervention'!N11:N1083,"Other")</f>
        <v>0</v>
      </c>
      <c r="AL31" s="154">
        <f>COUNTIFS('Tier 3 Intervention'!K11:K1083,"&gt;=16",'Tier 3 Intervention'!K11:K1083,"&lt;=16",'Tier 3 Intervention'!G11:G1083,"Origin Unknown",'Tier 3 Intervention'!N11:N1083,"Male")</f>
        <v>0</v>
      </c>
      <c r="AM31" s="154">
        <f>COUNTIFS('Tier 3 Intervention'!K11:K1083,"&gt;=16",'Tier 3 Intervention'!K11:K1083,"&lt;=16",'Tier 3 Intervention'!G11:G1083,"Origin Unknown",'Tier 3 Intervention'!N11:N1083,"Female")</f>
        <v>0</v>
      </c>
      <c r="AN31" s="155">
        <f>COUNTIFS('Tier 3 Intervention'!K11:K1083,"&gt;=16",'Tier 3 Intervention'!K11:K1083,"&lt;=16",'Tier 3 Intervention'!G11:G1083,"Origin Unknown",'Tier 3 Intervention'!N11:N1083,"Other")</f>
        <v>0</v>
      </c>
      <c r="AO31" s="149">
        <f t="shared" si="0"/>
        <v>0</v>
      </c>
    </row>
    <row r="32" spans="1:41" x14ac:dyDescent="0.25">
      <c r="A32" s="846" t="s">
        <v>1102</v>
      </c>
      <c r="B32" s="847"/>
      <c r="C32" s="847"/>
      <c r="D32" s="847"/>
      <c r="E32" s="847"/>
      <c r="F32" s="847"/>
      <c r="G32" s="847"/>
      <c r="H32" s="847"/>
      <c r="I32" s="848"/>
      <c r="J32" s="115">
        <f>COUNTIFS('Tier 3 Intervention'!K11:K1083,"&gt;=17",'Tier 3 Intervention'!K11:K1083,"&lt;=17",'Tier 3 Intervention'!E11:E1083,"American Indian",'Tier 3 Intervention'!N11:N1083,"Male")</f>
        <v>0</v>
      </c>
      <c r="K32" s="115">
        <f>COUNTIFS('Tier 3 Intervention'!K11:K1083,"&gt;=17",'Tier 3 Intervention'!K11:K1083,"&lt;=17",'Tier 3 Intervention'!E11:E1083,"American Indian",'Tier 3 Intervention'!N11:N1083,"Female")</f>
        <v>0</v>
      </c>
      <c r="L32" s="115">
        <f>COUNTIFS('Tier 3 Intervention'!K11:K1083,"&gt;=17",'Tier 3 Intervention'!K11:K1083,"&lt;=17",'Tier 3 Intervention'!E11:E1083,"American Indian",'Tier 3 Intervention'!N11:N1083,"Other")</f>
        <v>0</v>
      </c>
      <c r="M32" s="115">
        <f>COUNTIFS('Tier 3 Intervention'!K11:K1083,"&gt;=17",'Tier 3 Intervention'!K11:K1083,"&lt;=17",'Tier 3 Intervention'!E11:E1083,"Asian",'Tier 3 Intervention'!N11:N1083,"Male")</f>
        <v>0</v>
      </c>
      <c r="N32" s="115">
        <f>COUNTIFS('Tier 3 Intervention'!K11:K1083,"&gt;=17",'Tier 3 Intervention'!K11:K1083,"&lt;=17",'Tier 3 Intervention'!E11:E1083,"Asian",'Tier 3 Intervention'!N11:N1083,"Female")</f>
        <v>0</v>
      </c>
      <c r="O32" s="115">
        <f>COUNTIFS('Tier 3 Intervention'!K11:K1083,"&gt;=17",'Tier 3 Intervention'!K11:K1083,"&lt;=17",'Tier 3 Intervention'!E11:E1083,"Asian",'Tier 3 Intervention'!N11:N1083,"Other")</f>
        <v>0</v>
      </c>
      <c r="P32" s="115">
        <f>COUNTIFS('Tier 3 Intervention'!K11:K1083,"&gt;=17",'Tier 3 Intervention'!K11:K1083,"&lt;=17",'Tier 3 Intervention'!E11:E1083,"Black or African American",'Tier 3 Intervention'!N11:N1083,"Male")</f>
        <v>0</v>
      </c>
      <c r="Q32" s="115">
        <f>COUNTIFS('Tier 3 Intervention'!K11:K1083,"&gt;=17",'Tier 3 Intervention'!K11:K1083,"&lt;=17",'Tier 3 Intervention'!E11:E1083,"Black or African American",'Tier 3 Intervention'!N11:N1083,"Female")</f>
        <v>0</v>
      </c>
      <c r="R32" s="115">
        <f>COUNTIFS('Tier 3 Intervention'!K11:K1083,"&gt;=17",'Tier 3 Intervention'!K11:K1083,"&lt;=17",'Tier 3 Intervention'!E11:E1083,"Black or African American",'Tier 3 Intervention'!N11:N1083,"Other")</f>
        <v>0</v>
      </c>
      <c r="S32" s="115">
        <f>COUNTIFS('Tier 3 Intervention'!K11:K1083,"&gt;=17",'Tier 3 Intervention'!K11:K1083,"&lt;=17",'Tier 3 Intervention'!E11:E1083,"More than One Race",'Tier 3 Intervention'!N11:N1083,"Male")</f>
        <v>0</v>
      </c>
      <c r="T32" s="115">
        <f>COUNTIFS('Tier 3 Intervention'!K11:K1083,"&gt;=17",'Tier 3 Intervention'!K11:K1083,"&lt;=17",'Tier 3 Intervention'!E11:E1083,"More than One Race",'Tier 3 Intervention'!N11:N1083,"Female")</f>
        <v>0</v>
      </c>
      <c r="U32" s="115">
        <f>COUNTIFS('Tier 3 Intervention'!K11:K1083,"&gt;=17",'Tier 3 Intervention'!K11:K1083,"&lt;=17",'Tier 3 Intervention'!E11:E1083,"More than One Race",'Tier 3 Intervention'!N11:N1083,"Other")</f>
        <v>0</v>
      </c>
      <c r="V32" s="115">
        <f>COUNTIFS('Tier 3 Intervention'!K11:K1083,"&gt;=17",'Tier 3 Intervention'!K11:K1083,"&lt;=17",'Tier 3 Intervention'!E11:E1083,"Native Hawaiian",'Tier 3 Intervention'!N11:N1083,"Male")</f>
        <v>0</v>
      </c>
      <c r="W32" s="115">
        <f>COUNTIFS('Tier 3 Intervention'!K11:K1083,"&gt;=17",'Tier 3 Intervention'!K11:K1083,"&lt;=17",'Tier 3 Intervention'!E11:E1083,"Native Hawaiian",'Tier 3 Intervention'!N11:N1083,"Female")</f>
        <v>0</v>
      </c>
      <c r="X32" s="115">
        <f>COUNTIFS('Tier 3 Intervention'!K11:K1083,"&gt;=17",'Tier 3 Intervention'!K11:K1083,"&lt;=17",'Tier 3 Intervention'!E11:E1083,"Native Hawaiian",'Tier 3 Intervention'!N11:N1083,"Other")</f>
        <v>0</v>
      </c>
      <c r="Y32" s="115">
        <f>COUNTIFS('Tier 3 Intervention'!K11:K1083,"&gt;=17",'Tier 3 Intervention'!K11:K1083,"&lt;=17",'Tier 3 Intervention'!E11:E1083,"White - Caucasian",'Tier 3 Intervention'!N11:N1083,"Male")</f>
        <v>0</v>
      </c>
      <c r="Z32" s="115">
        <f>COUNTIFS('Tier 3 Intervention'!K11:K1083,"&gt;=17",'Tier 3 Intervention'!K11:K1083,"&lt;=17",'Tier 3 Intervention'!E11:E1083,"White - Caucasian",'Tier 3 Intervention'!N11:N1083,"Female")</f>
        <v>0</v>
      </c>
      <c r="AA32" s="115">
        <f>COUNTIFS('Tier 3 Intervention'!K11:K1083,"&gt;=17",'Tier 3 Intervention'!K11:K1083,"&lt;=17",'Tier 3 Intervention'!E11:E1083,"White - Caucasian",'Tier 3 Intervention'!N11:N1083,"Other")</f>
        <v>0</v>
      </c>
      <c r="AB32" s="115">
        <f>COUNTIFS('Tier 3 Intervention'!K11:K1083,"&gt;=17",'Tier 3 Intervention'!K11:K1083,"&lt;=17",'Tier 3 Intervention'!E11:E1083,"Unknown",'Tier 3 Intervention'!N11:N1083,"Male")</f>
        <v>0</v>
      </c>
      <c r="AC32" s="115">
        <f>COUNTIFS('Tier 3 Intervention'!K11:K1083,"&gt;=17",'Tier 3 Intervention'!K11:K1083,"&lt;=17",'Tier 3 Intervention'!E11:E1083,"Unknown",'Tier 3 Intervention'!N11:N1083,"Female")</f>
        <v>0</v>
      </c>
      <c r="AD32" s="115">
        <f>COUNTIFS('Tier 3 Intervention'!K11:K1083,"&gt;=17",'Tier 3 Intervention'!K11:K1083,"&lt;=17",'Tier 3 Intervention'!E11:E1083,"Unknown",'Tier 3 Intervention'!N11:N1083,"Other")</f>
        <v>0</v>
      </c>
      <c r="AE32" s="149">
        <f t="shared" si="1"/>
        <v>0</v>
      </c>
      <c r="AF32" s="115">
        <f>COUNTIFS('Tier 3 Intervention'!K11:K1083,"&gt;=17",'Tier 3 Intervention'!K11:K1083,"&lt;=17",'Tier 3 Intervention'!G11:G1083,"Hispanic - Latino",'Tier 3 Intervention'!N11:N1083,"Male")</f>
        <v>0</v>
      </c>
      <c r="AG32" s="115">
        <f>COUNTIFS('Tier 3 Intervention'!K11:K1083,"&gt;=17",'Tier 3 Intervention'!K11:K1083,"&lt;=17",'Tier 3 Intervention'!G11:G1083,"Hispanic - Latino",'Tier 3 Intervention'!N11:N1083,"Female")</f>
        <v>0</v>
      </c>
      <c r="AH32" s="115">
        <f>COUNTIFS('Tier 3 Intervention'!K11:K1083,"&gt;=17",'Tier 3 Intervention'!K11:K1083,"&lt;=17",'Tier 3 Intervention'!G11:G1083,"Hispanic - Latino",'Tier 3 Intervention'!N11:N1083,"Other")</f>
        <v>0</v>
      </c>
      <c r="AI32" s="115">
        <f>COUNTIFS('Tier 3 Intervention'!K11:K1083,"&gt;=17",'Tier 3 Intervention'!K11:K1083,"&lt;=17",'Tier 3 Intervention'!G11:G1083,"Not Hispanic - Latino",'Tier 3 Intervention'!N11:N1083,"Male")</f>
        <v>0</v>
      </c>
      <c r="AJ32" s="115">
        <f>COUNTIFS('Tier 3 Intervention'!K11:K1083,"&gt;=17",'Tier 3 Intervention'!K11:K1083,"&lt;=17",'Tier 3 Intervention'!G11:G1083,"Not Hispanic - Latino",'Tier 3 Intervention'!N11:N1083,"Female")</f>
        <v>0</v>
      </c>
      <c r="AK32" s="115">
        <f>COUNTIFS('Tier 3 Intervention'!K11:K1083,"&gt;=17",'Tier 3 Intervention'!K11:K1083,"&lt;=17",'Tier 3 Intervention'!G11:G1083,"Not Hispanic - Latino",'Tier 3 Intervention'!N11:N1083,"Other")</f>
        <v>0</v>
      </c>
      <c r="AL32" s="115">
        <f>COUNTIFS('Tier 3 Intervention'!K11:K1083,"&gt;=17",'Tier 3 Intervention'!K11:K1083,"&lt;=17",'Tier 3 Intervention'!G11:G1083,"Origin Unknown",'Tier 3 Intervention'!N11:N1083,"Male")</f>
        <v>0</v>
      </c>
      <c r="AM32" s="115">
        <f>COUNTIFS('Tier 3 Intervention'!K11:K1083,"&gt;=17",'Tier 3 Intervention'!K11:K1083,"&lt;=17",'Tier 3 Intervention'!G11:G1083,"Origin Unknown",'Tier 3 Intervention'!N11:N1083,"Female")</f>
        <v>0</v>
      </c>
      <c r="AN32" s="118">
        <f>COUNTIFS('Tier 3 Intervention'!K11:K1083,"&gt;=17",'Tier 3 Intervention'!K11:K1083,"&lt;=17",'Tier 3 Intervention'!G11:G1083,"Origin Unknown",'Tier 3 Intervention'!N11:N1083,"Other")</f>
        <v>0</v>
      </c>
      <c r="AO32" s="149">
        <f t="shared" si="0"/>
        <v>0</v>
      </c>
    </row>
    <row r="33" spans="1:41" x14ac:dyDescent="0.25">
      <c r="A33" s="849" t="s">
        <v>1103</v>
      </c>
      <c r="B33" s="850"/>
      <c r="C33" s="850"/>
      <c r="D33" s="850"/>
      <c r="E33" s="850"/>
      <c r="F33" s="850"/>
      <c r="G33" s="850"/>
      <c r="H33" s="850"/>
      <c r="I33" s="851"/>
      <c r="J33" s="154">
        <f>COUNTIFS('Tier 3 Intervention'!K11:K1083,"&gt;=18",'Tier 3 Intervention'!K11:K1083,"&lt;=18",'Tier 3 Intervention'!E11:E1083,"American Indian",'Tier 3 Intervention'!N11:N1083,"Male")</f>
        <v>0</v>
      </c>
      <c r="K33" s="154">
        <f>COUNTIFS('Tier 3 Intervention'!K11:K1083,"&gt;=18",'Tier 3 Intervention'!K11:K1083,"&lt;=18",'Tier 3 Intervention'!E11:E1083,"American Indian",'Tier 3 Intervention'!N11:N1083,"Female")</f>
        <v>0</v>
      </c>
      <c r="L33" s="154">
        <f>COUNTIFS('Tier 3 Intervention'!K11:K1083,"&gt;=18",'Tier 3 Intervention'!K11:K1083,"&lt;=18",'Tier 3 Intervention'!E11:E1083,"American Indian",'Tier 3 Intervention'!N11:N1083,"Other")</f>
        <v>0</v>
      </c>
      <c r="M33" s="154">
        <f>COUNTIFS('Tier 3 Intervention'!K11:K1083,"&gt;=18",'Tier 3 Intervention'!K11:K1083,"&lt;=18",'Tier 3 Intervention'!E11:E1083,"Asian",'Tier 3 Intervention'!N11:N1083,"Male")</f>
        <v>0</v>
      </c>
      <c r="N33" s="154">
        <f>COUNTIFS('Tier 3 Intervention'!K11:K1083,"&gt;=18",'Tier 3 Intervention'!K11:K1083,"&lt;=18",'Tier 3 Intervention'!E11:E1083,"Asian",'Tier 3 Intervention'!N11:N1083,"Female")</f>
        <v>0</v>
      </c>
      <c r="O33" s="154">
        <f>COUNTIFS('Tier 3 Intervention'!K11:K1083,"&gt;=18",'Tier 3 Intervention'!K11:K1083,"&lt;=18",'Tier 3 Intervention'!E11:E1083,"Asian",'Tier 3 Intervention'!N11:N1083,"Other")</f>
        <v>0</v>
      </c>
      <c r="P33" s="154">
        <f>COUNTIFS('Tier 3 Intervention'!K11:K1083,"&gt;=18",'Tier 3 Intervention'!K11:K1083,"&lt;=18",'Tier 3 Intervention'!E11:E1083,"Black or African American",'Tier 3 Intervention'!N11:N1083,"Male")</f>
        <v>0</v>
      </c>
      <c r="Q33" s="154">
        <f>COUNTIFS('Tier 3 Intervention'!K11:K1083,"&gt;=18",'Tier 3 Intervention'!K11:K1083,"&lt;=18",'Tier 3 Intervention'!E11:E1083,"Black or African American",'Tier 3 Intervention'!N11:N1083,"Female")</f>
        <v>0</v>
      </c>
      <c r="R33" s="154">
        <f>COUNTIFS('Tier 3 Intervention'!K11:K1083,"&gt;=18",'Tier 3 Intervention'!K11:K1083,"&lt;=18",'Tier 3 Intervention'!E11:E1083,"Black or African American",'Tier 3 Intervention'!N11:N1083,"Other")</f>
        <v>0</v>
      </c>
      <c r="S33" s="154">
        <f>COUNTIFS('Tier 3 Intervention'!K11:K1083,"&gt;=18",'Tier 3 Intervention'!K11:K1083,"&lt;=18",'Tier 3 Intervention'!E11:E1083,"More than One Race",'Tier 3 Intervention'!N11:N1083,"Male")</f>
        <v>0</v>
      </c>
      <c r="T33" s="154">
        <f>COUNTIFS('Tier 3 Intervention'!K11:K1083,"&gt;=18",'Tier 3 Intervention'!K11:K1083,"&lt;=18",'Tier 3 Intervention'!E11:E1083,"More than One Race",'Tier 3 Intervention'!N11:N1083,"Female")</f>
        <v>0</v>
      </c>
      <c r="U33" s="154">
        <f>COUNTIFS('Tier 3 Intervention'!K11:K1083,"&gt;=18",'Tier 3 Intervention'!K11:K1083,"&lt;=18",'Tier 3 Intervention'!E11:E1083,"More than One Race",'Tier 3 Intervention'!N11:N1083,"Other")</f>
        <v>0</v>
      </c>
      <c r="V33" s="154">
        <f>COUNTIFS('Tier 3 Intervention'!K11:K1083,"&gt;=18",'Tier 3 Intervention'!K11:K1083,"&lt;=18",'Tier 3 Intervention'!E11:E1083,"Native Hawaiian",'Tier 3 Intervention'!N11:N1083,"Male")</f>
        <v>0</v>
      </c>
      <c r="W33" s="154">
        <f>COUNTIFS('Tier 3 Intervention'!K11:K1083,"&gt;=18",'Tier 3 Intervention'!K11:K1083,"&lt;=18",'Tier 3 Intervention'!E11:E1083,"Native Hawaiian",'Tier 3 Intervention'!N11:N1083,"Female")</f>
        <v>0</v>
      </c>
      <c r="X33" s="154">
        <f>COUNTIFS('Tier 3 Intervention'!K11:K1083,"&gt;=18",'Tier 3 Intervention'!K11:K1083,"&lt;=18",'Tier 3 Intervention'!E11:E1083,"Native Hawaiian",'Tier 3 Intervention'!N11:N1083,"Other")</f>
        <v>0</v>
      </c>
      <c r="Y33" s="154">
        <f>COUNTIFS('Tier 3 Intervention'!K11:K1083,"&gt;=18",'Tier 3 Intervention'!K11:K1083,"&lt;=18",'Tier 3 Intervention'!E11:E1083,"White - Caucasian",'Tier 3 Intervention'!N11:N1083,"Male")</f>
        <v>0</v>
      </c>
      <c r="Z33" s="154">
        <f>COUNTIFS('Tier 3 Intervention'!K11:K1083,"&gt;=18",'Tier 3 Intervention'!K11:K1083,"&lt;=18",'Tier 3 Intervention'!E11:E1083,"White - Caucasian",'Tier 3 Intervention'!N11:N1083,"Female")</f>
        <v>0</v>
      </c>
      <c r="AA33" s="154">
        <f>COUNTIFS('Tier 3 Intervention'!K11:K1083,"&gt;=18",'Tier 3 Intervention'!K11:K1083,"&lt;=18",'Tier 3 Intervention'!E11:E1083,"White - Caucasian",'Tier 3 Intervention'!N11:N1083,"Other")</f>
        <v>0</v>
      </c>
      <c r="AB33" s="154">
        <f>COUNTIFS('Tier 3 Intervention'!K11:K1083,"&gt;=18",'Tier 3 Intervention'!K11:K1083,"&lt;=18",'Tier 3 Intervention'!E11:E1083,"Unknown",'Tier 3 Intervention'!N11:N1083,"Male")</f>
        <v>0</v>
      </c>
      <c r="AC33" s="154">
        <f>COUNTIFS('Tier 3 Intervention'!K11:K1083,"&gt;=18",'Tier 3 Intervention'!K11:K1083,"&lt;=18",'Tier 3 Intervention'!E11:E1083,"Unknown",'Tier 3 Intervention'!N11:N1083,"Female")</f>
        <v>0</v>
      </c>
      <c r="AD33" s="154">
        <f>COUNTIFS('Tier 3 Intervention'!K11:K1083,"&gt;=18",'Tier 3 Intervention'!K11:K1083,"&lt;=18",'Tier 3 Intervention'!E11:E1083,"Unknown",'Tier 3 Intervention'!N11:N1083,"Other")</f>
        <v>0</v>
      </c>
      <c r="AE33" s="149">
        <f t="shared" si="1"/>
        <v>0</v>
      </c>
      <c r="AF33" s="154">
        <f>COUNTIFS('Tier 3 Intervention'!K11:K1083,"&gt;=18",'Tier 3 Intervention'!K11:K1083,"&lt;=18",'Tier 3 Intervention'!G11:G1083,"Hispanic - Latino",'Tier 3 Intervention'!N11:N1083,"Male")</f>
        <v>0</v>
      </c>
      <c r="AG33" s="154">
        <f>COUNTIFS('Tier 3 Intervention'!K11:K1083,"&gt;=18",'Tier 3 Intervention'!K11:K1083,"&lt;=18",'Tier 3 Intervention'!G11:G1083,"Hispanic - Latino",'Tier 3 Intervention'!N11:N1083,"Female")</f>
        <v>0</v>
      </c>
      <c r="AH33" s="154">
        <f>COUNTIFS('Tier 3 Intervention'!K11:K1083,"&gt;=18",'Tier 3 Intervention'!K11:K1083,"&lt;=18",'Tier 3 Intervention'!G11:G1083,"Hispanic - Latino",'Tier 3 Intervention'!N11:N1083,"Other")</f>
        <v>0</v>
      </c>
      <c r="AI33" s="154">
        <f>COUNTIFS('Tier 3 Intervention'!K11:K1083,"&gt;=18",'Tier 3 Intervention'!K11:K1083,"&lt;=18",'Tier 3 Intervention'!G11:G1083,"Not Hispanic - Latino",'Tier 3 Intervention'!N11:N1083,"Male")</f>
        <v>0</v>
      </c>
      <c r="AJ33" s="154">
        <f>COUNTIFS('Tier 3 Intervention'!K11:K1083,"&gt;=18",'Tier 3 Intervention'!K11:K1083,"&lt;=18",'Tier 3 Intervention'!G11:G1083,"Not Hispanic - Latino",'Tier 3 Intervention'!N11:N1083,"Female")</f>
        <v>0</v>
      </c>
      <c r="AK33" s="154">
        <f>COUNTIFS('Tier 3 Intervention'!K11:K1083,"&gt;=18",'Tier 3 Intervention'!K11:K1083,"&lt;=18",'Tier 3 Intervention'!G11:G1083,"Not Hispanic - Latino",'Tier 3 Intervention'!N11:N1083,"Other")</f>
        <v>0</v>
      </c>
      <c r="AL33" s="154">
        <f>COUNTIFS('Tier 3 Intervention'!K11:K1083,"&gt;=18",'Tier 3 Intervention'!K11:K1083,"&lt;=18",'Tier 3 Intervention'!G11:G1083,"Origin Unknown",'Tier 3 Intervention'!N11:N1083,"Male")</f>
        <v>0</v>
      </c>
      <c r="AM33" s="154">
        <f>COUNTIFS('Tier 3 Intervention'!K11:K1083,"&gt;=18",'Tier 3 Intervention'!K11:K1083,"&lt;=18",'Tier 3 Intervention'!G11:G1083,"Origin Unknown",'Tier 3 Intervention'!N11:N1083,"Female")</f>
        <v>0</v>
      </c>
      <c r="AN33" s="155">
        <f>COUNTIFS('Tier 3 Intervention'!K11:K1083,"&gt;=18",'Tier 3 Intervention'!K11:K1083,"&lt;=18",'Tier 3 Intervention'!G11:G1083,"Origin Unknown",'Tier 3 Intervention'!N11:N1083,"Other")</f>
        <v>0</v>
      </c>
      <c r="AO33" s="149">
        <f t="shared" si="0"/>
        <v>0</v>
      </c>
    </row>
    <row r="34" spans="1:41" x14ac:dyDescent="0.25">
      <c r="A34" s="846" t="s">
        <v>1104</v>
      </c>
      <c r="B34" s="847"/>
      <c r="C34" s="847"/>
      <c r="D34" s="847"/>
      <c r="E34" s="847"/>
      <c r="F34" s="847"/>
      <c r="G34" s="847"/>
      <c r="H34" s="847"/>
      <c r="I34" s="848"/>
      <c r="J34" s="115">
        <f>COUNTIFS('Tier 3 Intervention'!K11:K1083,"&gt;=19",'Tier 3 Intervention'!K11:K1083,"&lt;=19",'Tier 3 Intervention'!E11:E1083,"American Indian",'Tier 3 Intervention'!N11:N1083,"Male")</f>
        <v>0</v>
      </c>
      <c r="K34" s="115">
        <f>COUNTIFS('Tier 3 Intervention'!K11:K1083,"&gt;=19",'Tier 3 Intervention'!K11:K1083,"&lt;=19",'Tier 3 Intervention'!E11:E1083,"American Indian",'Tier 3 Intervention'!N11:N1083,"Female")</f>
        <v>0</v>
      </c>
      <c r="L34" s="115">
        <f>COUNTIFS('Tier 3 Intervention'!K11:K1083,"&gt;=19",'Tier 3 Intervention'!K11:K1083,"&lt;=19",'Tier 3 Intervention'!E11:E1083,"American Indian",'Tier 3 Intervention'!N11:N1083,"Other")</f>
        <v>0</v>
      </c>
      <c r="M34" s="115">
        <f>COUNTIFS('Tier 3 Intervention'!K11:K1083,"&gt;=19",'Tier 3 Intervention'!K11:K1083,"&lt;=19",'Tier 3 Intervention'!E11:E1083,"Asian",'Tier 3 Intervention'!N11:N1083,"Male")</f>
        <v>0</v>
      </c>
      <c r="N34" s="115">
        <f>COUNTIFS('Tier 3 Intervention'!K11:K1083,"&gt;=18",'Tier 3 Intervention'!K11:K1083,"&lt;=18",'Tier 3 Intervention'!E11:E1083,"Asian",'Tier 3 Intervention'!N11:N1083,"Female")</f>
        <v>0</v>
      </c>
      <c r="O34" s="115">
        <f>COUNTIFS('Tier 3 Intervention'!K11:K1083,"&gt;=18",'Tier 3 Intervention'!K11:K1083,"&lt;=18",'Tier 3 Intervention'!E11:E1083,"Asian",'Tier 3 Intervention'!N11:N1083,"Other")</f>
        <v>0</v>
      </c>
      <c r="P34" s="115">
        <f>COUNTIFS('Tier 3 Intervention'!K11:K1083,"&gt;=19",'Tier 3 Intervention'!K11:K1083,"&lt;=19",'Tier 3 Intervention'!E11:E1083,"Black or African American",'Tier 3 Intervention'!N11:N1083,"Male")</f>
        <v>0</v>
      </c>
      <c r="Q34" s="115">
        <f>COUNTIFS('Tier 3 Intervention'!K11:K1083,"&gt;=19",'Tier 3 Intervention'!K11:K1083,"&lt;=19",'Tier 3 Intervention'!E11:E1083,"Black or African American",'Tier 3 Intervention'!N11:N1083,"Female")</f>
        <v>0</v>
      </c>
      <c r="R34" s="115">
        <f>COUNTIFS('Tier 3 Intervention'!K11:K1083,"&gt;=19",'Tier 3 Intervention'!K11:K1083,"&lt;=19",'Tier 3 Intervention'!E11:E1083,"Black or African American",'Tier 3 Intervention'!N11:N1083,"Other")</f>
        <v>0</v>
      </c>
      <c r="S34" s="115">
        <f>COUNTIFS('Tier 3 Intervention'!K11:K1083,"&gt;=19",'Tier 3 Intervention'!K11:K1083,"&lt;=19",'Tier 3 Intervention'!E11:E1083,"More than One Race",'Tier 3 Intervention'!N11:N1083,"Male")</f>
        <v>0</v>
      </c>
      <c r="T34" s="115">
        <f>COUNTIFS('Tier 3 Intervention'!K11:K1083,"&gt;=19",'Tier 3 Intervention'!K11:K1083,"&lt;=19",'Tier 3 Intervention'!E11:E1083,"More than One Race",'Tier 3 Intervention'!N11:N1083,"Female")</f>
        <v>0</v>
      </c>
      <c r="U34" s="115">
        <f>COUNTIFS('Tier 3 Intervention'!K11:K1083,"&gt;=19",'Tier 3 Intervention'!K11:K1083,"&lt;=19",'Tier 3 Intervention'!E11:E1083,"More than One Race",'Tier 3 Intervention'!N11:N1083,"Other")</f>
        <v>0</v>
      </c>
      <c r="V34" s="115">
        <f>COUNTIFS('Tier 3 Intervention'!K11:K1083,"&gt;=19",'Tier 3 Intervention'!K11:K1083,"&lt;=19",'Tier 3 Intervention'!E11:E1083,"Native Hawaiian",'Tier 3 Intervention'!N11:N1083,"Male")</f>
        <v>0</v>
      </c>
      <c r="W34" s="115">
        <f>COUNTIFS('Tier 3 Intervention'!K11:K1083,"&gt;=19",'Tier 3 Intervention'!K11:K1083,"&lt;=19",'Tier 3 Intervention'!E11:E1083,"Native Hawaiian",'Tier 3 Intervention'!N11:N1083,"Female")</f>
        <v>0</v>
      </c>
      <c r="X34" s="115">
        <f>COUNTIFS('Tier 3 Intervention'!K11:K1083,"&gt;=19",'Tier 3 Intervention'!K11:K1083,"&lt;=19",'Tier 3 Intervention'!E11:E1083,"Native Hawaiian",'Tier 3 Intervention'!N11:N1083,"Other")</f>
        <v>0</v>
      </c>
      <c r="Y34" s="115">
        <f>COUNTIFS('Tier 3 Intervention'!K11:K1083,"&gt;=19",'Tier 3 Intervention'!K11:K1083,"&lt;=19",'Tier 3 Intervention'!E11:E1083,"White - Caucasian",'Tier 3 Intervention'!N11:N1083,"Male")</f>
        <v>0</v>
      </c>
      <c r="Z34" s="115">
        <f>COUNTIFS('Tier 3 Intervention'!K11:K1083,"&gt;=19",'Tier 3 Intervention'!K11:K1083,"&lt;=19",'Tier 3 Intervention'!E11:E1083,"White - Caucasian",'Tier 3 Intervention'!N11:N1083,"Female")</f>
        <v>0</v>
      </c>
      <c r="AA34" s="115">
        <f>COUNTIFS('Tier 3 Intervention'!K11:K1083,"&gt;=19",'Tier 3 Intervention'!K11:K1083,"&lt;=19",'Tier 3 Intervention'!E11:E1083,"White - Caucasian",'Tier 3 Intervention'!N11:N1083,"Other")</f>
        <v>0</v>
      </c>
      <c r="AB34" s="115">
        <f>COUNTIFS('Tier 3 Intervention'!K11:K1083,"&gt;=19",'Tier 3 Intervention'!K11:K1083,"&lt;=19",'Tier 3 Intervention'!E11:E1083,"Unknown",'Tier 3 Intervention'!N11:N1083,"Male")</f>
        <v>0</v>
      </c>
      <c r="AC34" s="115">
        <f>COUNTIFS('Tier 3 Intervention'!K11:K1083,"&gt;=19",'Tier 3 Intervention'!K11:K1083,"&lt;=19",'Tier 3 Intervention'!E11:E1083,"Unknown",'Tier 3 Intervention'!N11:N1083,"Female")</f>
        <v>0</v>
      </c>
      <c r="AD34" s="115">
        <f>COUNTIFS('Tier 3 Intervention'!K11:K1083,"&gt;=19",'Tier 3 Intervention'!K11:K1083,"&lt;=19",'Tier 3 Intervention'!E11:E1083,"Unknown",'Tier 3 Intervention'!N11:N1083,"Other")</f>
        <v>0</v>
      </c>
      <c r="AE34" s="149">
        <f t="shared" si="1"/>
        <v>0</v>
      </c>
      <c r="AF34" s="115">
        <f>COUNTIFS('Tier 3 Intervention'!K11:K1083,"&gt;=19",'Tier 3 Intervention'!K11:K1083,"&lt;=19",'Tier 3 Intervention'!G11:G1083,"Hispanic - Latino",'Tier 3 Intervention'!N11:N1083,"Male")</f>
        <v>0</v>
      </c>
      <c r="AG34" s="115">
        <f>COUNTIFS('Tier 3 Intervention'!K11:K1083,"&gt;=19",'Tier 3 Intervention'!K11:K1083,"&lt;=19",'Tier 3 Intervention'!G11:G1083,"Hispanic - Latino",'Tier 3 Intervention'!N11:N1083,"Female")</f>
        <v>0</v>
      </c>
      <c r="AH34" s="115">
        <f>COUNTIFS('Tier 3 Intervention'!K11:K1083,"&gt;=19",'Tier 3 Intervention'!K11:K1083,"&lt;=19",'Tier 3 Intervention'!G11:G1083,"Hispanic - Latino",'Tier 3 Intervention'!N11:N1083,"Other")</f>
        <v>0</v>
      </c>
      <c r="AI34" s="115">
        <f>COUNTIFS('Tier 3 Intervention'!K11:K1083,"&gt;=19",'Tier 3 Intervention'!K11:K1083,"&lt;=19",'Tier 3 Intervention'!G11:G1083,"Not Hispanic - Latino",'Tier 3 Intervention'!N11:N1083,"Male")</f>
        <v>0</v>
      </c>
      <c r="AJ34" s="115">
        <f>COUNTIFS('Tier 3 Intervention'!K11:K1083,"&gt;=19",'Tier 3 Intervention'!K11:K1083,"&lt;=19",'Tier 3 Intervention'!G11:G1083,"Not Hispanic - Latino",'Tier 3 Intervention'!N11:N1083,"Female")</f>
        <v>0</v>
      </c>
      <c r="AK34" s="115">
        <f>COUNTIFS('Tier 3 Intervention'!K11:K1083,"&gt;=19",'Tier 3 Intervention'!K11:K1083,"&lt;=19",'Tier 3 Intervention'!G11:G1083,"Not Hispanic - Latino",'Tier 3 Intervention'!N11:N1083,"Other")</f>
        <v>0</v>
      </c>
      <c r="AL34" s="115">
        <f>COUNTIFS('Tier 3 Intervention'!K11:K1083,"&gt;=19",'Tier 3 Intervention'!K11:K1083,"&lt;=19",'Tier 3 Intervention'!G11:G1083,"Origin Unknown",'Tier 3 Intervention'!N11:N1083,"Male")</f>
        <v>0</v>
      </c>
      <c r="AM34" s="115">
        <f>COUNTIFS('Tier 3 Intervention'!K11:K1083,"&gt;=19",'Tier 3 Intervention'!K11:K1083,"&lt;=19",'Tier 3 Intervention'!G11:G1083,"Origin Unknown",'Tier 3 Intervention'!N11:N1083,"Female")</f>
        <v>0</v>
      </c>
      <c r="AN34" s="118">
        <f>COUNTIFS('Tier 3 Intervention'!K11:K1083,"&gt;=19",'Tier 3 Intervention'!K11:K1083,"&lt;=19",'Tier 3 Intervention'!G11:G1083,"Origin Unknown",'Tier 3 Intervention'!N11:N1083,"Other")</f>
        <v>0</v>
      </c>
      <c r="AO34" s="149">
        <f t="shared" si="0"/>
        <v>0</v>
      </c>
    </row>
    <row r="35" spans="1:41" x14ac:dyDescent="0.25">
      <c r="A35" s="111"/>
      <c r="B35" s="112"/>
      <c r="C35" s="112"/>
      <c r="D35" s="112"/>
      <c r="E35" s="112"/>
      <c r="F35" s="112"/>
      <c r="G35" s="112"/>
      <c r="H35" s="112"/>
      <c r="I35" s="113"/>
      <c r="J35" s="114"/>
      <c r="K35" s="114"/>
      <c r="L35" s="114"/>
      <c r="M35" s="114"/>
      <c r="N35" s="114"/>
      <c r="O35" s="114"/>
      <c r="P35" s="114"/>
      <c r="Q35" s="114"/>
      <c r="R35" s="114"/>
      <c r="S35" s="114"/>
      <c r="T35" s="114"/>
      <c r="U35" s="114"/>
      <c r="V35" s="114"/>
      <c r="W35" s="114"/>
      <c r="X35" s="114"/>
      <c r="Y35" s="114"/>
      <c r="Z35" s="114"/>
      <c r="AA35" s="114"/>
      <c r="AB35" s="114"/>
      <c r="AC35" s="114"/>
      <c r="AD35" s="114"/>
      <c r="AE35" s="150"/>
      <c r="AF35" s="114"/>
      <c r="AG35" s="114"/>
      <c r="AH35" s="114"/>
      <c r="AI35" s="114"/>
      <c r="AJ35" s="114"/>
      <c r="AK35" s="114"/>
      <c r="AL35" s="114"/>
      <c r="AM35" s="114"/>
      <c r="AN35" s="114"/>
      <c r="AO35" s="149"/>
    </row>
    <row r="36" spans="1:41" x14ac:dyDescent="0.25">
      <c r="A36" s="852" t="s">
        <v>228</v>
      </c>
      <c r="B36" s="853"/>
      <c r="C36" s="853"/>
      <c r="D36" s="853"/>
      <c r="E36" s="853"/>
      <c r="F36" s="853"/>
      <c r="G36" s="853"/>
      <c r="H36" s="854"/>
      <c r="I36" s="149"/>
      <c r="J36" s="149">
        <f t="shared" ref="J36:AO36" si="2">SUM(J19:J35)</f>
        <v>0</v>
      </c>
      <c r="K36" s="149">
        <f t="shared" si="2"/>
        <v>0</v>
      </c>
      <c r="L36" s="149">
        <f t="shared" si="2"/>
        <v>0</v>
      </c>
      <c r="M36" s="149">
        <f t="shared" si="2"/>
        <v>0</v>
      </c>
      <c r="N36" s="149">
        <f t="shared" si="2"/>
        <v>0</v>
      </c>
      <c r="O36" s="149">
        <f t="shared" si="2"/>
        <v>0</v>
      </c>
      <c r="P36" s="149">
        <f t="shared" si="2"/>
        <v>0</v>
      </c>
      <c r="Q36" s="149">
        <f t="shared" si="2"/>
        <v>0</v>
      </c>
      <c r="R36" s="149">
        <f t="shared" si="2"/>
        <v>0</v>
      </c>
      <c r="S36" s="149">
        <f t="shared" si="2"/>
        <v>0</v>
      </c>
      <c r="T36" s="149">
        <f t="shared" si="2"/>
        <v>0</v>
      </c>
      <c r="U36" s="149">
        <f t="shared" si="2"/>
        <v>0</v>
      </c>
      <c r="V36" s="149">
        <f t="shared" si="2"/>
        <v>0</v>
      </c>
      <c r="W36" s="149">
        <f t="shared" si="2"/>
        <v>0</v>
      </c>
      <c r="X36" s="149">
        <f t="shared" si="2"/>
        <v>0</v>
      </c>
      <c r="Y36" s="149">
        <f t="shared" si="2"/>
        <v>0</v>
      </c>
      <c r="Z36" s="149">
        <f t="shared" si="2"/>
        <v>0</v>
      </c>
      <c r="AA36" s="149">
        <f t="shared" si="2"/>
        <v>0</v>
      </c>
      <c r="AB36" s="149">
        <f t="shared" si="2"/>
        <v>0</v>
      </c>
      <c r="AC36" s="149">
        <f t="shared" si="2"/>
        <v>0</v>
      </c>
      <c r="AD36" s="149">
        <f t="shared" si="2"/>
        <v>0</v>
      </c>
      <c r="AE36" s="149">
        <f t="shared" si="2"/>
        <v>0</v>
      </c>
      <c r="AF36" s="149">
        <f t="shared" si="2"/>
        <v>0</v>
      </c>
      <c r="AG36" s="149">
        <f t="shared" si="2"/>
        <v>0</v>
      </c>
      <c r="AH36" s="149">
        <f t="shared" si="2"/>
        <v>0</v>
      </c>
      <c r="AI36" s="149">
        <f t="shared" si="2"/>
        <v>0</v>
      </c>
      <c r="AJ36" s="149">
        <f t="shared" si="2"/>
        <v>0</v>
      </c>
      <c r="AK36" s="149">
        <f t="shared" si="2"/>
        <v>0</v>
      </c>
      <c r="AL36" s="149">
        <f t="shared" si="2"/>
        <v>0</v>
      </c>
      <c r="AM36" s="149">
        <f t="shared" si="2"/>
        <v>0</v>
      </c>
      <c r="AN36" s="149">
        <f t="shared" si="2"/>
        <v>0</v>
      </c>
      <c r="AO36" s="149">
        <f t="shared" si="2"/>
        <v>0</v>
      </c>
    </row>
    <row r="38" spans="1:41" ht="30" customHeight="1" x14ac:dyDescent="0.25">
      <c r="A38" s="842" t="s">
        <v>1105</v>
      </c>
      <c r="B38" s="843"/>
      <c r="C38" s="843"/>
      <c r="D38" s="843"/>
      <c r="E38" s="844"/>
      <c r="F38" s="98"/>
      <c r="G38" s="802" t="s">
        <v>211</v>
      </c>
      <c r="H38" s="802"/>
      <c r="I38" s="802"/>
      <c r="J38" s="802"/>
      <c r="K38" s="98"/>
      <c r="L38" s="841" t="s">
        <v>1106</v>
      </c>
      <c r="M38" s="841"/>
      <c r="N38" s="841"/>
      <c r="O38" s="841"/>
      <c r="P38" s="146"/>
      <c r="Q38" s="841" t="s">
        <v>1107</v>
      </c>
      <c r="R38" s="841"/>
      <c r="S38" s="841"/>
      <c r="T38" s="841"/>
      <c r="V38" s="841" t="s">
        <v>1108</v>
      </c>
      <c r="W38" s="841"/>
      <c r="X38" s="841"/>
      <c r="Y38" s="841" t="s">
        <v>1109</v>
      </c>
      <c r="Z38" s="841"/>
      <c r="AA38" s="841"/>
      <c r="AB38" s="841"/>
      <c r="AC38" s="841" t="s">
        <v>1110</v>
      </c>
      <c r="AD38" s="841"/>
      <c r="AE38" s="841"/>
      <c r="AF38" s="841"/>
      <c r="AG38" s="98"/>
      <c r="AI38" s="98"/>
      <c r="AJ38" s="98"/>
      <c r="AL38" s="98"/>
      <c r="AM38" s="98"/>
      <c r="AO38" s="98"/>
    </row>
    <row r="39" spans="1:41" x14ac:dyDescent="0.25">
      <c r="A39" s="837" t="s">
        <v>268</v>
      </c>
      <c r="B39" s="837"/>
      <c r="C39" s="837"/>
      <c r="D39" s="795">
        <v>0</v>
      </c>
      <c r="E39" s="795"/>
      <c r="F39" s="98"/>
      <c r="G39" s="845" t="s">
        <v>279</v>
      </c>
      <c r="H39" s="845"/>
      <c r="I39" s="795">
        <f>COUNTIFS('Tier 3 Intervention'!V11:V1083,"Yes")</f>
        <v>0</v>
      </c>
      <c r="J39" s="795"/>
      <c r="K39" s="98"/>
      <c r="L39" s="837" t="s">
        <v>279</v>
      </c>
      <c r="M39" s="837"/>
      <c r="N39" s="795">
        <f>COUNTIFS('Tier 3 Intervention'!P11:P1083,"Yes")</f>
        <v>0</v>
      </c>
      <c r="O39" s="795"/>
      <c r="P39" s="98"/>
      <c r="Q39" s="837" t="s">
        <v>279</v>
      </c>
      <c r="R39" s="837"/>
      <c r="S39" s="795">
        <f>COUNTIFS('Tier 3 Intervention'!R11:R1083,"Yes")</f>
        <v>0</v>
      </c>
      <c r="T39" s="795"/>
      <c r="V39" s="837" t="s">
        <v>279</v>
      </c>
      <c r="W39" s="837"/>
      <c r="X39" s="837"/>
      <c r="Y39" s="795">
        <f>COUNTIFS('Tier 3 Intervention'!Z11:Z1083,"Yes")</f>
        <v>0</v>
      </c>
      <c r="Z39" s="795"/>
      <c r="AA39" s="795"/>
      <c r="AB39" s="795"/>
      <c r="AC39" s="795">
        <f>COUNTIFS('Tier 3 Intervention'!BW11:BW1083,"Yes")</f>
        <v>0</v>
      </c>
      <c r="AD39" s="795"/>
      <c r="AE39" s="795"/>
      <c r="AF39" s="795"/>
      <c r="AG39" s="98"/>
      <c r="AI39" s="98"/>
      <c r="AJ39" s="98"/>
      <c r="AL39" s="98"/>
      <c r="AM39" s="98"/>
      <c r="AO39" s="98"/>
    </row>
    <row r="40" spans="1:41" ht="15.75" thickBot="1" x14ac:dyDescent="0.3">
      <c r="A40" s="783" t="s">
        <v>1111</v>
      </c>
      <c r="B40" s="783"/>
      <c r="C40" s="783"/>
      <c r="D40" s="756">
        <f>COUNTIFS('Tier 3 Intervention'!T11:T1083,"Non-Medicaid Only")</f>
        <v>0</v>
      </c>
      <c r="E40" s="756"/>
      <c r="F40" s="98"/>
      <c r="G40" s="838" t="s">
        <v>270</v>
      </c>
      <c r="H40" s="838"/>
      <c r="I40" s="839">
        <f>COUNTIFS('Tier 3 Intervention'!V11:V1083,"No")</f>
        <v>0</v>
      </c>
      <c r="J40" s="839"/>
      <c r="K40" s="98"/>
      <c r="L40" s="783" t="s">
        <v>270</v>
      </c>
      <c r="M40" s="783"/>
      <c r="N40" s="756">
        <f>COUNTIFS('Tier 3 Intervention'!P11:P1083,"No")</f>
        <v>0</v>
      </c>
      <c r="O40" s="756"/>
      <c r="P40" s="98"/>
      <c r="Q40" s="838" t="s">
        <v>270</v>
      </c>
      <c r="R40" s="838"/>
      <c r="S40" s="839">
        <f>COUNTIFS('Tier 3 Intervention'!R11:R1083,"No")</f>
        <v>0</v>
      </c>
      <c r="T40" s="839"/>
      <c r="V40" s="838" t="s">
        <v>270</v>
      </c>
      <c r="W40" s="838"/>
      <c r="X40" s="838"/>
      <c r="Y40" s="839">
        <v>0</v>
      </c>
      <c r="Z40" s="839"/>
      <c r="AA40" s="839"/>
      <c r="AB40" s="839"/>
      <c r="AC40" s="839">
        <v>0</v>
      </c>
      <c r="AD40" s="839"/>
      <c r="AE40" s="839"/>
      <c r="AF40" s="839"/>
      <c r="AG40" s="98"/>
      <c r="AI40" s="98"/>
      <c r="AJ40" s="98"/>
      <c r="AL40" s="98"/>
      <c r="AM40" s="98"/>
      <c r="AO40" s="98"/>
    </row>
    <row r="41" spans="1:41" ht="15.75" thickBot="1" x14ac:dyDescent="0.3">
      <c r="A41" s="837" t="s">
        <v>1112</v>
      </c>
      <c r="B41" s="837"/>
      <c r="C41" s="837"/>
      <c r="D41" s="795">
        <f>COUNTIFS('Tier 3 Intervention'!T11:T1083,"Both")</f>
        <v>0</v>
      </c>
      <c r="E41" s="795"/>
      <c r="F41" s="98"/>
      <c r="G41" s="833" t="s">
        <v>161</v>
      </c>
      <c r="H41" s="833"/>
      <c r="I41" s="834">
        <f>SUM(I39:J40)</f>
        <v>0</v>
      </c>
      <c r="J41" s="834"/>
      <c r="K41" s="98"/>
      <c r="L41" s="840" t="s">
        <v>267</v>
      </c>
      <c r="M41" s="840"/>
      <c r="N41" s="784">
        <v>0</v>
      </c>
      <c r="O41" s="784"/>
      <c r="P41" s="98"/>
      <c r="Q41" s="833" t="s">
        <v>161</v>
      </c>
      <c r="R41" s="833"/>
      <c r="S41" s="834">
        <f>SUM(S39:T40)</f>
        <v>0</v>
      </c>
      <c r="T41" s="834"/>
      <c r="V41" s="833" t="s">
        <v>161</v>
      </c>
      <c r="W41" s="833"/>
      <c r="X41" s="833"/>
      <c r="Y41" s="834">
        <f>SUM(Y39:AB40)</f>
        <v>0</v>
      </c>
      <c r="Z41" s="834"/>
      <c r="AA41" s="834"/>
      <c r="AB41" s="834"/>
      <c r="AC41" s="834">
        <f>SUM(AC39:AF40)</f>
        <v>0</v>
      </c>
      <c r="AD41" s="834"/>
      <c r="AE41" s="834"/>
      <c r="AF41" s="834"/>
      <c r="AG41" s="98"/>
      <c r="AI41" s="98"/>
      <c r="AJ41" s="98"/>
      <c r="AL41" s="98"/>
      <c r="AM41" s="98"/>
      <c r="AO41" s="98"/>
    </row>
    <row r="42" spans="1:41" x14ac:dyDescent="0.25">
      <c r="A42" s="783" t="s">
        <v>1113</v>
      </c>
      <c r="B42" s="783"/>
      <c r="C42" s="783"/>
      <c r="D42" s="756">
        <f>COUNTIFS('Tier 3 Intervention'!T11:T1083,"Private Pay")</f>
        <v>0</v>
      </c>
      <c r="E42" s="756"/>
      <c r="F42" s="98"/>
      <c r="G42" s="98"/>
      <c r="H42" s="98"/>
      <c r="I42" s="98"/>
      <c r="J42" s="98"/>
      <c r="K42" s="98"/>
      <c r="L42" s="835" t="s">
        <v>1114</v>
      </c>
      <c r="M42" s="835"/>
      <c r="N42" s="836">
        <f>SUM(N39:O41)</f>
        <v>0</v>
      </c>
      <c r="O42" s="836"/>
      <c r="P42" s="98"/>
      <c r="Q42" s="98"/>
      <c r="S42" s="98"/>
      <c r="T42" s="98"/>
      <c r="V42" s="98"/>
      <c r="W42" s="98"/>
      <c r="Y42" s="98"/>
      <c r="Z42" s="98"/>
      <c r="AB42" s="98"/>
      <c r="AC42" s="98"/>
      <c r="AE42" s="98"/>
      <c r="AF42" s="98"/>
      <c r="AG42" s="98"/>
      <c r="AI42" s="98"/>
      <c r="AJ42" s="98"/>
      <c r="AL42" s="98"/>
      <c r="AM42" s="98"/>
      <c r="AO42" s="98"/>
    </row>
    <row r="43" spans="1:41" s="98" customFormat="1" x14ac:dyDescent="0.25">
      <c r="A43" s="837" t="s">
        <v>1115</v>
      </c>
      <c r="B43" s="837"/>
      <c r="C43" s="837"/>
      <c r="D43" s="795">
        <f>COUNTIFS('Tier 3 Intervention'!T12:T1084,"Not Known")</f>
        <v>0</v>
      </c>
      <c r="E43" s="795"/>
    </row>
    <row r="45" spans="1:41" ht="30.75" customHeight="1" x14ac:dyDescent="0.25">
      <c r="A45" s="841" t="s">
        <v>1116</v>
      </c>
      <c r="B45" s="841"/>
      <c r="C45" s="841"/>
      <c r="D45" s="841"/>
      <c r="E45" s="841"/>
      <c r="F45" s="841" t="s">
        <v>1117</v>
      </c>
      <c r="G45" s="841"/>
      <c r="H45" s="841"/>
      <c r="I45" s="841" t="s">
        <v>1118</v>
      </c>
      <c r="J45" s="841"/>
      <c r="K45" s="841"/>
      <c r="M45" s="802" t="s">
        <v>1119</v>
      </c>
      <c r="N45" s="802"/>
      <c r="O45" s="802"/>
      <c r="P45" s="802"/>
      <c r="Q45" s="802"/>
      <c r="R45" s="802" t="s">
        <v>1120</v>
      </c>
      <c r="S45" s="802"/>
      <c r="T45" s="802"/>
      <c r="V45" s="842" t="s">
        <v>252</v>
      </c>
      <c r="W45" s="843"/>
      <c r="X45" s="843"/>
      <c r="Y45" s="843"/>
      <c r="Z45" s="843"/>
      <c r="AA45" s="843"/>
      <c r="AB45" s="843"/>
      <c r="AC45" s="843"/>
      <c r="AD45" s="844"/>
      <c r="AE45" s="822" t="s">
        <v>1120</v>
      </c>
      <c r="AF45" s="823"/>
      <c r="AG45" s="98"/>
      <c r="AI45" s="98"/>
      <c r="AJ45" s="98"/>
      <c r="AL45" s="98"/>
      <c r="AM45" s="98"/>
      <c r="AO45" s="98"/>
    </row>
    <row r="46" spans="1:41" x14ac:dyDescent="0.25">
      <c r="A46" s="837" t="s">
        <v>1121</v>
      </c>
      <c r="B46" s="837"/>
      <c r="C46" s="837"/>
      <c r="D46" s="837"/>
      <c r="E46" s="837"/>
      <c r="F46" s="795">
        <f>COUNTIFS('Tier 3 Intervention'!W11:W1083,"Acute Hospital")</f>
        <v>0</v>
      </c>
      <c r="G46" s="795"/>
      <c r="H46" s="795"/>
      <c r="I46" s="795">
        <f>COUNTIFS('Tier 3 Intervention'!BV11:BV1083,"Acute Hospital")</f>
        <v>0</v>
      </c>
      <c r="J46" s="795"/>
      <c r="K46" s="795"/>
      <c r="M46" s="837" t="s">
        <v>1122</v>
      </c>
      <c r="N46" s="837"/>
      <c r="O46" s="837"/>
      <c r="P46" s="837"/>
      <c r="Q46" s="837"/>
      <c r="R46" s="795">
        <f>COUNTIFS('Tier 3 Intervention'!BR11:BR1083,"Graduated")</f>
        <v>0</v>
      </c>
      <c r="S46" s="795"/>
      <c r="T46" s="795"/>
      <c r="V46" s="799" t="s">
        <v>1123</v>
      </c>
      <c r="W46" s="800"/>
      <c r="X46" s="800"/>
      <c r="Y46" s="800"/>
      <c r="Z46" s="800"/>
      <c r="AA46" s="800"/>
      <c r="AB46" s="800"/>
      <c r="AC46" s="800"/>
      <c r="AD46" s="801"/>
      <c r="AE46" s="797">
        <f>COUNTIFS('Tier 3 Intervention'!BU11:BU1083,"Dropped out of treatment")</f>
        <v>0</v>
      </c>
      <c r="AF46" s="824"/>
      <c r="AG46" s="98"/>
      <c r="AI46" s="98"/>
      <c r="AJ46" s="98"/>
      <c r="AL46" s="98"/>
      <c r="AM46" s="98"/>
      <c r="AO46" s="98"/>
    </row>
    <row r="47" spans="1:41" x14ac:dyDescent="0.25">
      <c r="A47" s="783" t="s">
        <v>1124</v>
      </c>
      <c r="B47" s="783"/>
      <c r="C47" s="783"/>
      <c r="D47" s="783"/>
      <c r="E47" s="783"/>
      <c r="F47" s="756">
        <f>COUNTIFS('Tier 3 Intervention'!W11:W1083,"Friend")</f>
        <v>0</v>
      </c>
      <c r="G47" s="756"/>
      <c r="H47" s="756"/>
      <c r="I47" s="756">
        <f>COUNTIFS('Tier 3 Intervention'!BV11:BV1083,"Friend")</f>
        <v>0</v>
      </c>
      <c r="J47" s="756"/>
      <c r="K47" s="756"/>
      <c r="M47" s="783" t="s">
        <v>1125</v>
      </c>
      <c r="N47" s="783"/>
      <c r="O47" s="783"/>
      <c r="P47" s="783"/>
      <c r="Q47" s="783"/>
      <c r="R47" s="756">
        <f>COUNTIFS('Tier 3 Intervention'!BR11:BR1083,"GED")</f>
        <v>0</v>
      </c>
      <c r="S47" s="756"/>
      <c r="T47" s="756"/>
      <c r="V47" s="786" t="s">
        <v>1126</v>
      </c>
      <c r="W47" s="787"/>
      <c r="X47" s="787"/>
      <c r="Y47" s="787"/>
      <c r="Z47" s="787"/>
      <c r="AA47" s="787"/>
      <c r="AB47" s="787"/>
      <c r="AC47" s="787"/>
      <c r="AD47" s="788"/>
      <c r="AE47" s="798">
        <f>COUNTIFS('Tier 3 Intervention'!BU11:BU1083,"Graduated from school - refused to continue treatment")</f>
        <v>0</v>
      </c>
      <c r="AF47" s="825"/>
      <c r="AG47" s="98"/>
      <c r="AI47" s="98"/>
      <c r="AJ47" s="98"/>
      <c r="AL47" s="98"/>
      <c r="AM47" s="98"/>
      <c r="AO47" s="98"/>
    </row>
    <row r="48" spans="1:41" x14ac:dyDescent="0.25">
      <c r="A48" s="837" t="s">
        <v>276</v>
      </c>
      <c r="B48" s="837"/>
      <c r="C48" s="837"/>
      <c r="D48" s="837"/>
      <c r="E48" s="837"/>
      <c r="F48" s="795">
        <f>COUNTIFS('Tier 3 Intervention'!W11:W1083,"Foster Home")</f>
        <v>0</v>
      </c>
      <c r="G48" s="795"/>
      <c r="H48" s="795"/>
      <c r="I48" s="795">
        <v>0</v>
      </c>
      <c r="J48" s="795"/>
      <c r="K48" s="795"/>
      <c r="M48" s="837" t="s">
        <v>1127</v>
      </c>
      <c r="N48" s="837"/>
      <c r="O48" s="837"/>
      <c r="P48" s="837"/>
      <c r="Q48" s="837"/>
      <c r="R48" s="795">
        <f>COUNTIFS('Tier 3 Intervention'!BR11:BR1083,"Graudated modified diploma")</f>
        <v>0</v>
      </c>
      <c r="S48" s="795"/>
      <c r="T48" s="795"/>
      <c r="V48" s="799" t="s">
        <v>275</v>
      </c>
      <c r="W48" s="800"/>
      <c r="X48" s="800"/>
      <c r="Y48" s="800"/>
      <c r="Z48" s="800"/>
      <c r="AA48" s="800"/>
      <c r="AB48" s="800"/>
      <c r="AC48" s="800"/>
      <c r="AD48" s="801"/>
      <c r="AE48" s="797">
        <v>0</v>
      </c>
      <c r="AF48" s="824"/>
      <c r="AG48" s="98"/>
      <c r="AI48" s="98"/>
      <c r="AJ48" s="98"/>
      <c r="AL48" s="98"/>
      <c r="AM48" s="98"/>
      <c r="AO48" s="98"/>
    </row>
    <row r="49" spans="1:39" x14ac:dyDescent="0.25">
      <c r="A49" s="783" t="s">
        <v>269</v>
      </c>
      <c r="B49" s="783"/>
      <c r="C49" s="783"/>
      <c r="D49" s="783"/>
      <c r="E49" s="783"/>
      <c r="F49" s="756">
        <v>0</v>
      </c>
      <c r="G49" s="756"/>
      <c r="H49" s="756"/>
      <c r="I49" s="756">
        <f>COUNTIFS('Tier 3 Intervention'!BV11:BV1083,"Home w/parent or guardian")</f>
        <v>0</v>
      </c>
      <c r="J49" s="756"/>
      <c r="K49" s="756"/>
      <c r="M49" s="783" t="s">
        <v>1128</v>
      </c>
      <c r="N49" s="783"/>
      <c r="O49" s="783"/>
      <c r="P49" s="783"/>
      <c r="Q49" s="783"/>
      <c r="R49" s="756">
        <f>COUNTIFS('Tier 3 Intervention'!BR11:BR1083,"Moved to next grade")</f>
        <v>0</v>
      </c>
      <c r="S49" s="756"/>
      <c r="T49" s="756"/>
      <c r="V49" s="786" t="s">
        <v>1129</v>
      </c>
      <c r="W49" s="787"/>
      <c r="X49" s="787"/>
      <c r="Y49" s="787"/>
      <c r="Z49" s="787"/>
      <c r="AA49" s="787"/>
      <c r="AB49" s="787"/>
      <c r="AC49" s="787"/>
      <c r="AD49" s="788"/>
      <c r="AE49" s="798">
        <f>COUNTIFS('Tier 3 Intervention'!BU11:BU1083,"Placed in juvenile detention center")</f>
        <v>0</v>
      </c>
      <c r="AF49" s="825"/>
      <c r="AG49" s="98"/>
      <c r="AI49" s="98"/>
      <c r="AJ49" s="98"/>
      <c r="AL49" s="98"/>
      <c r="AM49" s="98"/>
    </row>
    <row r="50" spans="1:39" x14ac:dyDescent="0.25">
      <c r="A50" s="837" t="s">
        <v>1130</v>
      </c>
      <c r="B50" s="837"/>
      <c r="C50" s="837"/>
      <c r="D50" s="837"/>
      <c r="E50" s="837"/>
      <c r="F50" s="795">
        <f>COUNTIFS('Tier 3 Intervention'!W11:W1083,"Homeless")</f>
        <v>0</v>
      </c>
      <c r="G50" s="795"/>
      <c r="H50" s="795"/>
      <c r="I50" s="795">
        <f>COUNTIFS('Tier 3 Intervention'!BV11:BV1083,"Homeless")</f>
        <v>0</v>
      </c>
      <c r="J50" s="795"/>
      <c r="K50" s="795"/>
      <c r="M50" s="837" t="s">
        <v>1131</v>
      </c>
      <c r="N50" s="837"/>
      <c r="O50" s="837"/>
      <c r="P50" s="837"/>
      <c r="Q50" s="837"/>
      <c r="R50" s="795">
        <f>COUNTIFS('Tier 3 Intervention'!BR11:BR1083,"Retained")</f>
        <v>0</v>
      </c>
      <c r="S50" s="795"/>
      <c r="T50" s="795"/>
      <c r="V50" s="799" t="s">
        <v>1132</v>
      </c>
      <c r="W50" s="800"/>
      <c r="X50" s="800"/>
      <c r="Y50" s="800"/>
      <c r="Z50" s="800"/>
      <c r="AA50" s="800"/>
      <c r="AB50" s="800"/>
      <c r="AC50" s="800"/>
      <c r="AD50" s="801"/>
      <c r="AE50" s="797">
        <f>COUNTIFS('Tier 3 Intervention'!BU11:BU1083,"Successfully completed treatment")</f>
        <v>0</v>
      </c>
      <c r="AF50" s="824"/>
      <c r="AG50" s="98"/>
      <c r="AI50" s="98"/>
      <c r="AJ50" s="98"/>
      <c r="AL50" s="98"/>
      <c r="AM50" s="98"/>
    </row>
    <row r="51" spans="1:39" x14ac:dyDescent="0.25">
      <c r="A51" s="783" t="s">
        <v>273</v>
      </c>
      <c r="B51" s="783"/>
      <c r="C51" s="783"/>
      <c r="D51" s="783"/>
      <c r="E51" s="783"/>
      <c r="F51" s="756">
        <v>0</v>
      </c>
      <c r="G51" s="756"/>
      <c r="H51" s="756"/>
      <c r="I51" s="756">
        <f>COUNTIFS('Tier 3 Intervention'!BV11:BV1083,"Homeless Shelter")</f>
        <v>0</v>
      </c>
      <c r="J51" s="756"/>
      <c r="K51" s="756"/>
      <c r="M51" s="783" t="s">
        <v>1133</v>
      </c>
      <c r="N51" s="783"/>
      <c r="O51" s="783"/>
      <c r="P51" s="783"/>
      <c r="Q51" s="783"/>
      <c r="R51" s="756">
        <f>COUNTIFS('Tier 3 Intervention'!BR11:BR1083,"Dropped out")</f>
        <v>0</v>
      </c>
      <c r="S51" s="756"/>
      <c r="T51" s="756"/>
      <c r="V51" s="786" t="s">
        <v>1134</v>
      </c>
      <c r="W51" s="787"/>
      <c r="X51" s="787"/>
      <c r="Y51" s="787"/>
      <c r="Z51" s="787"/>
      <c r="AA51" s="787"/>
      <c r="AB51" s="787"/>
      <c r="AC51" s="787"/>
      <c r="AD51" s="788"/>
      <c r="AE51" s="798">
        <f>COUNTIFS('Tier 3 Intervention'!BU11:BU1083,"Transferred to another agency")</f>
        <v>0</v>
      </c>
      <c r="AF51" s="825"/>
      <c r="AG51" s="98"/>
      <c r="AI51" s="98"/>
      <c r="AJ51" s="98"/>
      <c r="AL51" s="98"/>
      <c r="AM51" s="98"/>
    </row>
    <row r="52" spans="1:39" x14ac:dyDescent="0.25">
      <c r="A52" s="837" t="s">
        <v>1135</v>
      </c>
      <c r="B52" s="837"/>
      <c r="C52" s="837"/>
      <c r="D52" s="837"/>
      <c r="E52" s="837"/>
      <c r="F52" s="795">
        <f>COUNTIFS('Tier 3 Intervention'!W11:W1083,"Juvenile Detention Facility")</f>
        <v>0</v>
      </c>
      <c r="G52" s="795"/>
      <c r="H52" s="795"/>
      <c r="I52" s="795">
        <f>COUNTIFS('Tier 3 Intervention'!BV11:BV1083,"Juvenile Detention Facility")</f>
        <v>0</v>
      </c>
      <c r="J52" s="795"/>
      <c r="K52" s="795"/>
      <c r="M52" s="837" t="s">
        <v>274</v>
      </c>
      <c r="N52" s="837"/>
      <c r="O52" s="837"/>
      <c r="P52" s="837"/>
      <c r="Q52" s="837"/>
      <c r="R52" s="795">
        <v>0</v>
      </c>
      <c r="S52" s="795"/>
      <c r="T52" s="795"/>
      <c r="V52" s="799" t="s">
        <v>1136</v>
      </c>
      <c r="W52" s="800"/>
      <c r="X52" s="800"/>
      <c r="Y52" s="800"/>
      <c r="Z52" s="800"/>
      <c r="AA52" s="800"/>
      <c r="AB52" s="800"/>
      <c r="AC52" s="800"/>
      <c r="AD52" s="801"/>
      <c r="AE52" s="797">
        <f>COUNTIFS('Tier 3 Intervention'!BU11:BU1083,"Transferred to more intensive level of care")</f>
        <v>0</v>
      </c>
      <c r="AF52" s="824"/>
      <c r="AG52" s="98"/>
      <c r="AI52" s="98"/>
      <c r="AJ52" s="98"/>
      <c r="AL52" s="98"/>
      <c r="AM52" s="98"/>
    </row>
    <row r="53" spans="1:39" ht="15.75" thickBot="1" x14ac:dyDescent="0.3">
      <c r="A53" s="783" t="s">
        <v>1137</v>
      </c>
      <c r="B53" s="783"/>
      <c r="C53" s="783"/>
      <c r="D53" s="783"/>
      <c r="E53" s="783"/>
      <c r="F53" s="756">
        <f>COUNTIFS('Tier 3 Intervention'!W11:W1083,"PRTF")</f>
        <v>0</v>
      </c>
      <c r="G53" s="756"/>
      <c r="H53" s="756"/>
      <c r="I53" s="756">
        <f>COUNTIFS('Tier 3 Intervention'!BV11:BV1083,"PRTF")</f>
        <v>0</v>
      </c>
      <c r="J53" s="756"/>
      <c r="K53" s="756"/>
      <c r="M53" s="838" t="s">
        <v>1138</v>
      </c>
      <c r="N53" s="838"/>
      <c r="O53" s="838"/>
      <c r="P53" s="838"/>
      <c r="Q53" s="838"/>
      <c r="R53" s="839">
        <f>COUNTIFS('Tier 3 Intervention'!BR11:BR1083,"Other")</f>
        <v>0</v>
      </c>
      <c r="S53" s="839"/>
      <c r="T53" s="839"/>
      <c r="V53" s="830" t="s">
        <v>1139</v>
      </c>
      <c r="W53" s="831"/>
      <c r="X53" s="831"/>
      <c r="Y53" s="831"/>
      <c r="Z53" s="831"/>
      <c r="AA53" s="831"/>
      <c r="AB53" s="831"/>
      <c r="AC53" s="831"/>
      <c r="AD53" s="832"/>
      <c r="AE53" s="826">
        <f>COUNTIFS('Tier 3 Intervention'!BU11:BU1083,"Parental Refusal")</f>
        <v>0</v>
      </c>
      <c r="AF53" s="827"/>
      <c r="AG53" s="98"/>
      <c r="AI53" s="98"/>
      <c r="AJ53" s="98"/>
      <c r="AL53" s="98"/>
      <c r="AM53" s="98"/>
    </row>
    <row r="54" spans="1:39" ht="15.75" thickBot="1" x14ac:dyDescent="0.3">
      <c r="A54" s="837" t="s">
        <v>1140</v>
      </c>
      <c r="B54" s="837"/>
      <c r="C54" s="837"/>
      <c r="D54" s="837"/>
      <c r="E54" s="837"/>
      <c r="F54" s="795">
        <f>COUNTIFS('Tier 3 Intervention'!W11:W1083,"Relative")</f>
        <v>0</v>
      </c>
      <c r="G54" s="795"/>
      <c r="H54" s="795"/>
      <c r="I54" s="795">
        <f>COUNTIFS('Tier 3 Intervention'!BV11:BV1083,"Relative")</f>
        <v>0</v>
      </c>
      <c r="J54" s="795"/>
      <c r="K54" s="795"/>
      <c r="M54" s="840" t="s">
        <v>1141</v>
      </c>
      <c r="N54" s="840"/>
      <c r="O54" s="840"/>
      <c r="P54" s="840"/>
      <c r="Q54" s="840"/>
      <c r="R54" s="784">
        <f>COUNTIFS('Tier 3 Intervention'!BR12:BR1084,"Unknown")</f>
        <v>0</v>
      </c>
      <c r="S54" s="784"/>
      <c r="T54" s="784"/>
      <c r="V54" s="819" t="s">
        <v>161</v>
      </c>
      <c r="W54" s="820"/>
      <c r="X54" s="820"/>
      <c r="Y54" s="820"/>
      <c r="Z54" s="820"/>
      <c r="AA54" s="820"/>
      <c r="AB54" s="820"/>
      <c r="AC54" s="820"/>
      <c r="AD54" s="821"/>
      <c r="AE54" s="828"/>
      <c r="AF54" s="829"/>
      <c r="AG54" s="98"/>
      <c r="AI54" s="98"/>
      <c r="AJ54" s="98"/>
      <c r="AL54" s="98"/>
      <c r="AM54" s="98"/>
    </row>
    <row r="55" spans="1:39" x14ac:dyDescent="0.25">
      <c r="A55" s="783" t="s">
        <v>1142</v>
      </c>
      <c r="B55" s="783"/>
      <c r="C55" s="783"/>
      <c r="D55" s="783"/>
      <c r="E55" s="783"/>
      <c r="F55" s="756">
        <f>COUNTIFS('Tier 3 Intervention'!W11:W1083,"Residential Treatment Facility")</f>
        <v>0</v>
      </c>
      <c r="G55" s="756"/>
      <c r="H55" s="756"/>
      <c r="I55" s="756">
        <f>COUNTIFS('Tier 3 Intervention'!BV11:BV1083,"Residential Treatment Facility")</f>
        <v>0</v>
      </c>
      <c r="J55" s="756"/>
      <c r="K55" s="756"/>
      <c r="M55" s="835" t="s">
        <v>161</v>
      </c>
      <c r="N55" s="835"/>
      <c r="O55" s="835"/>
      <c r="P55" s="835"/>
      <c r="Q55" s="835"/>
      <c r="R55" s="836">
        <f>SUM(R46:T54)</f>
        <v>0</v>
      </c>
      <c r="S55" s="836"/>
      <c r="T55" s="836"/>
      <c r="V55" s="98"/>
      <c r="W55" s="98"/>
      <c r="Y55" s="98"/>
      <c r="Z55" s="98"/>
      <c r="AB55" s="98"/>
      <c r="AC55" s="98"/>
      <c r="AE55" s="98"/>
      <c r="AF55" s="98"/>
      <c r="AG55" s="98"/>
      <c r="AI55" s="98"/>
      <c r="AJ55" s="98"/>
      <c r="AL55" s="98"/>
      <c r="AM55" s="98"/>
    </row>
    <row r="56" spans="1:39" x14ac:dyDescent="0.25">
      <c r="A56" s="837" t="s">
        <v>1143</v>
      </c>
      <c r="B56" s="837"/>
      <c r="C56" s="837"/>
      <c r="D56" s="837"/>
      <c r="E56" s="837"/>
      <c r="F56" s="795">
        <f>COUNTIFS('Tier 3 Intervention'!W11:W1083,"Shelter")</f>
        <v>0</v>
      </c>
      <c r="G56" s="795"/>
      <c r="H56" s="795"/>
      <c r="I56" s="795">
        <f>COUNTIFS('Tier 3 Intervention'!BV11:BV1083,"Shelter")</f>
        <v>0</v>
      </c>
      <c r="J56" s="795"/>
      <c r="K56" s="795"/>
      <c r="M56" s="98"/>
      <c r="N56" s="98"/>
      <c r="P56" s="98"/>
      <c r="Q56" s="98"/>
      <c r="S56" s="98"/>
      <c r="T56" s="98"/>
      <c r="V56" s="98"/>
      <c r="W56" s="98"/>
      <c r="Y56" s="98"/>
      <c r="Z56" s="98"/>
      <c r="AB56" s="98"/>
      <c r="AC56" s="98"/>
      <c r="AE56" s="98"/>
      <c r="AF56" s="98"/>
      <c r="AG56" s="98"/>
      <c r="AI56" s="98"/>
      <c r="AJ56" s="98"/>
      <c r="AL56" s="98"/>
      <c r="AM56" s="98"/>
    </row>
    <row r="57" spans="1:39" ht="15.75" thickBot="1" x14ac:dyDescent="0.3">
      <c r="A57" s="838" t="s">
        <v>1138</v>
      </c>
      <c r="B57" s="838"/>
      <c r="C57" s="838"/>
      <c r="D57" s="838"/>
      <c r="E57" s="838"/>
      <c r="F57" s="839">
        <f>COUNTIFS('Tier 3 Intervention'!W11:W1083,"Other")</f>
        <v>0</v>
      </c>
      <c r="G57" s="839"/>
      <c r="H57" s="839"/>
      <c r="I57" s="839">
        <f>COUNTIFS('Tier 3 Intervention'!BV11:BV1083,"Other")</f>
        <v>0</v>
      </c>
      <c r="J57" s="839"/>
      <c r="K57" s="839"/>
      <c r="M57" s="98"/>
      <c r="N57" s="98"/>
      <c r="P57" s="98"/>
      <c r="Q57" s="98"/>
      <c r="S57" s="98"/>
      <c r="T57" s="98"/>
      <c r="V57" s="98"/>
      <c r="W57" s="98"/>
      <c r="Y57" s="98"/>
      <c r="Z57" s="98"/>
      <c r="AB57" s="98"/>
      <c r="AC57" s="98"/>
      <c r="AE57" s="98"/>
      <c r="AF57" s="98"/>
      <c r="AG57" s="98"/>
      <c r="AI57" s="98"/>
      <c r="AJ57" s="98"/>
      <c r="AL57" s="98"/>
      <c r="AM57" s="98"/>
    </row>
    <row r="58" spans="1:39" x14ac:dyDescent="0.25">
      <c r="A58" s="833" t="s">
        <v>161</v>
      </c>
      <c r="B58" s="833"/>
      <c r="C58" s="833"/>
      <c r="D58" s="833"/>
      <c r="E58" s="833"/>
      <c r="F58" s="834">
        <f>SUM(F46:H57)</f>
        <v>0</v>
      </c>
      <c r="G58" s="834"/>
      <c r="H58" s="834"/>
      <c r="I58" s="834">
        <f>SUM(I46:K57)</f>
        <v>0</v>
      </c>
      <c r="J58" s="834"/>
      <c r="K58" s="834"/>
      <c r="M58" s="98"/>
      <c r="N58" s="98"/>
      <c r="P58" s="98"/>
      <c r="Q58" s="98"/>
      <c r="S58" s="98"/>
      <c r="T58" s="98"/>
      <c r="V58" s="98"/>
      <c r="W58" s="98"/>
      <c r="Y58" s="98"/>
      <c r="Z58" s="98"/>
      <c r="AB58" s="98"/>
      <c r="AC58" s="98"/>
      <c r="AE58" s="98"/>
      <c r="AF58" s="98"/>
      <c r="AG58" s="98"/>
      <c r="AI58" s="98"/>
      <c r="AJ58" s="98"/>
      <c r="AL58" s="98"/>
      <c r="AM58" s="98"/>
    </row>
    <row r="60" spans="1:39" s="98" customFormat="1" x14ac:dyDescent="0.25">
      <c r="A60" s="802" t="s">
        <v>1144</v>
      </c>
      <c r="B60" s="802"/>
      <c r="C60" s="802"/>
      <c r="D60" s="802"/>
      <c r="E60" s="802"/>
      <c r="F60" s="802"/>
      <c r="G60" s="802"/>
      <c r="H60" s="802"/>
      <c r="I60" s="802"/>
      <c r="J60" s="802"/>
      <c r="K60" s="802"/>
      <c r="L60" s="802"/>
      <c r="M60" s="802"/>
      <c r="N60" s="802"/>
      <c r="O60" s="802"/>
      <c r="P60" s="802"/>
      <c r="Q60" s="802"/>
      <c r="R60" s="802"/>
      <c r="S60" s="802"/>
      <c r="T60" s="802"/>
      <c r="U60" s="802"/>
      <c r="V60" s="802"/>
      <c r="W60" s="802"/>
      <c r="X60" s="802"/>
      <c r="Y60" s="802"/>
      <c r="Z60" s="802"/>
      <c r="AA60" s="802"/>
      <c r="AB60" s="802"/>
      <c r="AC60" s="802"/>
      <c r="AD60" s="802"/>
    </row>
    <row r="61" spans="1:39" x14ac:dyDescent="0.25">
      <c r="A61" s="796" t="s">
        <v>1145</v>
      </c>
      <c r="B61" s="796"/>
      <c r="C61" s="796"/>
      <c r="D61" s="796" t="s">
        <v>149</v>
      </c>
      <c r="E61" s="796"/>
      <c r="F61" s="796" t="s">
        <v>117</v>
      </c>
      <c r="G61" s="796"/>
      <c r="H61" s="796" t="s">
        <v>1146</v>
      </c>
      <c r="I61" s="796"/>
      <c r="J61" s="796" t="s">
        <v>1147</v>
      </c>
      <c r="K61" s="796"/>
      <c r="L61" s="796" t="s">
        <v>1148</v>
      </c>
      <c r="M61" s="796"/>
      <c r="N61" s="796" t="s">
        <v>1149</v>
      </c>
      <c r="O61" s="796"/>
      <c r="P61" s="796" t="s">
        <v>1150</v>
      </c>
      <c r="Q61" s="796"/>
      <c r="R61" s="796" t="s">
        <v>1151</v>
      </c>
      <c r="S61" s="796"/>
      <c r="T61" s="796" t="s">
        <v>116</v>
      </c>
      <c r="U61" s="796"/>
      <c r="V61" s="796" t="s">
        <v>158</v>
      </c>
      <c r="W61" s="796"/>
      <c r="X61" s="796" t="s">
        <v>159</v>
      </c>
      <c r="Y61" s="796"/>
      <c r="Z61" s="796" t="s">
        <v>160</v>
      </c>
      <c r="AA61" s="816"/>
      <c r="AB61" s="793" t="s">
        <v>1152</v>
      </c>
      <c r="AC61" s="794"/>
      <c r="AD61" s="794"/>
      <c r="AE61" s="98"/>
      <c r="AF61" s="98"/>
      <c r="AG61" s="98"/>
      <c r="AI61" s="98"/>
      <c r="AJ61" s="98"/>
      <c r="AL61" s="98"/>
      <c r="AM61" s="98"/>
    </row>
    <row r="62" spans="1:39" x14ac:dyDescent="0.25">
      <c r="A62" s="799" t="s">
        <v>257</v>
      </c>
      <c r="B62" s="800"/>
      <c r="C62" s="801"/>
      <c r="D62" s="795">
        <f>SUMIFS('Tier 3 Intervention'!AF11:AF1083,'Tier 3 Intervention'!AC11:AC1083,"Individual Therapy")</f>
        <v>0</v>
      </c>
      <c r="E62" s="795"/>
      <c r="F62" s="795">
        <f>SUMIFS('Tier 3 Intervention'!AG11:AG1083,'Tier 3 Intervention'!AC11:AC1083,"Individual Therapy")</f>
        <v>0</v>
      </c>
      <c r="G62" s="795"/>
      <c r="H62" s="795"/>
      <c r="I62" s="795"/>
      <c r="J62" s="795"/>
      <c r="K62" s="795"/>
      <c r="L62" s="795"/>
      <c r="M62" s="795"/>
      <c r="N62" s="795"/>
      <c r="O62" s="795"/>
      <c r="P62" s="795"/>
      <c r="Q62" s="795"/>
      <c r="R62" s="795"/>
      <c r="S62" s="795"/>
      <c r="T62" s="795"/>
      <c r="U62" s="795"/>
      <c r="V62" s="795"/>
      <c r="W62" s="795"/>
      <c r="X62" s="795"/>
      <c r="Y62" s="795"/>
      <c r="Z62" s="795"/>
      <c r="AA62" s="797"/>
      <c r="AB62" s="781">
        <f>SUM(D62:AA62)</f>
        <v>0</v>
      </c>
      <c r="AC62" s="782"/>
      <c r="AD62" s="782"/>
      <c r="AE62" s="98"/>
      <c r="AF62" s="98"/>
      <c r="AG62" s="98"/>
      <c r="AI62" s="98"/>
      <c r="AJ62" s="98"/>
      <c r="AL62" s="98"/>
      <c r="AM62" s="98"/>
    </row>
    <row r="63" spans="1:39" x14ac:dyDescent="0.25">
      <c r="A63" s="804" t="s">
        <v>259</v>
      </c>
      <c r="B63" s="805"/>
      <c r="C63" s="806"/>
      <c r="D63" s="755">
        <f>SUMIFS('Tier 3 Intervention'!AF11:AF1083,'Tier 3 Intervention'!AC11:AC1083,"Group Therapy")</f>
        <v>0</v>
      </c>
      <c r="E63" s="755"/>
      <c r="F63" s="755">
        <f>SUMIFS('Tier 3 Intervention'!AG11:AG1083,'Tier 3 Intervention'!AC11:AC1083,"Group Therapy")</f>
        <v>0</v>
      </c>
      <c r="G63" s="755"/>
      <c r="H63" s="755"/>
      <c r="I63" s="755"/>
      <c r="J63" s="755"/>
      <c r="K63" s="755"/>
      <c r="L63" s="755"/>
      <c r="M63" s="755"/>
      <c r="N63" s="755"/>
      <c r="O63" s="755"/>
      <c r="P63" s="755"/>
      <c r="Q63" s="755"/>
      <c r="R63" s="755"/>
      <c r="S63" s="755"/>
      <c r="T63" s="755"/>
      <c r="U63" s="755"/>
      <c r="V63" s="755"/>
      <c r="W63" s="755"/>
      <c r="X63" s="755"/>
      <c r="Y63" s="755"/>
      <c r="Z63" s="755"/>
      <c r="AA63" s="815"/>
      <c r="AB63" s="811">
        <f t="shared" ref="AB63:AB64" si="3">SUM(D63:AA63)</f>
        <v>0</v>
      </c>
      <c r="AC63" s="812"/>
      <c r="AD63" s="812"/>
      <c r="AE63" s="98"/>
      <c r="AF63" s="98"/>
      <c r="AG63" s="98"/>
      <c r="AI63" s="98"/>
      <c r="AJ63" s="98"/>
      <c r="AL63" s="98"/>
      <c r="AM63" s="98"/>
    </row>
    <row r="64" spans="1:39" ht="15.75" thickBot="1" x14ac:dyDescent="0.3">
      <c r="A64" s="807" t="s">
        <v>261</v>
      </c>
      <c r="B64" s="808"/>
      <c r="C64" s="809"/>
      <c r="D64" s="817">
        <f>SUMIFS('Tier 3 Intervention'!AF11:AF1083,'Tier 3 Intervention'!AC11:AC1083,"Family Therapy")</f>
        <v>0</v>
      </c>
      <c r="E64" s="818"/>
      <c r="F64" s="784">
        <f>SUMIFS('Tier 3 Intervention'!AG11:AG1083,'Tier 3 Intervention'!AC11:AC1083,"Family Therapy")</f>
        <v>0</v>
      </c>
      <c r="G64" s="784"/>
      <c r="H64" s="784"/>
      <c r="I64" s="784"/>
      <c r="J64" s="784"/>
      <c r="K64" s="784"/>
      <c r="L64" s="784"/>
      <c r="M64" s="784"/>
      <c r="N64" s="784"/>
      <c r="O64" s="784"/>
      <c r="P64" s="784"/>
      <c r="Q64" s="784"/>
      <c r="R64" s="784"/>
      <c r="S64" s="784"/>
      <c r="T64" s="784"/>
      <c r="U64" s="784"/>
      <c r="V64" s="784"/>
      <c r="W64" s="784"/>
      <c r="X64" s="784"/>
      <c r="Y64" s="784"/>
      <c r="Z64" s="784"/>
      <c r="AA64" s="785"/>
      <c r="AB64" s="781">
        <f t="shared" si="3"/>
        <v>0</v>
      </c>
      <c r="AC64" s="782"/>
      <c r="AD64" s="782"/>
      <c r="AE64" s="98"/>
      <c r="AF64" s="98"/>
      <c r="AG64" s="98"/>
      <c r="AI64" s="98"/>
      <c r="AJ64" s="98"/>
      <c r="AL64" s="98"/>
      <c r="AM64" s="98"/>
    </row>
    <row r="65" spans="1:30" x14ac:dyDescent="0.25">
      <c r="A65" s="803" t="s">
        <v>161</v>
      </c>
      <c r="B65" s="803"/>
      <c r="C65" s="803"/>
      <c r="D65" s="810">
        <f>SUM(D62:E64)</f>
        <v>0</v>
      </c>
      <c r="E65" s="810"/>
      <c r="F65" s="810">
        <f>SUM(F62:G64)</f>
        <v>0</v>
      </c>
      <c r="G65" s="810"/>
      <c r="H65" s="810">
        <f t="shared" ref="H65" si="4">SUM(H62:I64)</f>
        <v>0</v>
      </c>
      <c r="I65" s="810"/>
      <c r="J65" s="810">
        <f t="shared" ref="J65" si="5">SUM(J62:K64)</f>
        <v>0</v>
      </c>
      <c r="K65" s="810"/>
      <c r="L65" s="810">
        <f t="shared" ref="L65" si="6">SUM(L62:M64)</f>
        <v>0</v>
      </c>
      <c r="M65" s="810"/>
      <c r="N65" s="810">
        <f t="shared" ref="N65" si="7">SUM(N62:O64)</f>
        <v>0</v>
      </c>
      <c r="O65" s="810"/>
      <c r="P65" s="810">
        <f t="shared" ref="P65" si="8">SUM(P62:Q64)</f>
        <v>0</v>
      </c>
      <c r="Q65" s="810"/>
      <c r="R65" s="810">
        <f t="shared" ref="R65" si="9">SUM(R62:S64)</f>
        <v>0</v>
      </c>
      <c r="S65" s="810"/>
      <c r="T65" s="810">
        <f t="shared" ref="T65" si="10">SUM(T62:U64)</f>
        <v>0</v>
      </c>
      <c r="U65" s="810"/>
      <c r="V65" s="810">
        <f t="shared" ref="V65" si="11">SUM(V62:W64)</f>
        <v>0</v>
      </c>
      <c r="W65" s="810"/>
      <c r="X65" s="810">
        <f t="shared" ref="X65" si="12">SUM(X62:Y64)</f>
        <v>0</v>
      </c>
      <c r="Y65" s="810"/>
      <c r="Z65" s="810">
        <f t="shared" ref="Z65" si="13">SUM(Z62:AA64)</f>
        <v>0</v>
      </c>
      <c r="AA65" s="810"/>
      <c r="AB65" s="813">
        <f>SUM(AB62:AD64)</f>
        <v>0</v>
      </c>
      <c r="AC65" s="814"/>
      <c r="AD65" s="814"/>
    </row>
    <row r="67" spans="1:30" x14ac:dyDescent="0.25">
      <c r="A67" s="802" t="s">
        <v>1153</v>
      </c>
      <c r="B67" s="802"/>
      <c r="C67" s="802"/>
      <c r="D67" s="802"/>
      <c r="E67" s="802"/>
      <c r="F67" s="802"/>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row>
    <row r="68" spans="1:30" x14ac:dyDescent="0.25">
      <c r="A68" s="796" t="s">
        <v>1145</v>
      </c>
      <c r="B68" s="796"/>
      <c r="C68" s="796"/>
      <c r="D68" s="796" t="s">
        <v>149</v>
      </c>
      <c r="E68" s="796"/>
      <c r="F68" s="796" t="s">
        <v>117</v>
      </c>
      <c r="G68" s="796"/>
      <c r="H68" s="796" t="s">
        <v>1146</v>
      </c>
      <c r="I68" s="796"/>
      <c r="J68" s="796" t="s">
        <v>1147</v>
      </c>
      <c r="K68" s="796"/>
      <c r="L68" s="796" t="s">
        <v>1148</v>
      </c>
      <c r="M68" s="796"/>
      <c r="N68" s="796" t="s">
        <v>1149</v>
      </c>
      <c r="O68" s="796"/>
      <c r="P68" s="796" t="s">
        <v>1150</v>
      </c>
      <c r="Q68" s="796"/>
      <c r="R68" s="796" t="s">
        <v>1151</v>
      </c>
      <c r="S68" s="796"/>
      <c r="T68" s="796" t="s">
        <v>116</v>
      </c>
      <c r="U68" s="796"/>
      <c r="V68" s="796" t="s">
        <v>158</v>
      </c>
      <c r="W68" s="796"/>
      <c r="X68" s="796" t="s">
        <v>159</v>
      </c>
      <c r="Y68" s="796"/>
      <c r="Z68" s="796" t="s">
        <v>160</v>
      </c>
      <c r="AA68" s="816"/>
      <c r="AB68" s="793" t="s">
        <v>1152</v>
      </c>
      <c r="AC68" s="794"/>
      <c r="AD68" s="794"/>
    </row>
    <row r="69" spans="1:30" x14ac:dyDescent="0.25">
      <c r="A69" s="799" t="s">
        <v>258</v>
      </c>
      <c r="B69" s="800"/>
      <c r="C69" s="801"/>
      <c r="D69" s="795">
        <f>SUMIFS('Tier 3 Intervention'!BE11:BE1083,'Tier 3 Intervention'!BC11:BC1083,"Detentions")</f>
        <v>0</v>
      </c>
      <c r="E69" s="795"/>
      <c r="F69" s="795">
        <f>SUMIFS('Tier 3 Intervention'!BF11:BF1083,'Tier 3 Intervention'!BC11:BC1083,"Detentions")</f>
        <v>0</v>
      </c>
      <c r="G69" s="795"/>
      <c r="H69" s="795">
        <f>SUMIFS('Tier 3 Intervention'!BG11:BG1083,'Tier 3 Intervention'!BC11:BC1083,"Detentions")</f>
        <v>0</v>
      </c>
      <c r="I69" s="795"/>
      <c r="J69" s="795">
        <f>SUMIFS('Tier 3 Intervention'!BH11:BH1083,'Tier 3 Intervention'!BC11:BC1083,"Detentions")</f>
        <v>0</v>
      </c>
      <c r="K69" s="795"/>
      <c r="L69" s="795">
        <f>SUMIFS('Tier 3 Intervention'!BI11:BI1083,'Tier 3 Intervention'!BC11:BC1083,"Detentions")</f>
        <v>0</v>
      </c>
      <c r="M69" s="795"/>
      <c r="N69" s="795">
        <f>SUMIFS('Tier 3 Intervention'!BJ11:BJ1083,'Tier 3 Intervention'!BC11:BC1083,"Detentions")</f>
        <v>0</v>
      </c>
      <c r="O69" s="795"/>
      <c r="P69" s="795">
        <f>SUMIFS('Tier 3 Intervention'!BK11:BK1083,'Tier 3 Intervention'!BC11:BC1083,"Detentions")</f>
        <v>0</v>
      </c>
      <c r="Q69" s="795"/>
      <c r="R69" s="795">
        <f>SUMIFS('Tier 3 Intervention'!BL11:BL1083,'Tier 3 Intervention'!BC11:BC1083,"Detentions")</f>
        <v>0</v>
      </c>
      <c r="S69" s="795"/>
      <c r="T69" s="795">
        <f>SUMIFS('Tier 3 Intervention'!BM11:BM1083,'Tier 3 Intervention'!BC11:BC1083,"Detentions")</f>
        <v>0</v>
      </c>
      <c r="U69" s="795"/>
      <c r="V69" s="795">
        <f>SUMIFS('Tier 3 Intervention'!BN11:BN1083,'Tier 3 Intervention'!BC11:BC1083,"Detentions")</f>
        <v>0</v>
      </c>
      <c r="W69" s="795"/>
      <c r="X69" s="795">
        <f>SUMIFS('Tier 3 Intervention'!BO11:BO1083,'Tier 3 Intervention'!BC11:BC1083,"Detentions")</f>
        <v>0</v>
      </c>
      <c r="Y69" s="795"/>
      <c r="Z69" s="795">
        <f>SUMIFS('Tier 3 Intervention'!BP11:BP1083,'Tier 3 Intervention'!BC11:BC1083,"Detentions")</f>
        <v>0</v>
      </c>
      <c r="AA69" s="797"/>
      <c r="AB69" s="781">
        <f>SUM(D69:AA69)</f>
        <v>0</v>
      </c>
      <c r="AC69" s="782"/>
      <c r="AD69" s="782"/>
    </row>
    <row r="70" spans="1:30" x14ac:dyDescent="0.25">
      <c r="A70" s="786" t="s">
        <v>260</v>
      </c>
      <c r="B70" s="787"/>
      <c r="C70" s="788"/>
      <c r="D70" s="756">
        <f>SUMIFS('Tier 3 Intervention'!BE11:BE1083,'Tier 3 Intervention'!BC11:BC1083,"Suspensions")</f>
        <v>0</v>
      </c>
      <c r="E70" s="756"/>
      <c r="F70" s="756">
        <f>SUMIFS('Tier 3 Intervention'!BF11:BF1083,'Tier 3 Intervention'!BC11:BC1083,"Suspensions")</f>
        <v>0</v>
      </c>
      <c r="G70" s="756"/>
      <c r="H70" s="756">
        <f>SUMIFS('Tier 3 Intervention'!BG11:BG1083,'Tier 3 Intervention'!BC11:BC1083,"Suspensions")</f>
        <v>0</v>
      </c>
      <c r="I70" s="756"/>
      <c r="J70" s="756">
        <f>SUMIFS('Tier 3 Intervention'!BH11:BH1083,'Tier 3 Intervention'!BC11:BC1083,"Suspensions")</f>
        <v>0</v>
      </c>
      <c r="K70" s="756"/>
      <c r="L70" s="756">
        <f>SUMIFS('Tier 3 Intervention'!BI11:BI1083,'Tier 3 Intervention'!BC11:BC1083,"Suspensions")</f>
        <v>0</v>
      </c>
      <c r="M70" s="756"/>
      <c r="N70" s="756">
        <f>SUMIFS('Tier 3 Intervention'!BJ11:BJ1083,'Tier 3 Intervention'!BC11:BC1083,"Suspensions")</f>
        <v>0</v>
      </c>
      <c r="O70" s="756"/>
      <c r="P70" s="756">
        <f>SUMIFS('Tier 3 Intervention'!BK11:BK1083,'Tier 3 Intervention'!BC11:BC1083,"Suspensions")</f>
        <v>0</v>
      </c>
      <c r="Q70" s="756"/>
      <c r="R70" s="756">
        <f>SUMIFS('Tier 3 Intervention'!BL11:BL1083,'Tier 3 Intervention'!BC11:BC1083,"Suspensions")</f>
        <v>0</v>
      </c>
      <c r="S70" s="756"/>
      <c r="T70" s="756">
        <f>SUMIFS('Tier 3 Intervention'!BM11:BM1083,'Tier 3 Intervention'!BC11:BC1083,"Suspensions")</f>
        <v>0</v>
      </c>
      <c r="U70" s="756"/>
      <c r="V70" s="756">
        <f>SUMIFS('Tier 3 Intervention'!BN11:BN1083,'Tier 3 Intervention'!BC11:BC1083,"Suspensions")</f>
        <v>0</v>
      </c>
      <c r="W70" s="756"/>
      <c r="X70" s="756">
        <f>SUMIFS('Tier 3 Intervention'!BO11:BO1083,'Tier 3 Intervention'!BC11:BC1083,"Suspensions")</f>
        <v>0</v>
      </c>
      <c r="Y70" s="756"/>
      <c r="Z70" s="756">
        <f>SUMIFS('Tier 3 Intervention'!BP11:BP1083,'Tier 3 Intervention'!BC11:BC1083,"Suspensions")</f>
        <v>0</v>
      </c>
      <c r="AA70" s="798"/>
      <c r="AB70" s="781">
        <f t="shared" ref="AB70:AB72" si="14">SUM(D70:AA70)</f>
        <v>0</v>
      </c>
      <c r="AC70" s="782"/>
      <c r="AD70" s="782"/>
    </row>
    <row r="71" spans="1:30" x14ac:dyDescent="0.25">
      <c r="A71" s="789" t="s">
        <v>262</v>
      </c>
      <c r="B71" s="790"/>
      <c r="C71" s="791"/>
      <c r="D71" s="785">
        <f>SUMIFS('Tier 3 Intervention'!BE11:BE1083,'Tier 3 Intervention'!BC11:BC1083,"Unexcused Absences")</f>
        <v>0</v>
      </c>
      <c r="E71" s="792"/>
      <c r="F71" s="784">
        <f>SUMIFS('Tier 3 Intervention'!BF11:BF1083,'Tier 3 Intervention'!BC11:BC1083,"Unexcused Absences")</f>
        <v>0</v>
      </c>
      <c r="G71" s="784"/>
      <c r="H71" s="784">
        <f>SUMIFS('Tier 3 Intervention'!BG11:BG1083,'Tier 3 Intervention'!BC11:BC1083,"Unexcused Absences")</f>
        <v>0</v>
      </c>
      <c r="I71" s="784"/>
      <c r="J71" s="784">
        <f>SUMIFS('Tier 3 Intervention'!BH11:BH1083,'Tier 3 Intervention'!BC11:BC1083,"Unexcused Absences")</f>
        <v>0</v>
      </c>
      <c r="K71" s="784"/>
      <c r="L71" s="784">
        <f>SUMIFS('Tier 3 Intervention'!BI11:BI1083,'Tier 3 Intervention'!BC11:BC1083,"Unexcused Absences")</f>
        <v>0</v>
      </c>
      <c r="M71" s="784"/>
      <c r="N71" s="784">
        <f>SUMIFS('Tier 3 Intervention'!BJ11:BJ1083,'Tier 3 Intervention'!BC11:BC1083,"Unexcused Absences")</f>
        <v>0</v>
      </c>
      <c r="O71" s="784"/>
      <c r="P71" s="784">
        <f>SUMIFS('Tier 3 Intervention'!BK11:BK1083,'Tier 3 Intervention'!BC11:BC1083,"Unexcused Absences")</f>
        <v>0</v>
      </c>
      <c r="Q71" s="784"/>
      <c r="R71" s="784">
        <f>SUMIFS('Tier 3 Intervention'!BL11:BL1083,'Tier 3 Intervention'!BC11:BC1083,"Unexcused Absences")</f>
        <v>0</v>
      </c>
      <c r="S71" s="784"/>
      <c r="T71" s="784">
        <f>SUMIFS('Tier 3 Intervention'!BM11:BM1083,'Tier 3 Intervention'!BC11:BC1083,"Unexcused Absences")</f>
        <v>0</v>
      </c>
      <c r="U71" s="784"/>
      <c r="V71" s="784">
        <f>SUMIFS('Tier 3 Intervention'!BN11:BN1083,'Tier 3 Intervention'!BC11:BC1083,"Unexcused Absences")</f>
        <v>0</v>
      </c>
      <c r="W71" s="784"/>
      <c r="X71" s="784">
        <f>SUMIFS('Tier 3 Intervention'!BO11:BO1083,'Tier 3 Intervention'!BC11:BC1083,"Unexcused Absences")</f>
        <v>0</v>
      </c>
      <c r="Y71" s="784"/>
      <c r="Z71" s="784">
        <f>SUMIFS('Tier 3 Intervention'!BP11:BP1083,'Tier 3 Intervention'!BC11:BC1083,"Unexcused Absences")</f>
        <v>0</v>
      </c>
      <c r="AA71" s="785"/>
      <c r="AB71" s="781">
        <f t="shared" si="14"/>
        <v>0</v>
      </c>
      <c r="AC71" s="782"/>
      <c r="AD71" s="782"/>
    </row>
    <row r="72" spans="1:30" x14ac:dyDescent="0.25">
      <c r="A72" s="783" t="s">
        <v>263</v>
      </c>
      <c r="B72" s="783"/>
      <c r="C72" s="783"/>
      <c r="D72" s="756">
        <f>SUMIFS('Tier 3 Intervention'!BE11:BE1083,'Tier 3 Intervention'!BC11:BC1083,"Expulsions")</f>
        <v>0</v>
      </c>
      <c r="E72" s="756"/>
      <c r="F72" s="756">
        <f>SUMIFS('Tier 3 Intervention'!BF11:BF1083,'Tier 3 Intervention'!BC11:BC1083,"Expulsions")</f>
        <v>0</v>
      </c>
      <c r="G72" s="756"/>
      <c r="H72" s="756">
        <f>SUMIFS('Tier 3 Intervention'!BG11:BG1083,'Tier 3 Intervention'!BC11:BC1083,"Expulsions")</f>
        <v>0</v>
      </c>
      <c r="I72" s="756"/>
      <c r="J72" s="756">
        <f>SUMIFS('Tier 3 Intervention'!BH11:BH1083,'Tier 3 Intervention'!BC11:BC1083,"Expulsions")</f>
        <v>0</v>
      </c>
      <c r="K72" s="756"/>
      <c r="L72" s="756">
        <f>SUMIFS('Tier 3 Intervention'!BI11:BI1083,'Tier 3 Intervention'!BC11:BC1083,"Expulsions")</f>
        <v>0</v>
      </c>
      <c r="M72" s="756"/>
      <c r="N72" s="756">
        <f>SUMIFS('Tier 3 Intervention'!BJ11:BJ1083,'Tier 3 Intervention'!BC11:BC1083,"Expulsions")</f>
        <v>0</v>
      </c>
      <c r="O72" s="756"/>
      <c r="P72" s="756">
        <f>SUMIFS('Tier 3 Intervention'!BK11:BK1083,'Tier 3 Intervention'!BC11:BC1083,"Expulsions")</f>
        <v>0</v>
      </c>
      <c r="Q72" s="756"/>
      <c r="R72" s="756">
        <f>SUMIFS('Tier 3 Intervention'!BL11:BL1083,'Tier 3 Intervention'!BC11:BC1083,"Expulsions")</f>
        <v>0</v>
      </c>
      <c r="S72" s="756"/>
      <c r="T72" s="756">
        <f>SUMIFS('Tier 3 Intervention'!BM11:BM1083,'Tier 3 Intervention'!BC11:BC1083,"Expulsions")</f>
        <v>0</v>
      </c>
      <c r="U72" s="756"/>
      <c r="V72" s="756">
        <f>SUMIFS('Tier 3 Intervention'!BN11:BN1083,'Tier 3 Intervention'!BC11:BC1083,"Expulsions")</f>
        <v>0</v>
      </c>
      <c r="W72" s="756"/>
      <c r="X72" s="756">
        <f>SUMIFS('Tier 3 Intervention'!BO11:BO1083,'Tier 3 Intervention'!BC11:BC1083,"Expulsions")</f>
        <v>0</v>
      </c>
      <c r="Y72" s="756"/>
      <c r="Z72" s="756">
        <f>SUMIFS('Tier 3 Intervention'!BP11:BP1083,'Tier 3 Intervention'!BC11:BC1083,"Expulsions")</f>
        <v>0</v>
      </c>
      <c r="AA72" s="756"/>
      <c r="AB72" s="781">
        <f t="shared" si="14"/>
        <v>0</v>
      </c>
      <c r="AC72" s="782"/>
      <c r="AD72" s="782"/>
    </row>
  </sheetData>
  <sheetProtection selectLockedCells="1" selectUnlockedCells="1"/>
  <mergeCells count="321">
    <mergeCell ref="A1:AL2"/>
    <mergeCell ref="A3:F3"/>
    <mergeCell ref="G3:S3"/>
    <mergeCell ref="V3:Y3"/>
    <mergeCell ref="Z3:AL3"/>
    <mergeCell ref="A16:AO16"/>
    <mergeCell ref="A4:F4"/>
    <mergeCell ref="G4:S4"/>
    <mergeCell ref="V4:Y4"/>
    <mergeCell ref="Z4:AL4"/>
    <mergeCell ref="A5:F5"/>
    <mergeCell ref="M5:S5"/>
    <mergeCell ref="V5:Y5"/>
    <mergeCell ref="Z5:AL5"/>
    <mergeCell ref="A9:H9"/>
    <mergeCell ref="A10:H10"/>
    <mergeCell ref="A13:H13"/>
    <mergeCell ref="A14:H14"/>
    <mergeCell ref="A6:AL6"/>
    <mergeCell ref="G5:L5"/>
    <mergeCell ref="M17:O17"/>
    <mergeCell ref="P17:R17"/>
    <mergeCell ref="S17:U17"/>
    <mergeCell ref="V17:X17"/>
    <mergeCell ref="Y17:AA17"/>
    <mergeCell ref="AB17:AD17"/>
    <mergeCell ref="AF17:AH17"/>
    <mergeCell ref="AI17:AK17"/>
    <mergeCell ref="AL17:AN17"/>
    <mergeCell ref="A32:I32"/>
    <mergeCell ref="A33:I33"/>
    <mergeCell ref="A34:I34"/>
    <mergeCell ref="A36:H36"/>
    <mergeCell ref="J17:L17"/>
    <mergeCell ref="A19:I19"/>
    <mergeCell ref="A20:I20"/>
    <mergeCell ref="A21:I21"/>
    <mergeCell ref="A22:I22"/>
    <mergeCell ref="A23:I23"/>
    <mergeCell ref="A24:I24"/>
    <mergeCell ref="A25:I25"/>
    <mergeCell ref="A26:I26"/>
    <mergeCell ref="A27:I27"/>
    <mergeCell ref="A28:I28"/>
    <mergeCell ref="A29:I29"/>
    <mergeCell ref="A30:I30"/>
    <mergeCell ref="A31:I31"/>
    <mergeCell ref="A18:I18"/>
    <mergeCell ref="A17:I17"/>
    <mergeCell ref="L38:O38"/>
    <mergeCell ref="L39:M39"/>
    <mergeCell ref="L40:M40"/>
    <mergeCell ref="L41:M41"/>
    <mergeCell ref="N39:O39"/>
    <mergeCell ref="N40:O40"/>
    <mergeCell ref="N41:O41"/>
    <mergeCell ref="A38:E38"/>
    <mergeCell ref="G38:J38"/>
    <mergeCell ref="G39:H39"/>
    <mergeCell ref="G40:H40"/>
    <mergeCell ref="I39:J39"/>
    <mergeCell ref="I40:J40"/>
    <mergeCell ref="A39:C39"/>
    <mergeCell ref="A40:C40"/>
    <mergeCell ref="A41:C41"/>
    <mergeCell ref="D39:E39"/>
    <mergeCell ref="D40:E40"/>
    <mergeCell ref="D41:E41"/>
    <mergeCell ref="Y39:AB39"/>
    <mergeCell ref="Y40:AB40"/>
    <mergeCell ref="Y41:AB41"/>
    <mergeCell ref="V38:X38"/>
    <mergeCell ref="Y38:AB38"/>
    <mergeCell ref="AC38:AF38"/>
    <mergeCell ref="V39:X39"/>
    <mergeCell ref="AC39:AF39"/>
    <mergeCell ref="Q38:T38"/>
    <mergeCell ref="Q39:R39"/>
    <mergeCell ref="Q40:R40"/>
    <mergeCell ref="S39:T39"/>
    <mergeCell ref="S40:T40"/>
    <mergeCell ref="AC40:AF40"/>
    <mergeCell ref="AC41:AF41"/>
    <mergeCell ref="V40:X40"/>
    <mergeCell ref="V41:X41"/>
    <mergeCell ref="S41:T41"/>
    <mergeCell ref="V45:AD45"/>
    <mergeCell ref="V46:AD46"/>
    <mergeCell ref="V47:AD47"/>
    <mergeCell ref="V48:AD48"/>
    <mergeCell ref="G41:H41"/>
    <mergeCell ref="I41:J41"/>
    <mergeCell ref="L42:M42"/>
    <mergeCell ref="N42:O42"/>
    <mergeCell ref="Q41:R41"/>
    <mergeCell ref="F45:H45"/>
    <mergeCell ref="I45:K45"/>
    <mergeCell ref="M45:Q45"/>
    <mergeCell ref="M46:Q46"/>
    <mergeCell ref="M47:Q47"/>
    <mergeCell ref="M48:Q48"/>
    <mergeCell ref="F46:H46"/>
    <mergeCell ref="I46:K46"/>
    <mergeCell ref="F47:H47"/>
    <mergeCell ref="F48:H48"/>
    <mergeCell ref="A42:C42"/>
    <mergeCell ref="D42:E42"/>
    <mergeCell ref="A46:E46"/>
    <mergeCell ref="A47:E47"/>
    <mergeCell ref="A48:E48"/>
    <mergeCell ref="A45:E45"/>
    <mergeCell ref="I56:K56"/>
    <mergeCell ref="I57:K57"/>
    <mergeCell ref="F49:H49"/>
    <mergeCell ref="F50:H50"/>
    <mergeCell ref="F51:H51"/>
    <mergeCell ref="F52:H52"/>
    <mergeCell ref="F53:H53"/>
    <mergeCell ref="A49:E49"/>
    <mergeCell ref="A43:C43"/>
    <mergeCell ref="D43:E43"/>
    <mergeCell ref="R53:T53"/>
    <mergeCell ref="A55:E55"/>
    <mergeCell ref="A56:E56"/>
    <mergeCell ref="A57:E57"/>
    <mergeCell ref="A50:E50"/>
    <mergeCell ref="A51:E51"/>
    <mergeCell ref="A52:E52"/>
    <mergeCell ref="A53:E53"/>
    <mergeCell ref="A54:E54"/>
    <mergeCell ref="I51:K51"/>
    <mergeCell ref="I52:K52"/>
    <mergeCell ref="I53:K53"/>
    <mergeCell ref="I54:K54"/>
    <mergeCell ref="M54:Q54"/>
    <mergeCell ref="R54:T54"/>
    <mergeCell ref="A58:E58"/>
    <mergeCell ref="F58:H58"/>
    <mergeCell ref="I58:K58"/>
    <mergeCell ref="M55:Q55"/>
    <mergeCell ref="R55:T55"/>
    <mergeCell ref="R45:T45"/>
    <mergeCell ref="R46:T46"/>
    <mergeCell ref="R47:T47"/>
    <mergeCell ref="R48:T48"/>
    <mergeCell ref="R49:T49"/>
    <mergeCell ref="M49:Q49"/>
    <mergeCell ref="M50:Q50"/>
    <mergeCell ref="M51:Q51"/>
    <mergeCell ref="M52:Q52"/>
    <mergeCell ref="M53:Q53"/>
    <mergeCell ref="F54:H54"/>
    <mergeCell ref="F55:H55"/>
    <mergeCell ref="F56:H56"/>
    <mergeCell ref="F57:H57"/>
    <mergeCell ref="I47:K47"/>
    <mergeCell ref="I48:K48"/>
    <mergeCell ref="I49:K49"/>
    <mergeCell ref="I50:K50"/>
    <mergeCell ref="I55:K55"/>
    <mergeCell ref="A61:C61"/>
    <mergeCell ref="D61:E61"/>
    <mergeCell ref="F61:G61"/>
    <mergeCell ref="H61:I61"/>
    <mergeCell ref="J61:K61"/>
    <mergeCell ref="V54:AD54"/>
    <mergeCell ref="AE45:AF45"/>
    <mergeCell ref="AE46:AF46"/>
    <mergeCell ref="AE47:AF47"/>
    <mergeCell ref="AE48:AF48"/>
    <mergeCell ref="AE49:AF49"/>
    <mergeCell ref="AE50:AF50"/>
    <mergeCell ref="AE51:AF51"/>
    <mergeCell ref="AE52:AF52"/>
    <mergeCell ref="AE53:AF53"/>
    <mergeCell ref="AE54:AF54"/>
    <mergeCell ref="V49:AD49"/>
    <mergeCell ref="V50:AD50"/>
    <mergeCell ref="V51:AD51"/>
    <mergeCell ref="V52:AD52"/>
    <mergeCell ref="V53:AD53"/>
    <mergeCell ref="R50:T50"/>
    <mergeCell ref="R51:T51"/>
    <mergeCell ref="R52:T52"/>
    <mergeCell ref="AB61:AD61"/>
    <mergeCell ref="D62:E62"/>
    <mergeCell ref="D63:E63"/>
    <mergeCell ref="D64:E64"/>
    <mergeCell ref="N62:O62"/>
    <mergeCell ref="P62:Q62"/>
    <mergeCell ref="R62:S62"/>
    <mergeCell ref="T62:U62"/>
    <mergeCell ref="V62:W62"/>
    <mergeCell ref="X62:Y62"/>
    <mergeCell ref="Z62:AA62"/>
    <mergeCell ref="N63:O63"/>
    <mergeCell ref="P63:Q63"/>
    <mergeCell ref="R63:S63"/>
    <mergeCell ref="T63:U63"/>
    <mergeCell ref="V61:W61"/>
    <mergeCell ref="X61:Y61"/>
    <mergeCell ref="Z61:AA61"/>
    <mergeCell ref="L61:M61"/>
    <mergeCell ref="N61:O61"/>
    <mergeCell ref="P61:Q61"/>
    <mergeCell ref="R61:S61"/>
    <mergeCell ref="T61:U61"/>
    <mergeCell ref="P64:Q64"/>
    <mergeCell ref="F63:G63"/>
    <mergeCell ref="H63:I63"/>
    <mergeCell ref="J63:K63"/>
    <mergeCell ref="L63:M63"/>
    <mergeCell ref="F65:G65"/>
    <mergeCell ref="H65:I65"/>
    <mergeCell ref="J65:K65"/>
    <mergeCell ref="L65:M65"/>
    <mergeCell ref="H64:I64"/>
    <mergeCell ref="J64:K64"/>
    <mergeCell ref="L64:M64"/>
    <mergeCell ref="A67:AD67"/>
    <mergeCell ref="A68:C68"/>
    <mergeCell ref="D68:E68"/>
    <mergeCell ref="N64:O64"/>
    <mergeCell ref="R64:S64"/>
    <mergeCell ref="T64:U64"/>
    <mergeCell ref="V64:W64"/>
    <mergeCell ref="X64:Y64"/>
    <mergeCell ref="Z64:AA64"/>
    <mergeCell ref="X68:Y68"/>
    <mergeCell ref="Z68:AA68"/>
    <mergeCell ref="D65:E65"/>
    <mergeCell ref="A60:AD60"/>
    <mergeCell ref="A65:C65"/>
    <mergeCell ref="A62:C62"/>
    <mergeCell ref="A63:C63"/>
    <mergeCell ref="A64:C64"/>
    <mergeCell ref="X65:Y65"/>
    <mergeCell ref="Z65:AA65"/>
    <mergeCell ref="AB62:AD62"/>
    <mergeCell ref="AB63:AD63"/>
    <mergeCell ref="AB64:AD64"/>
    <mergeCell ref="AB65:AD65"/>
    <mergeCell ref="N65:O65"/>
    <mergeCell ref="P65:Q65"/>
    <mergeCell ref="R65:S65"/>
    <mergeCell ref="T65:U65"/>
    <mergeCell ref="V65:W65"/>
    <mergeCell ref="V63:W63"/>
    <mergeCell ref="X63:Y63"/>
    <mergeCell ref="Z63:AA63"/>
    <mergeCell ref="F64:G64"/>
    <mergeCell ref="F62:G62"/>
    <mergeCell ref="H62:I62"/>
    <mergeCell ref="J62:K62"/>
    <mergeCell ref="L62:M62"/>
    <mergeCell ref="A69:C69"/>
    <mergeCell ref="D69:E69"/>
    <mergeCell ref="F69:G69"/>
    <mergeCell ref="H69:I69"/>
    <mergeCell ref="J69:K69"/>
    <mergeCell ref="F68:G68"/>
    <mergeCell ref="H68:I68"/>
    <mergeCell ref="J68:K68"/>
    <mergeCell ref="L68:M68"/>
    <mergeCell ref="P70:Q70"/>
    <mergeCell ref="R70:S70"/>
    <mergeCell ref="AB68:AD68"/>
    <mergeCell ref="L69:M69"/>
    <mergeCell ref="N69:O69"/>
    <mergeCell ref="P69:Q69"/>
    <mergeCell ref="R69:S69"/>
    <mergeCell ref="T69:U69"/>
    <mergeCell ref="N68:O68"/>
    <mergeCell ref="P68:Q68"/>
    <mergeCell ref="R68:S68"/>
    <mergeCell ref="T68:U68"/>
    <mergeCell ref="V68:W68"/>
    <mergeCell ref="AB69:AD69"/>
    <mergeCell ref="V69:W69"/>
    <mergeCell ref="X69:Y69"/>
    <mergeCell ref="Z69:AA69"/>
    <mergeCell ref="Z70:AA70"/>
    <mergeCell ref="AB70:AD70"/>
    <mergeCell ref="T71:U71"/>
    <mergeCell ref="V71:W71"/>
    <mergeCell ref="X71:Y71"/>
    <mergeCell ref="Z71:AA71"/>
    <mergeCell ref="AB71:AD71"/>
    <mergeCell ref="T70:U70"/>
    <mergeCell ref="V70:W70"/>
    <mergeCell ref="X70:Y70"/>
    <mergeCell ref="A70:C70"/>
    <mergeCell ref="D70:E70"/>
    <mergeCell ref="F70:G70"/>
    <mergeCell ref="H70:I70"/>
    <mergeCell ref="J70:K70"/>
    <mergeCell ref="A71:C71"/>
    <mergeCell ref="D71:E71"/>
    <mergeCell ref="F71:G71"/>
    <mergeCell ref="H71:I71"/>
    <mergeCell ref="J71:K71"/>
    <mergeCell ref="L71:M71"/>
    <mergeCell ref="N71:O71"/>
    <mergeCell ref="P71:Q71"/>
    <mergeCell ref="R71:S71"/>
    <mergeCell ref="L70:M70"/>
    <mergeCell ref="N70:O70"/>
    <mergeCell ref="AB72:AD72"/>
    <mergeCell ref="L72:M72"/>
    <mergeCell ref="N72:O72"/>
    <mergeCell ref="P72:Q72"/>
    <mergeCell ref="R72:S72"/>
    <mergeCell ref="T72:U72"/>
    <mergeCell ref="A72:C72"/>
    <mergeCell ref="D72:E72"/>
    <mergeCell ref="F72:G72"/>
    <mergeCell ref="H72:I72"/>
    <mergeCell ref="J72:K72"/>
    <mergeCell ref="V72:W72"/>
    <mergeCell ref="X72:Y72"/>
    <mergeCell ref="Z72:AA72"/>
  </mergeCells>
  <phoneticPr fontId="7" type="noConversion"/>
  <pageMargins left="0.7" right="0.7" top="0.75" bottom="0.75" header="0.3" footer="0.3"/>
  <pageSetup scale="68" orientation="landscape" r:id="rId1"/>
  <headerFooter>
    <oddFooter>&amp;LRevised 2/28/19&amp;C&amp;A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U16"/>
  <sheetViews>
    <sheetView workbookViewId="0">
      <selection activeCell="D15" sqref="D15"/>
    </sheetView>
  </sheetViews>
  <sheetFormatPr defaultRowHeight="15" x14ac:dyDescent="0.25"/>
  <cols>
    <col min="1" max="1" width="11.140625" customWidth="1"/>
    <col min="3" max="4" width="9.140625" style="98"/>
    <col min="6" max="6" width="25.140625" customWidth="1"/>
    <col min="7" max="7" width="21" customWidth="1"/>
    <col min="9" max="9" width="12.140625" customWidth="1"/>
    <col min="10" max="10" width="12.140625" style="98" customWidth="1"/>
    <col min="11" max="11" width="16.5703125" customWidth="1"/>
    <col min="12" max="12" width="18.7109375" customWidth="1"/>
    <col min="13" max="13" width="18.42578125" customWidth="1"/>
    <col min="14" max="14" width="29" customWidth="1"/>
    <col min="15" max="15" width="17.5703125" customWidth="1"/>
    <col min="16" max="16" width="26.7109375" customWidth="1"/>
    <col min="17" max="17" width="49.7109375" customWidth="1"/>
    <col min="19" max="19" width="33.140625" customWidth="1"/>
    <col min="21" max="21" width="28.140625" customWidth="1"/>
  </cols>
  <sheetData>
    <row r="1" spans="1:21" x14ac:dyDescent="0.25">
      <c r="A1" s="873" t="s">
        <v>1154</v>
      </c>
      <c r="B1" s="874"/>
      <c r="C1" s="874"/>
      <c r="D1" s="874"/>
      <c r="E1" s="98"/>
      <c r="F1" s="872" t="s">
        <v>62</v>
      </c>
      <c r="G1" s="872"/>
      <c r="H1" s="872"/>
      <c r="I1" s="872"/>
      <c r="J1" s="872"/>
      <c r="K1" s="872"/>
      <c r="L1" s="872"/>
      <c r="M1" s="872"/>
      <c r="N1" s="872"/>
      <c r="O1" s="872"/>
      <c r="P1" s="83"/>
      <c r="Q1" s="83"/>
      <c r="R1" s="98"/>
      <c r="S1" s="59" t="s">
        <v>1155</v>
      </c>
      <c r="T1" s="98"/>
      <c r="U1" s="89" t="s">
        <v>1156</v>
      </c>
    </row>
    <row r="2" spans="1:21" ht="15.75" x14ac:dyDescent="0.25">
      <c r="A2" s="8" t="s">
        <v>1157</v>
      </c>
      <c r="B2" s="8" t="s">
        <v>1158</v>
      </c>
      <c r="C2" s="273" t="s">
        <v>1159</v>
      </c>
      <c r="D2" s="273" t="s">
        <v>1160</v>
      </c>
      <c r="E2" s="98"/>
      <c r="F2" s="54" t="s">
        <v>202</v>
      </c>
      <c r="G2" s="54" t="s">
        <v>203</v>
      </c>
      <c r="H2" s="54" t="s">
        <v>1161</v>
      </c>
      <c r="I2" s="54" t="s">
        <v>207</v>
      </c>
      <c r="J2" s="54" t="s">
        <v>208</v>
      </c>
      <c r="K2" s="54" t="s">
        <v>1162</v>
      </c>
      <c r="L2" s="54" t="s">
        <v>210</v>
      </c>
      <c r="M2" s="54" t="s">
        <v>1163</v>
      </c>
      <c r="N2" s="54" t="s">
        <v>1164</v>
      </c>
      <c r="O2" s="84" t="s">
        <v>1165</v>
      </c>
      <c r="P2" s="58" t="s">
        <v>1166</v>
      </c>
      <c r="Q2" s="58" t="s">
        <v>1167</v>
      </c>
      <c r="R2" s="98"/>
      <c r="S2" s="2" t="s">
        <v>1168</v>
      </c>
      <c r="T2" s="98"/>
      <c r="U2" s="2" t="s">
        <v>1169</v>
      </c>
    </row>
    <row r="3" spans="1:21" ht="15.75" x14ac:dyDescent="0.25">
      <c r="A3" s="9" t="s">
        <v>1150</v>
      </c>
      <c r="B3" s="9">
        <v>2019</v>
      </c>
      <c r="C3" s="276" t="s">
        <v>279</v>
      </c>
      <c r="D3" s="276" t="s">
        <v>279</v>
      </c>
      <c r="E3" s="98"/>
      <c r="F3" s="56" t="s">
        <v>1078</v>
      </c>
      <c r="G3" s="55" t="s">
        <v>1083</v>
      </c>
      <c r="H3" s="87" t="s">
        <v>180</v>
      </c>
      <c r="I3" s="85" t="s">
        <v>266</v>
      </c>
      <c r="J3" s="110" t="s">
        <v>279</v>
      </c>
      <c r="K3" s="57" t="s">
        <v>279</v>
      </c>
      <c r="L3" s="56" t="s">
        <v>268</v>
      </c>
      <c r="M3" s="57" t="s">
        <v>279</v>
      </c>
      <c r="N3" s="56" t="s">
        <v>1121</v>
      </c>
      <c r="O3" s="55" t="s">
        <v>279</v>
      </c>
      <c r="P3" s="54" t="s">
        <v>1122</v>
      </c>
      <c r="Q3" s="54" t="s">
        <v>1123</v>
      </c>
      <c r="R3" s="98"/>
      <c r="S3" s="2" t="s">
        <v>516</v>
      </c>
      <c r="T3" s="98"/>
      <c r="U3" s="2" t="s">
        <v>520</v>
      </c>
    </row>
    <row r="4" spans="1:21" ht="15.75" x14ac:dyDescent="0.25">
      <c r="A4" s="9" t="s">
        <v>1151</v>
      </c>
      <c r="B4" s="9">
        <v>2020</v>
      </c>
      <c r="C4" s="10" t="s">
        <v>270</v>
      </c>
      <c r="D4" s="10" t="s">
        <v>270</v>
      </c>
      <c r="E4" s="98"/>
      <c r="F4" s="54" t="s">
        <v>1079</v>
      </c>
      <c r="G4" s="55" t="s">
        <v>265</v>
      </c>
      <c r="H4" s="87" t="s">
        <v>181</v>
      </c>
      <c r="I4" s="86" t="s">
        <v>271</v>
      </c>
      <c r="J4" s="110" t="s">
        <v>270</v>
      </c>
      <c r="K4" s="55" t="s">
        <v>270</v>
      </c>
      <c r="L4" s="54" t="s">
        <v>1111</v>
      </c>
      <c r="M4" s="55" t="s">
        <v>270</v>
      </c>
      <c r="N4" s="54" t="s">
        <v>1124</v>
      </c>
      <c r="O4" s="55" t="s">
        <v>270</v>
      </c>
      <c r="P4" s="54" t="s">
        <v>1125</v>
      </c>
      <c r="Q4" s="54" t="s">
        <v>1126</v>
      </c>
      <c r="R4" s="98"/>
      <c r="S4" s="2" t="s">
        <v>515</v>
      </c>
      <c r="T4" s="98"/>
      <c r="U4" s="2" t="s">
        <v>518</v>
      </c>
    </row>
    <row r="5" spans="1:21" ht="15.75" x14ac:dyDescent="0.25">
      <c r="A5" s="9" t="s">
        <v>116</v>
      </c>
      <c r="B5" s="9">
        <v>2021</v>
      </c>
      <c r="C5" s="274"/>
      <c r="D5" s="274"/>
      <c r="E5" s="98"/>
      <c r="F5" s="54" t="s">
        <v>278</v>
      </c>
      <c r="G5" s="55" t="s">
        <v>1084</v>
      </c>
      <c r="H5" s="88">
        <v>1</v>
      </c>
      <c r="I5" s="86" t="s">
        <v>1138</v>
      </c>
      <c r="J5" s="54" t="s">
        <v>267</v>
      </c>
      <c r="K5" s="53"/>
      <c r="L5" s="54" t="s">
        <v>1112</v>
      </c>
      <c r="M5" s="53"/>
      <c r="N5" s="54" t="s">
        <v>276</v>
      </c>
      <c r="O5" s="98"/>
      <c r="P5" s="54" t="s">
        <v>1127</v>
      </c>
      <c r="Q5" s="54" t="s">
        <v>275</v>
      </c>
      <c r="R5" s="98"/>
      <c r="S5" s="2" t="s">
        <v>1170</v>
      </c>
      <c r="T5" s="98"/>
      <c r="U5" s="2" t="s">
        <v>1171</v>
      </c>
    </row>
    <row r="6" spans="1:21" ht="15.75" x14ac:dyDescent="0.25">
      <c r="A6" s="9" t="s">
        <v>158</v>
      </c>
      <c r="B6" s="9">
        <v>2022</v>
      </c>
      <c r="C6" s="274"/>
      <c r="D6" s="274"/>
      <c r="E6" s="98"/>
      <c r="F6" s="54" t="s">
        <v>272</v>
      </c>
      <c r="G6" s="53"/>
      <c r="H6" s="88">
        <v>2</v>
      </c>
      <c r="I6" s="53"/>
      <c r="J6" s="145"/>
      <c r="K6" s="53"/>
      <c r="L6" s="54" t="s">
        <v>1113</v>
      </c>
      <c r="M6" s="53"/>
      <c r="N6" s="54" t="s">
        <v>269</v>
      </c>
      <c r="O6" s="98"/>
      <c r="P6" s="54" t="s">
        <v>1128</v>
      </c>
      <c r="Q6" s="54" t="s">
        <v>1129</v>
      </c>
      <c r="R6" s="98"/>
      <c r="S6" s="2" t="s">
        <v>517</v>
      </c>
      <c r="T6" s="98"/>
      <c r="U6" s="2" t="s">
        <v>1172</v>
      </c>
    </row>
    <row r="7" spans="1:21" ht="15.75" x14ac:dyDescent="0.25">
      <c r="A7" s="9" t="s">
        <v>159</v>
      </c>
      <c r="B7" s="9">
        <v>2023</v>
      </c>
      <c r="C7" s="274"/>
      <c r="D7" s="274"/>
      <c r="E7" s="98"/>
      <c r="F7" s="54" t="s">
        <v>1081</v>
      </c>
      <c r="G7" s="53"/>
      <c r="H7" s="88">
        <v>3</v>
      </c>
      <c r="I7" s="53"/>
      <c r="J7" s="53"/>
      <c r="K7" s="53"/>
      <c r="L7" s="54" t="s">
        <v>1115</v>
      </c>
      <c r="M7" s="53"/>
      <c r="N7" s="54" t="s">
        <v>1130</v>
      </c>
      <c r="O7" s="98"/>
      <c r="P7" s="54" t="s">
        <v>1131</v>
      </c>
      <c r="Q7" s="54" t="s">
        <v>1132</v>
      </c>
      <c r="R7" s="98"/>
      <c r="S7" s="98"/>
      <c r="T7" s="98"/>
      <c r="U7" s="98"/>
    </row>
    <row r="8" spans="1:21" ht="15.75" x14ac:dyDescent="0.25">
      <c r="A8" s="9" t="s">
        <v>160</v>
      </c>
      <c r="B8" s="9">
        <v>2024</v>
      </c>
      <c r="C8" s="274"/>
      <c r="D8" s="274"/>
      <c r="E8" s="98"/>
      <c r="F8" s="54" t="s">
        <v>264</v>
      </c>
      <c r="G8" s="53"/>
      <c r="H8" s="87">
        <v>4</v>
      </c>
      <c r="I8" s="53"/>
      <c r="J8" s="53"/>
      <c r="K8" s="53"/>
      <c r="L8" s="53"/>
      <c r="M8" s="53"/>
      <c r="N8" s="54" t="s">
        <v>273</v>
      </c>
      <c r="O8" s="98"/>
      <c r="P8" s="54" t="s">
        <v>1133</v>
      </c>
      <c r="Q8" s="54" t="s">
        <v>1134</v>
      </c>
      <c r="R8" s="98"/>
      <c r="S8" s="98"/>
      <c r="T8" s="98"/>
      <c r="U8" s="98"/>
    </row>
    <row r="9" spans="1:21" ht="15.75" x14ac:dyDescent="0.25">
      <c r="A9" s="9" t="s">
        <v>149</v>
      </c>
      <c r="B9" s="9">
        <v>2025</v>
      </c>
      <c r="C9" s="274"/>
      <c r="D9" s="274"/>
      <c r="E9" s="98"/>
      <c r="F9" s="54" t="s">
        <v>1141</v>
      </c>
      <c r="G9" s="53"/>
      <c r="H9" s="87">
        <v>5</v>
      </c>
      <c r="I9" s="53"/>
      <c r="J9" s="53"/>
      <c r="K9" s="53"/>
      <c r="L9" s="53"/>
      <c r="M9" s="53"/>
      <c r="N9" s="54" t="s">
        <v>1135</v>
      </c>
      <c r="O9" s="98"/>
      <c r="P9" s="54" t="s">
        <v>274</v>
      </c>
      <c r="Q9" s="54" t="s">
        <v>1173</v>
      </c>
      <c r="R9" s="98"/>
      <c r="S9" s="98"/>
      <c r="T9" s="98"/>
      <c r="U9" s="98"/>
    </row>
    <row r="10" spans="1:21" ht="15.75" x14ac:dyDescent="0.25">
      <c r="A10" s="9" t="s">
        <v>117</v>
      </c>
      <c r="B10" s="11"/>
      <c r="C10" s="275"/>
      <c r="D10" s="275"/>
      <c r="E10" s="98"/>
      <c r="F10" s="53"/>
      <c r="G10" s="53"/>
      <c r="H10" s="87">
        <v>6</v>
      </c>
      <c r="I10" s="53"/>
      <c r="J10" s="53"/>
      <c r="K10" s="53"/>
      <c r="L10" s="53"/>
      <c r="M10" s="53"/>
      <c r="N10" s="54" t="s">
        <v>1137</v>
      </c>
      <c r="O10" s="98"/>
      <c r="P10" s="54" t="s">
        <v>1138</v>
      </c>
      <c r="Q10" s="54" t="s">
        <v>1139</v>
      </c>
      <c r="R10" s="98"/>
      <c r="S10" s="98"/>
      <c r="T10" s="98"/>
      <c r="U10" s="98"/>
    </row>
    <row r="11" spans="1:21" ht="15.75" x14ac:dyDescent="0.25">
      <c r="A11" s="9" t="s">
        <v>1146</v>
      </c>
      <c r="B11" s="11"/>
      <c r="C11" s="275"/>
      <c r="D11" s="275"/>
      <c r="E11" s="98"/>
      <c r="F11" s="53"/>
      <c r="G11" s="53"/>
      <c r="H11" s="87">
        <v>7</v>
      </c>
      <c r="I11" s="53"/>
      <c r="J11" s="53"/>
      <c r="K11" s="53"/>
      <c r="L11" s="53"/>
      <c r="M11" s="53"/>
      <c r="N11" s="54" t="s">
        <v>1140</v>
      </c>
      <c r="O11" s="98"/>
      <c r="P11" s="54" t="s">
        <v>1141</v>
      </c>
      <c r="Q11" s="98"/>
      <c r="R11" s="98"/>
      <c r="S11" s="98"/>
      <c r="T11" s="98"/>
      <c r="U11" s="98"/>
    </row>
    <row r="12" spans="1:21" ht="15.75" x14ac:dyDescent="0.25">
      <c r="A12" s="9" t="s">
        <v>1147</v>
      </c>
      <c r="B12" s="11"/>
      <c r="C12" s="275"/>
      <c r="D12" s="275"/>
      <c r="E12" s="98"/>
      <c r="F12" s="53"/>
      <c r="G12" s="53"/>
      <c r="H12" s="87">
        <v>8</v>
      </c>
      <c r="I12" s="53"/>
      <c r="J12" s="53"/>
      <c r="K12" s="53"/>
      <c r="L12" s="53"/>
      <c r="M12" s="53"/>
      <c r="N12" s="54" t="s">
        <v>1142</v>
      </c>
      <c r="O12" s="98"/>
      <c r="P12" s="98"/>
      <c r="Q12" s="98"/>
      <c r="R12" s="98"/>
      <c r="S12" s="98"/>
      <c r="T12" s="98"/>
      <c r="U12" s="98"/>
    </row>
    <row r="13" spans="1:21" ht="15.75" x14ac:dyDescent="0.25">
      <c r="A13" s="9" t="s">
        <v>1148</v>
      </c>
      <c r="B13" s="11"/>
      <c r="C13" s="275"/>
      <c r="D13" s="275"/>
      <c r="E13" s="98"/>
      <c r="F13" s="53"/>
      <c r="G13" s="53"/>
      <c r="H13" s="87">
        <v>9</v>
      </c>
      <c r="I13" s="53"/>
      <c r="J13" s="53"/>
      <c r="K13" s="53"/>
      <c r="L13" s="53"/>
      <c r="M13" s="53"/>
      <c r="N13" s="54" t="s">
        <v>1143</v>
      </c>
      <c r="O13" s="98"/>
      <c r="P13" s="98"/>
      <c r="Q13" s="98"/>
      <c r="R13" s="98"/>
      <c r="S13" s="98"/>
      <c r="T13" s="98"/>
      <c r="U13" s="98"/>
    </row>
    <row r="14" spans="1:21" ht="15.75" x14ac:dyDescent="0.25">
      <c r="A14" s="10" t="s">
        <v>1149</v>
      </c>
      <c r="B14" s="12"/>
      <c r="C14" s="275"/>
      <c r="D14" s="275"/>
      <c r="E14" s="98"/>
      <c r="F14" s="53"/>
      <c r="G14" s="98"/>
      <c r="H14" s="87">
        <v>10</v>
      </c>
      <c r="I14" s="53"/>
      <c r="J14" s="53"/>
      <c r="K14" s="53"/>
      <c r="L14" s="53"/>
      <c r="M14" s="53"/>
      <c r="N14" s="54" t="s">
        <v>1138</v>
      </c>
      <c r="O14" s="98"/>
      <c r="P14" s="98"/>
      <c r="Q14" s="98"/>
      <c r="R14" s="98"/>
      <c r="S14" s="98"/>
      <c r="T14" s="98"/>
      <c r="U14" s="98"/>
    </row>
    <row r="15" spans="1:21" x14ac:dyDescent="0.25">
      <c r="A15" s="98"/>
      <c r="B15" s="98"/>
      <c r="E15" s="98"/>
      <c r="F15" s="98"/>
      <c r="G15" s="98"/>
      <c r="H15" s="87">
        <v>11</v>
      </c>
      <c r="I15" s="98"/>
      <c r="J15" s="53"/>
      <c r="K15" s="98"/>
      <c r="L15" s="53"/>
      <c r="M15" s="98"/>
      <c r="N15" s="98"/>
      <c r="O15" s="98"/>
      <c r="P15" s="98"/>
      <c r="Q15" s="98"/>
      <c r="R15" s="98"/>
      <c r="S15" s="98"/>
      <c r="T15" s="98"/>
      <c r="U15" s="98"/>
    </row>
    <row r="16" spans="1:21" x14ac:dyDescent="0.25">
      <c r="A16" s="98"/>
      <c r="B16" s="98"/>
      <c r="E16" s="98"/>
      <c r="F16" s="98"/>
      <c r="G16" s="98"/>
      <c r="H16" s="87">
        <v>12</v>
      </c>
      <c r="I16" s="98"/>
      <c r="K16" s="98"/>
      <c r="L16" s="98"/>
      <c r="M16" s="98"/>
      <c r="N16" s="98"/>
      <c r="O16" s="98"/>
      <c r="P16" s="98"/>
      <c r="Q16" s="98"/>
      <c r="R16" s="98"/>
      <c r="S16" s="98"/>
      <c r="T16" s="98"/>
      <c r="U16" s="98"/>
    </row>
  </sheetData>
  <sheetProtection algorithmName="SHA-512" hashValue="m1QTIf5K3Wo05BcAJEmWrm9RP9aAwWSIcNr8cn3Snel31CeTPpc233vFPlAbi6qmb4Jadg07/5jCTMPc+oeh+A==" saltValue="42M5Ekz/7Lvh/OfpK/Tscw==" spinCount="100000" sheet="1" objects="1" scenarios="1" selectLockedCells="1" selectUnlockedCells="1"/>
  <mergeCells count="2">
    <mergeCell ref="F1:O1"/>
    <mergeCell ref="A1:D1"/>
  </mergeCells>
  <pageMargins left="0.7" right="0.7" top="0.75" bottom="0.75" header="0.3" footer="0.3"/>
  <pageSetup scale="4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1:BF47"/>
  <sheetViews>
    <sheetView zoomScale="80" zoomScaleNormal="80" workbookViewId="0">
      <pane ySplit="8" topLeftCell="A39" activePane="bottomLeft" state="frozen"/>
      <selection activeCell="F28" sqref="F28"/>
      <selection pane="bottomLeft" activeCell="P36" sqref="P36:P37"/>
    </sheetView>
  </sheetViews>
  <sheetFormatPr defaultRowHeight="15" x14ac:dyDescent="0.25"/>
  <cols>
    <col min="1" max="1" width="15.5703125" customWidth="1"/>
    <col min="2" max="3" width="6.7109375" customWidth="1"/>
    <col min="4" max="9" width="5.7109375" customWidth="1"/>
    <col min="10" max="10" width="6.5703125" customWidth="1"/>
    <col min="11" max="15" width="6.28515625" customWidth="1"/>
    <col min="16" max="16" width="15.140625" customWidth="1"/>
    <col min="17" max="27" width="6.28515625" customWidth="1"/>
    <col min="28" max="41" width="5.7109375" customWidth="1"/>
    <col min="51" max="51" width="6" customWidth="1"/>
    <col min="52" max="52" width="9.140625" hidden="1" customWidth="1"/>
    <col min="53" max="53" width="6.28515625" hidden="1" customWidth="1"/>
    <col min="54" max="54" width="9.140625" hidden="1" customWidth="1"/>
    <col min="55" max="55" width="6.85546875" hidden="1" customWidth="1"/>
    <col min="56" max="56" width="8.7109375" hidden="1" customWidth="1"/>
    <col min="57" max="57" width="9.140625" hidden="1" customWidth="1"/>
    <col min="58" max="58" width="10.85546875" hidden="1" customWidth="1"/>
    <col min="59" max="59" width="40.7109375" customWidth="1"/>
    <col min="60" max="60" width="60.7109375" customWidth="1"/>
  </cols>
  <sheetData>
    <row r="1" spans="1:32" ht="18.75" customHeight="1" x14ac:dyDescent="0.25">
      <c r="A1" s="365" t="s">
        <v>106</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98"/>
      <c r="AE1" s="98"/>
      <c r="AF1" s="98"/>
    </row>
    <row r="2" spans="1:32" x14ac:dyDescent="0.25">
      <c r="A2" s="365"/>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98"/>
      <c r="AE2" s="98"/>
      <c r="AF2" s="98"/>
    </row>
    <row r="3" spans="1:32" x14ac:dyDescent="0.25">
      <c r="A3" s="366" t="s">
        <v>107</v>
      </c>
      <c r="B3" s="367"/>
      <c r="C3" s="367"/>
      <c r="D3" s="367"/>
      <c r="E3" s="367"/>
      <c r="F3" s="368"/>
      <c r="G3" s="369" t="s">
        <v>108</v>
      </c>
      <c r="H3" s="370"/>
      <c r="I3" s="370"/>
      <c r="J3" s="370"/>
      <c r="K3" s="370"/>
      <c r="L3" s="370"/>
      <c r="M3" s="370"/>
      <c r="N3" s="370"/>
      <c r="O3" s="370"/>
      <c r="P3" s="371"/>
      <c r="Q3" s="157"/>
      <c r="R3" s="366" t="s">
        <v>109</v>
      </c>
      <c r="S3" s="367"/>
      <c r="T3" s="368"/>
      <c r="U3" s="372"/>
      <c r="V3" s="372"/>
      <c r="W3" s="372"/>
      <c r="X3" s="372"/>
      <c r="Y3" s="372"/>
      <c r="Z3" s="372"/>
      <c r="AA3" s="372"/>
      <c r="AB3" s="372"/>
      <c r="AC3" s="372"/>
      <c r="AD3" s="98"/>
      <c r="AE3" s="98"/>
      <c r="AF3" s="98"/>
    </row>
    <row r="4" spans="1:32" x14ac:dyDescent="0.25">
      <c r="A4" s="366" t="s">
        <v>110</v>
      </c>
      <c r="B4" s="367"/>
      <c r="C4" s="367"/>
      <c r="D4" s="367"/>
      <c r="E4" s="367"/>
      <c r="F4" s="368"/>
      <c r="G4" s="373"/>
      <c r="H4" s="374"/>
      <c r="I4" s="374"/>
      <c r="J4" s="374"/>
      <c r="K4" s="374"/>
      <c r="L4" s="374"/>
      <c r="M4" s="374"/>
      <c r="N4" s="374"/>
      <c r="O4" s="374"/>
      <c r="P4" s="375"/>
      <c r="Q4" s="157"/>
      <c r="R4" s="366" t="s">
        <v>111</v>
      </c>
      <c r="S4" s="367"/>
      <c r="T4" s="368"/>
      <c r="U4" s="364"/>
      <c r="V4" s="364"/>
      <c r="W4" s="364"/>
      <c r="X4" s="364"/>
      <c r="Y4" s="364"/>
      <c r="Z4" s="364"/>
      <c r="AA4" s="364"/>
      <c r="AB4" s="364"/>
      <c r="AC4" s="364"/>
      <c r="AD4" s="98"/>
      <c r="AE4" s="98"/>
      <c r="AF4" s="98"/>
    </row>
    <row r="5" spans="1:32" x14ac:dyDescent="0.25">
      <c r="A5" s="343" t="s">
        <v>112</v>
      </c>
      <c r="B5" s="344"/>
      <c r="C5" s="344"/>
      <c r="D5" s="344"/>
      <c r="E5" s="344"/>
      <c r="F5" s="345"/>
      <c r="G5" s="379"/>
      <c r="H5" s="380"/>
      <c r="I5" s="380"/>
      <c r="J5" s="380"/>
      <c r="K5" s="380"/>
      <c r="L5" s="380"/>
      <c r="M5" s="380"/>
      <c r="N5" s="380"/>
      <c r="O5" s="380"/>
      <c r="P5" s="381"/>
      <c r="Q5" s="157"/>
      <c r="R5" s="366" t="s">
        <v>113</v>
      </c>
      <c r="S5" s="367"/>
      <c r="T5" s="368"/>
      <c r="U5" s="372"/>
      <c r="V5" s="372"/>
      <c r="W5" s="372"/>
      <c r="X5" s="372"/>
      <c r="Y5" s="372"/>
      <c r="Z5" s="372"/>
      <c r="AA5" s="372"/>
      <c r="AB5" s="372"/>
      <c r="AC5" s="372"/>
      <c r="AD5" s="98"/>
      <c r="AE5" s="98"/>
      <c r="AF5" s="98"/>
    </row>
    <row r="6" spans="1:32" x14ac:dyDescent="0.25">
      <c r="A6" s="376"/>
      <c r="B6" s="377"/>
      <c r="C6" s="377"/>
      <c r="D6" s="377"/>
      <c r="E6" s="377"/>
      <c r="F6" s="378"/>
      <c r="G6" s="382"/>
      <c r="H6" s="383"/>
      <c r="I6" s="383"/>
      <c r="J6" s="383"/>
      <c r="K6" s="383"/>
      <c r="L6" s="383"/>
      <c r="M6" s="383"/>
      <c r="N6" s="383"/>
      <c r="O6" s="383"/>
      <c r="P6" s="384"/>
      <c r="Q6" s="157"/>
      <c r="R6" s="366" t="s">
        <v>114</v>
      </c>
      <c r="S6" s="367"/>
      <c r="T6" s="368"/>
      <c r="U6" s="373"/>
      <c r="V6" s="374"/>
      <c r="W6" s="374"/>
      <c r="X6" s="374"/>
      <c r="Y6" s="374"/>
      <c r="Z6" s="374"/>
      <c r="AA6" s="374"/>
      <c r="AB6" s="374"/>
      <c r="AC6" s="375"/>
      <c r="AD6" s="98"/>
      <c r="AE6" s="98"/>
      <c r="AF6" s="98"/>
    </row>
    <row r="7" spans="1:32" ht="30" customHeight="1" x14ac:dyDescent="0.25">
      <c r="A7" s="355" t="s">
        <v>115</v>
      </c>
      <c r="B7" s="356"/>
      <c r="C7" s="356"/>
      <c r="D7" s="356"/>
      <c r="E7" s="356"/>
      <c r="F7" s="357"/>
      <c r="G7" s="340"/>
      <c r="H7" s="341"/>
      <c r="I7" s="341"/>
      <c r="J7" s="341"/>
      <c r="K7" s="342"/>
      <c r="L7" s="340"/>
      <c r="M7" s="341"/>
      <c r="N7" s="341"/>
      <c r="O7" s="341"/>
      <c r="P7" s="342"/>
      <c r="Q7" s="157"/>
      <c r="R7" s="343" t="s">
        <v>118</v>
      </c>
      <c r="S7" s="344"/>
      <c r="T7" s="345"/>
      <c r="U7" s="346"/>
      <c r="V7" s="347"/>
      <c r="W7" s="347"/>
      <c r="X7" s="347"/>
      <c r="Y7" s="347"/>
      <c r="Z7" s="347"/>
      <c r="AA7" s="347"/>
      <c r="AB7" s="347"/>
      <c r="AC7" s="348"/>
      <c r="AD7" s="98"/>
      <c r="AE7" s="98"/>
      <c r="AF7" s="98"/>
    </row>
    <row r="8" spans="1:32" ht="18.75" customHeight="1" x14ac:dyDescent="0.25">
      <c r="A8" s="352" t="s">
        <v>119</v>
      </c>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4"/>
      <c r="AD8" s="98"/>
      <c r="AE8" s="98"/>
      <c r="AF8" s="98"/>
    </row>
    <row r="9" spans="1:32" ht="18.75" customHeight="1" x14ac:dyDescent="0.3">
      <c r="A9" s="349" t="s">
        <v>120</v>
      </c>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1"/>
      <c r="AD9" s="98"/>
      <c r="AE9" s="98"/>
      <c r="AF9" s="98"/>
    </row>
    <row r="10" spans="1:32" ht="20.100000000000001" customHeight="1" x14ac:dyDescent="0.25">
      <c r="A10" s="404" t="s">
        <v>121</v>
      </c>
      <c r="B10" s="404"/>
      <c r="C10" s="404"/>
      <c r="D10" s="404"/>
      <c r="E10" s="404"/>
      <c r="F10" s="404"/>
      <c r="G10" s="404"/>
      <c r="H10" s="404"/>
      <c r="I10" s="330" t="s">
        <v>122</v>
      </c>
      <c r="J10" s="330"/>
      <c r="K10" s="330"/>
      <c r="L10" s="330"/>
      <c r="M10" s="330"/>
      <c r="N10" s="330"/>
      <c r="O10" s="330"/>
      <c r="P10" s="330"/>
      <c r="Q10" s="330"/>
      <c r="R10" s="330"/>
      <c r="S10" s="330"/>
      <c r="T10" s="330"/>
      <c r="U10" s="330"/>
      <c r="V10" s="330"/>
      <c r="W10" s="330"/>
      <c r="X10" s="330"/>
      <c r="Y10" s="330"/>
      <c r="Z10" s="330"/>
      <c r="AA10" s="330"/>
      <c r="AB10" s="330"/>
      <c r="AC10" s="330"/>
      <c r="AD10" s="98"/>
      <c r="AE10" s="98"/>
      <c r="AF10" s="98"/>
    </row>
    <row r="11" spans="1:32" ht="20.100000000000001" customHeight="1" x14ac:dyDescent="0.25">
      <c r="A11" s="404" t="s">
        <v>123</v>
      </c>
      <c r="B11" s="404"/>
      <c r="C11" s="404"/>
      <c r="D11" s="404"/>
      <c r="E11" s="404"/>
      <c r="F11" s="404"/>
      <c r="G11" s="404"/>
      <c r="H11" s="404"/>
      <c r="I11" s="330" t="s">
        <v>124</v>
      </c>
      <c r="J11" s="330"/>
      <c r="K11" s="330"/>
      <c r="L11" s="330"/>
      <c r="M11" s="330"/>
      <c r="N11" s="330"/>
      <c r="O11" s="330"/>
      <c r="P11" s="330"/>
      <c r="Q11" s="330"/>
      <c r="R11" s="330"/>
      <c r="S11" s="330"/>
      <c r="T11" s="330"/>
      <c r="U11" s="330"/>
      <c r="V11" s="330"/>
      <c r="W11" s="330"/>
      <c r="X11" s="330"/>
      <c r="Y11" s="330"/>
      <c r="Z11" s="330"/>
      <c r="AA11" s="330"/>
      <c r="AB11" s="330"/>
      <c r="AC11" s="330"/>
      <c r="AD11" s="98"/>
      <c r="AE11" s="98"/>
      <c r="AF11" s="98"/>
    </row>
    <row r="12" spans="1:32" ht="20.100000000000001" customHeight="1" x14ac:dyDescent="0.25">
      <c r="A12" s="404" t="s">
        <v>125</v>
      </c>
      <c r="B12" s="404"/>
      <c r="C12" s="404"/>
      <c r="D12" s="404"/>
      <c r="E12" s="404"/>
      <c r="F12" s="404"/>
      <c r="G12" s="404"/>
      <c r="H12" s="404"/>
      <c r="I12" s="330">
        <v>275</v>
      </c>
      <c r="J12" s="330"/>
      <c r="K12" s="330"/>
      <c r="L12" s="330"/>
      <c r="M12" s="330"/>
      <c r="N12" s="330"/>
      <c r="O12" s="330"/>
      <c r="P12" s="330"/>
      <c r="Q12" s="330"/>
      <c r="R12" s="330"/>
      <c r="S12" s="330"/>
      <c r="T12" s="330"/>
      <c r="U12" s="330"/>
      <c r="V12" s="330"/>
      <c r="W12" s="330"/>
      <c r="X12" s="330"/>
      <c r="Y12" s="330"/>
      <c r="Z12" s="330"/>
      <c r="AA12" s="330"/>
      <c r="AB12" s="330"/>
      <c r="AC12" s="330"/>
      <c r="AD12" s="98"/>
      <c r="AE12" s="98"/>
      <c r="AF12" s="98"/>
    </row>
    <row r="13" spans="1:32" s="98" customFormat="1" ht="20.100000000000001" customHeight="1" x14ac:dyDescent="0.25">
      <c r="A13" s="358" t="s">
        <v>126</v>
      </c>
      <c r="B13" s="359"/>
      <c r="C13" s="359"/>
      <c r="D13" s="359"/>
      <c r="E13" s="359"/>
      <c r="F13" s="359"/>
      <c r="G13" s="359"/>
      <c r="H13" s="360"/>
      <c r="I13" s="331"/>
      <c r="J13" s="332"/>
      <c r="K13" s="332"/>
      <c r="L13" s="332"/>
      <c r="M13" s="332"/>
      <c r="N13" s="332"/>
      <c r="O13" s="332"/>
      <c r="P13" s="332"/>
      <c r="Q13" s="332"/>
      <c r="R13" s="332"/>
      <c r="S13" s="332"/>
      <c r="T13" s="332"/>
      <c r="U13" s="332"/>
      <c r="V13" s="332"/>
      <c r="W13" s="332"/>
      <c r="X13" s="332"/>
      <c r="Y13" s="332"/>
      <c r="Z13" s="332"/>
      <c r="AA13" s="332"/>
      <c r="AB13" s="332"/>
      <c r="AC13" s="333"/>
    </row>
    <row r="14" spans="1:32" s="98" customFormat="1" ht="20.100000000000001" customHeight="1" x14ac:dyDescent="0.25">
      <c r="A14" s="358" t="s">
        <v>127</v>
      </c>
      <c r="B14" s="359"/>
      <c r="C14" s="359"/>
      <c r="D14" s="359"/>
      <c r="E14" s="359"/>
      <c r="F14" s="359"/>
      <c r="G14" s="359"/>
      <c r="H14" s="360"/>
      <c r="I14" s="361"/>
      <c r="J14" s="362"/>
      <c r="K14" s="362"/>
      <c r="L14" s="362"/>
      <c r="M14" s="362"/>
      <c r="N14" s="362"/>
      <c r="O14" s="362"/>
      <c r="P14" s="362"/>
      <c r="Q14" s="362"/>
      <c r="R14" s="362"/>
      <c r="S14" s="362"/>
      <c r="T14" s="362"/>
      <c r="U14" s="362"/>
      <c r="V14" s="362"/>
      <c r="W14" s="362"/>
      <c r="X14" s="362"/>
      <c r="Y14" s="362"/>
      <c r="Z14" s="362"/>
      <c r="AA14" s="362"/>
      <c r="AB14" s="362"/>
      <c r="AC14" s="363"/>
    </row>
    <row r="15" spans="1:32" s="98" customFormat="1" ht="20.100000000000001" customHeight="1" x14ac:dyDescent="0.25">
      <c r="A15" s="388" t="s">
        <v>128</v>
      </c>
      <c r="B15" s="389"/>
      <c r="C15" s="389"/>
      <c r="D15" s="389"/>
      <c r="E15" s="389"/>
      <c r="F15" s="389"/>
      <c r="G15" s="389"/>
      <c r="H15" s="390"/>
      <c r="I15" s="391" t="s">
        <v>129</v>
      </c>
      <c r="J15" s="392"/>
      <c r="K15" s="392"/>
      <c r="L15" s="392"/>
      <c r="M15" s="392"/>
      <c r="N15" s="392"/>
      <c r="O15" s="392"/>
      <c r="P15" s="392"/>
      <c r="Q15" s="392"/>
      <c r="R15" s="392"/>
      <c r="S15" s="392"/>
      <c r="T15" s="392"/>
      <c r="U15" s="393"/>
      <c r="V15" s="177"/>
      <c r="W15" s="177"/>
      <c r="X15" s="177"/>
      <c r="Y15" s="177"/>
      <c r="Z15" s="177"/>
      <c r="AA15" s="177"/>
      <c r="AB15" s="177"/>
      <c r="AC15" s="177"/>
    </row>
    <row r="16" spans="1:32" s="98" customFormat="1" ht="20.100000000000001" customHeight="1" x14ac:dyDescent="0.25">
      <c r="A16" s="385" t="s">
        <v>130</v>
      </c>
      <c r="B16" s="386"/>
      <c r="C16" s="386"/>
      <c r="D16" s="387"/>
      <c r="E16" s="385" t="s">
        <v>131</v>
      </c>
      <c r="F16" s="386"/>
      <c r="G16" s="386"/>
      <c r="H16" s="387"/>
      <c r="I16" s="334" t="s">
        <v>132</v>
      </c>
      <c r="J16" s="335"/>
      <c r="K16" s="335"/>
      <c r="L16" s="335"/>
      <c r="M16" s="335"/>
      <c r="N16" s="335"/>
      <c r="O16" s="336"/>
      <c r="P16" s="334" t="s">
        <v>133</v>
      </c>
      <c r="Q16" s="335"/>
      <c r="R16" s="335"/>
      <c r="S16" s="335"/>
      <c r="T16" s="335"/>
      <c r="U16" s="336"/>
      <c r="V16" s="177"/>
      <c r="W16" s="177"/>
      <c r="X16" s="177"/>
      <c r="Y16" s="177"/>
      <c r="Z16" s="177"/>
      <c r="AA16" s="177"/>
      <c r="AB16" s="177"/>
      <c r="AC16" s="177"/>
    </row>
    <row r="17" spans="1:32" s="98" customFormat="1" ht="20.100000000000001" customHeight="1" x14ac:dyDescent="0.25">
      <c r="A17" s="325" t="s">
        <v>134</v>
      </c>
      <c r="B17" s="326"/>
      <c r="C17" s="326"/>
      <c r="D17" s="327"/>
      <c r="E17" s="325" t="s">
        <v>134</v>
      </c>
      <c r="F17" s="326"/>
      <c r="G17" s="326"/>
      <c r="H17" s="327"/>
      <c r="I17" s="325"/>
      <c r="J17" s="326"/>
      <c r="K17" s="326"/>
      <c r="L17" s="326"/>
      <c r="M17" s="326"/>
      <c r="N17" s="326"/>
      <c r="O17" s="327"/>
      <c r="P17" s="325"/>
      <c r="Q17" s="326"/>
      <c r="R17" s="326"/>
      <c r="S17" s="326"/>
      <c r="T17" s="326"/>
      <c r="U17" s="327"/>
      <c r="V17" s="177"/>
      <c r="W17" s="177"/>
      <c r="X17" s="177"/>
      <c r="Y17" s="177"/>
      <c r="Z17" s="177"/>
      <c r="AA17" s="177"/>
      <c r="AB17" s="177"/>
      <c r="AC17" s="177"/>
    </row>
    <row r="18" spans="1:32" ht="20.100000000000001" customHeight="1" x14ac:dyDescent="0.25">
      <c r="A18" s="394" t="s">
        <v>135</v>
      </c>
      <c r="B18" s="394"/>
      <c r="C18" s="394"/>
      <c r="D18" s="394"/>
      <c r="E18" s="394"/>
      <c r="F18" s="394"/>
      <c r="G18" s="394"/>
      <c r="H18" s="394"/>
      <c r="I18" s="328" t="s">
        <v>136</v>
      </c>
      <c r="J18" s="328"/>
      <c r="K18" s="328"/>
      <c r="L18" s="328"/>
      <c r="M18" s="328"/>
      <c r="N18" s="328"/>
      <c r="O18" s="328"/>
      <c r="P18" s="328"/>
      <c r="Q18" s="328"/>
      <c r="R18" s="328"/>
      <c r="S18" s="328"/>
      <c r="T18" s="328"/>
      <c r="U18" s="328"/>
      <c r="V18" s="177"/>
      <c r="W18" s="177"/>
      <c r="X18" s="177"/>
      <c r="Y18" s="177"/>
      <c r="Z18" s="177"/>
      <c r="AA18" s="177"/>
      <c r="AB18" s="177"/>
      <c r="AC18" s="177"/>
      <c r="AD18" s="98"/>
      <c r="AE18" s="98"/>
      <c r="AF18" s="98"/>
    </row>
    <row r="19" spans="1:32" ht="20.100000000000001" customHeight="1" x14ac:dyDescent="0.25">
      <c r="A19" s="395" t="s">
        <v>130</v>
      </c>
      <c r="B19" s="395"/>
      <c r="C19" s="395"/>
      <c r="D19" s="395"/>
      <c r="E19" s="395" t="s">
        <v>131</v>
      </c>
      <c r="F19" s="395"/>
      <c r="G19" s="395"/>
      <c r="H19" s="395"/>
      <c r="I19" s="329" t="s">
        <v>137</v>
      </c>
      <c r="J19" s="329"/>
      <c r="K19" s="329"/>
      <c r="L19" s="329"/>
      <c r="M19" s="329"/>
      <c r="N19" s="329"/>
      <c r="O19" s="329"/>
      <c r="P19" s="329" t="s">
        <v>138</v>
      </c>
      <c r="Q19" s="329"/>
      <c r="R19" s="329"/>
      <c r="S19" s="329"/>
      <c r="T19" s="329"/>
      <c r="U19" s="329"/>
      <c r="V19" s="177"/>
      <c r="W19" s="177"/>
      <c r="X19" s="177"/>
      <c r="Y19" s="177"/>
      <c r="Z19" s="177"/>
      <c r="AA19" s="177"/>
      <c r="AB19" s="177"/>
      <c r="AC19" s="177"/>
      <c r="AD19" s="98"/>
      <c r="AE19" s="98"/>
      <c r="AF19" s="98"/>
    </row>
    <row r="20" spans="1:32" ht="20.100000000000001" customHeight="1" x14ac:dyDescent="0.25">
      <c r="A20" s="330" t="s">
        <v>134</v>
      </c>
      <c r="B20" s="330"/>
      <c r="C20" s="330"/>
      <c r="D20" s="330"/>
      <c r="E20" s="330" t="s">
        <v>134</v>
      </c>
      <c r="F20" s="330"/>
      <c r="G20" s="330"/>
      <c r="H20" s="330"/>
      <c r="I20" s="330"/>
      <c r="J20" s="330"/>
      <c r="K20" s="330"/>
      <c r="L20" s="330"/>
      <c r="M20" s="330"/>
      <c r="N20" s="330"/>
      <c r="O20" s="330"/>
      <c r="P20" s="330"/>
      <c r="Q20" s="330"/>
      <c r="R20" s="330"/>
      <c r="S20" s="330"/>
      <c r="T20" s="330"/>
      <c r="U20" s="330"/>
      <c r="V20" s="177"/>
      <c r="W20" s="177"/>
      <c r="X20" s="177"/>
      <c r="Y20" s="177"/>
      <c r="Z20" s="177"/>
      <c r="AA20" s="177"/>
      <c r="AB20" s="177"/>
      <c r="AC20" s="177"/>
      <c r="AD20" s="98"/>
      <c r="AE20" s="98"/>
      <c r="AF20" s="98"/>
    </row>
    <row r="21" spans="1:32" ht="20.100000000000001" customHeight="1" x14ac:dyDescent="0.25">
      <c r="A21" s="394" t="s">
        <v>139</v>
      </c>
      <c r="B21" s="394"/>
      <c r="C21" s="394"/>
      <c r="D21" s="394"/>
      <c r="E21" s="394"/>
      <c r="F21" s="394"/>
      <c r="G21" s="394"/>
      <c r="H21" s="394"/>
      <c r="I21" s="328" t="s">
        <v>140</v>
      </c>
      <c r="J21" s="328"/>
      <c r="K21" s="328"/>
      <c r="L21" s="328"/>
      <c r="M21" s="328"/>
      <c r="N21" s="328"/>
      <c r="O21" s="328"/>
      <c r="P21" s="328"/>
      <c r="Q21" s="328"/>
      <c r="R21" s="328"/>
      <c r="S21" s="328"/>
      <c r="T21" s="328"/>
      <c r="U21" s="328"/>
      <c r="V21" s="177"/>
      <c r="W21" s="177"/>
      <c r="X21" s="177"/>
      <c r="Y21" s="177"/>
      <c r="Z21" s="177"/>
      <c r="AA21" s="177"/>
      <c r="AB21" s="177"/>
      <c r="AC21" s="177"/>
      <c r="AD21" s="98"/>
      <c r="AE21" s="98"/>
      <c r="AF21" s="98"/>
    </row>
    <row r="22" spans="1:32" ht="20.100000000000001" customHeight="1" x14ac:dyDescent="0.25">
      <c r="A22" s="395" t="s">
        <v>130</v>
      </c>
      <c r="B22" s="395"/>
      <c r="C22" s="395"/>
      <c r="D22" s="395"/>
      <c r="E22" s="395" t="s">
        <v>131</v>
      </c>
      <c r="F22" s="395"/>
      <c r="G22" s="395"/>
      <c r="H22" s="395"/>
      <c r="I22" s="334" t="s">
        <v>141</v>
      </c>
      <c r="J22" s="335"/>
      <c r="K22" s="335"/>
      <c r="L22" s="335"/>
      <c r="M22" s="335"/>
      <c r="N22" s="335"/>
      <c r="O22" s="336"/>
      <c r="P22" s="334" t="s">
        <v>142</v>
      </c>
      <c r="Q22" s="335"/>
      <c r="R22" s="335"/>
      <c r="S22" s="335"/>
      <c r="T22" s="335"/>
      <c r="U22" s="336"/>
      <c r="V22" s="177"/>
      <c r="W22" s="177"/>
      <c r="X22" s="177"/>
      <c r="Y22" s="177"/>
      <c r="Z22" s="177"/>
      <c r="AA22" s="177"/>
      <c r="AB22" s="177"/>
      <c r="AC22" s="177"/>
      <c r="AD22" s="98"/>
      <c r="AE22" s="98"/>
      <c r="AF22" s="98"/>
    </row>
    <row r="23" spans="1:32" ht="20.100000000000001" customHeight="1" x14ac:dyDescent="0.25">
      <c r="A23" s="330"/>
      <c r="B23" s="330"/>
      <c r="C23" s="330"/>
      <c r="D23" s="330"/>
      <c r="E23" s="330"/>
      <c r="F23" s="330"/>
      <c r="G23" s="330"/>
      <c r="H23" s="330"/>
      <c r="I23" s="331"/>
      <c r="J23" s="332"/>
      <c r="K23" s="332"/>
      <c r="L23" s="332"/>
      <c r="M23" s="332"/>
      <c r="N23" s="332"/>
      <c r="O23" s="333"/>
      <c r="P23" s="331"/>
      <c r="Q23" s="332"/>
      <c r="R23" s="332"/>
      <c r="S23" s="332"/>
      <c r="T23" s="332"/>
      <c r="U23" s="333"/>
      <c r="V23" s="177"/>
      <c r="W23" s="177"/>
      <c r="X23" s="177"/>
      <c r="Y23" s="177"/>
      <c r="Z23" s="177"/>
      <c r="AA23" s="177"/>
      <c r="AB23" s="177"/>
      <c r="AC23" s="177"/>
      <c r="AD23" s="98"/>
      <c r="AE23" s="98"/>
      <c r="AF23" s="98"/>
    </row>
    <row r="24" spans="1:32" ht="20.100000000000001" customHeight="1" x14ac:dyDescent="0.25">
      <c r="A24" s="394" t="s">
        <v>143</v>
      </c>
      <c r="B24" s="394"/>
      <c r="C24" s="394"/>
      <c r="D24" s="394"/>
      <c r="E24" s="394"/>
      <c r="F24" s="394"/>
      <c r="G24" s="394"/>
      <c r="H24" s="394"/>
      <c r="I24" s="337" t="s">
        <v>144</v>
      </c>
      <c r="J24" s="338"/>
      <c r="K24" s="338"/>
      <c r="L24" s="338"/>
      <c r="M24" s="338"/>
      <c r="N24" s="338"/>
      <c r="O24" s="338"/>
      <c r="P24" s="338"/>
      <c r="Q24" s="338"/>
      <c r="R24" s="338"/>
      <c r="S24" s="338"/>
      <c r="T24" s="338"/>
      <c r="U24" s="339"/>
      <c r="V24" s="177"/>
      <c r="W24" s="177"/>
      <c r="X24" s="177"/>
      <c r="Y24" s="177"/>
      <c r="Z24" s="177"/>
      <c r="AA24" s="177"/>
      <c r="AB24" s="177"/>
      <c r="AC24" s="177"/>
      <c r="AD24" s="98"/>
      <c r="AE24" s="98"/>
      <c r="AF24" s="98"/>
    </row>
    <row r="25" spans="1:32" ht="20.100000000000001" customHeight="1" x14ac:dyDescent="0.25">
      <c r="A25" s="395" t="s">
        <v>130</v>
      </c>
      <c r="B25" s="395"/>
      <c r="C25" s="395"/>
      <c r="D25" s="395"/>
      <c r="E25" s="395" t="s">
        <v>131</v>
      </c>
      <c r="F25" s="395"/>
      <c r="G25" s="395"/>
      <c r="H25" s="395"/>
      <c r="I25" s="334" t="s">
        <v>145</v>
      </c>
      <c r="J25" s="335"/>
      <c r="K25" s="335"/>
      <c r="L25" s="335"/>
      <c r="M25" s="335"/>
      <c r="N25" s="335"/>
      <c r="O25" s="336"/>
      <c r="P25" s="334" t="s">
        <v>146</v>
      </c>
      <c r="Q25" s="335"/>
      <c r="R25" s="335"/>
      <c r="S25" s="335"/>
      <c r="T25" s="335"/>
      <c r="U25" s="336"/>
      <c r="V25" s="177"/>
      <c r="W25" s="177"/>
      <c r="X25" s="177"/>
      <c r="Y25" s="177"/>
      <c r="Z25" s="177"/>
      <c r="AA25" s="177"/>
      <c r="AB25" s="177"/>
      <c r="AC25" s="177"/>
      <c r="AD25" s="98"/>
      <c r="AE25" s="98"/>
      <c r="AF25" s="98"/>
    </row>
    <row r="26" spans="1:32" ht="20.100000000000001" customHeight="1" thickBot="1" x14ac:dyDescent="0.3">
      <c r="A26" s="403" t="s">
        <v>134</v>
      </c>
      <c r="B26" s="403"/>
      <c r="C26" s="403"/>
      <c r="D26" s="403"/>
      <c r="E26" s="403" t="s">
        <v>134</v>
      </c>
      <c r="F26" s="403"/>
      <c r="G26" s="403"/>
      <c r="H26" s="403"/>
      <c r="I26" s="322"/>
      <c r="J26" s="323"/>
      <c r="K26" s="323"/>
      <c r="L26" s="323"/>
      <c r="M26" s="323"/>
      <c r="N26" s="323"/>
      <c r="O26" s="323"/>
      <c r="P26" s="322"/>
      <c r="Q26" s="323"/>
      <c r="R26" s="323"/>
      <c r="S26" s="323"/>
      <c r="T26" s="323"/>
      <c r="U26" s="324"/>
      <c r="V26" s="177"/>
      <c r="W26" s="177"/>
      <c r="X26" s="177"/>
      <c r="Y26" s="177"/>
      <c r="Z26" s="177"/>
      <c r="AA26" s="177"/>
      <c r="AB26" s="177"/>
      <c r="AC26" s="177"/>
      <c r="AD26" s="98"/>
      <c r="AE26" s="98"/>
      <c r="AF26" s="98"/>
    </row>
    <row r="27" spans="1:32" ht="20.25" customHeight="1" thickTop="1" thickBot="1" x14ac:dyDescent="0.3">
      <c r="A27" s="396" t="s">
        <v>147</v>
      </c>
      <c r="B27" s="397"/>
      <c r="C27" s="397"/>
      <c r="D27" s="397"/>
      <c r="E27" s="397"/>
      <c r="F27" s="397"/>
      <c r="G27" s="397"/>
      <c r="H27" s="397"/>
      <c r="I27" s="398"/>
      <c r="J27" s="398"/>
      <c r="K27" s="398"/>
      <c r="L27" s="398"/>
      <c r="M27" s="398"/>
      <c r="N27" s="398"/>
      <c r="O27" s="398"/>
      <c r="P27" s="398"/>
      <c r="Q27" s="398"/>
      <c r="R27" s="398"/>
      <c r="S27" s="398"/>
      <c r="T27" s="398"/>
      <c r="U27" s="398"/>
      <c r="V27" s="397"/>
      <c r="W27" s="397"/>
      <c r="X27" s="397"/>
      <c r="Y27" s="397"/>
      <c r="Z27" s="397"/>
      <c r="AA27" s="397"/>
      <c r="AB27" s="397"/>
      <c r="AC27" s="399"/>
      <c r="AD27" s="98"/>
      <c r="AE27" s="98"/>
      <c r="AF27" s="98"/>
    </row>
    <row r="28" spans="1:32" ht="20.100000000000001" customHeight="1" thickTop="1" thickBot="1" x14ac:dyDescent="0.3">
      <c r="A28" s="215" t="s">
        <v>148</v>
      </c>
      <c r="B28" s="216" t="s">
        <v>149</v>
      </c>
      <c r="C28" s="217" t="s">
        <v>150</v>
      </c>
      <c r="D28" s="217" t="s">
        <v>151</v>
      </c>
      <c r="E28" s="217" t="s">
        <v>152</v>
      </c>
      <c r="F28" s="217" t="s">
        <v>153</v>
      </c>
      <c r="G28" s="217" t="s">
        <v>154</v>
      </c>
      <c r="H28" s="217" t="s">
        <v>155</v>
      </c>
      <c r="I28" s="217" t="s">
        <v>156</v>
      </c>
      <c r="J28" s="217" t="s">
        <v>157</v>
      </c>
      <c r="K28" s="217" t="s">
        <v>158</v>
      </c>
      <c r="L28" s="217" t="s">
        <v>159</v>
      </c>
      <c r="M28" s="218" t="s">
        <v>160</v>
      </c>
      <c r="N28" s="219" t="s">
        <v>161</v>
      </c>
      <c r="O28" s="220"/>
      <c r="P28" s="221" t="s">
        <v>162</v>
      </c>
      <c r="Q28" s="222" t="s">
        <v>149</v>
      </c>
      <c r="R28" s="217" t="s">
        <v>150</v>
      </c>
      <c r="S28" s="217" t="s">
        <v>151</v>
      </c>
      <c r="T28" s="217" t="s">
        <v>152</v>
      </c>
      <c r="U28" s="217" t="s">
        <v>153</v>
      </c>
      <c r="V28" s="217" t="s">
        <v>154</v>
      </c>
      <c r="W28" s="217" t="s">
        <v>155</v>
      </c>
      <c r="X28" s="217" t="s">
        <v>156</v>
      </c>
      <c r="Y28" s="217" t="s">
        <v>157</v>
      </c>
      <c r="Z28" s="217" t="s">
        <v>158</v>
      </c>
      <c r="AA28" s="217" t="s">
        <v>159</v>
      </c>
      <c r="AB28" s="218" t="s">
        <v>160</v>
      </c>
      <c r="AC28" s="223" t="s">
        <v>161</v>
      </c>
      <c r="AD28" s="98"/>
      <c r="AE28" s="98"/>
      <c r="AF28" s="98"/>
    </row>
    <row r="29" spans="1:32" ht="20.100000000000001" customHeight="1" thickTop="1" x14ac:dyDescent="0.25">
      <c r="A29" s="262" t="s">
        <v>163</v>
      </c>
      <c r="B29" s="65"/>
      <c r="C29" s="61"/>
      <c r="D29" s="61"/>
      <c r="E29" s="61"/>
      <c r="F29" s="61"/>
      <c r="G29" s="61"/>
      <c r="H29" s="61"/>
      <c r="I29" s="61"/>
      <c r="J29" s="61"/>
      <c r="K29" s="61"/>
      <c r="L29" s="61"/>
      <c r="M29" s="62"/>
      <c r="N29" s="225">
        <f>SUM(B29:M29)</f>
        <v>0</v>
      </c>
      <c r="O29" s="226"/>
      <c r="P29" s="224" t="s">
        <v>164</v>
      </c>
      <c r="Q29" s="64"/>
      <c r="R29" s="61"/>
      <c r="S29" s="61"/>
      <c r="T29" s="61"/>
      <c r="U29" s="61"/>
      <c r="V29" s="61"/>
      <c r="W29" s="61"/>
      <c r="X29" s="61"/>
      <c r="Y29" s="61"/>
      <c r="Z29" s="61"/>
      <c r="AA29" s="61"/>
      <c r="AB29" s="62"/>
      <c r="AC29" s="227">
        <f>SUM(Q29:AB29)</f>
        <v>0</v>
      </c>
      <c r="AD29" s="98"/>
      <c r="AE29" s="98"/>
      <c r="AF29" s="98"/>
    </row>
    <row r="30" spans="1:32" ht="20.100000000000001" customHeight="1" x14ac:dyDescent="0.25">
      <c r="A30" s="263" t="s">
        <v>165</v>
      </c>
      <c r="B30" s="229"/>
      <c r="C30" s="60"/>
      <c r="D30" s="60"/>
      <c r="E30" s="60"/>
      <c r="F30" s="60"/>
      <c r="G30" s="60"/>
      <c r="H30" s="60"/>
      <c r="I30" s="60"/>
      <c r="J30" s="60"/>
      <c r="K30" s="60"/>
      <c r="L30" s="60"/>
      <c r="M30" s="63"/>
      <c r="N30" s="230">
        <f t="shared" ref="N30:N33" si="0">SUM(B30:M30)</f>
        <v>0</v>
      </c>
      <c r="O30" s="231"/>
      <c r="P30" s="228" t="s">
        <v>165</v>
      </c>
      <c r="Q30" s="229"/>
      <c r="R30" s="60"/>
      <c r="S30" s="60"/>
      <c r="T30" s="60"/>
      <c r="U30" s="60"/>
      <c r="V30" s="60"/>
      <c r="W30" s="60"/>
      <c r="X30" s="60"/>
      <c r="Y30" s="60"/>
      <c r="Z30" s="60"/>
      <c r="AA30" s="60"/>
      <c r="AB30" s="63"/>
      <c r="AC30" s="232">
        <f t="shared" ref="AC30:AC31" si="1">SUM(Q30:AB30)</f>
        <v>0</v>
      </c>
      <c r="AD30" s="98"/>
      <c r="AE30" s="98"/>
      <c r="AF30" s="98"/>
    </row>
    <row r="31" spans="1:32" ht="20.100000000000001" customHeight="1" x14ac:dyDescent="0.25">
      <c r="A31" s="263" t="s">
        <v>166</v>
      </c>
      <c r="B31" s="229"/>
      <c r="C31" s="60"/>
      <c r="D31" s="60"/>
      <c r="E31" s="60"/>
      <c r="F31" s="60"/>
      <c r="G31" s="60"/>
      <c r="H31" s="60"/>
      <c r="I31" s="60"/>
      <c r="J31" s="60"/>
      <c r="K31" s="60"/>
      <c r="L31" s="60"/>
      <c r="M31" s="63"/>
      <c r="N31" s="230">
        <f t="shared" si="0"/>
        <v>0</v>
      </c>
      <c r="O31" s="231"/>
      <c r="P31" s="233" t="s">
        <v>167</v>
      </c>
      <c r="Q31" s="229"/>
      <c r="R31" s="60"/>
      <c r="S31" s="60"/>
      <c r="T31" s="60"/>
      <c r="U31" s="60"/>
      <c r="V31" s="60"/>
      <c r="W31" s="60"/>
      <c r="X31" s="60"/>
      <c r="Y31" s="60"/>
      <c r="Z31" s="60"/>
      <c r="AA31" s="60"/>
      <c r="AB31" s="63"/>
      <c r="AC31" s="232">
        <f t="shared" si="1"/>
        <v>0</v>
      </c>
      <c r="AD31" s="98"/>
      <c r="AE31" s="98"/>
      <c r="AF31" s="98"/>
    </row>
    <row r="32" spans="1:32" ht="20.100000000000001" customHeight="1" thickBot="1" x14ac:dyDescent="0.3">
      <c r="A32" s="264" t="s">
        <v>168</v>
      </c>
      <c r="B32" s="235"/>
      <c r="C32" s="236">
        <f>B33</f>
        <v>0</v>
      </c>
      <c r="D32" s="236">
        <f t="shared" ref="D32:M32" si="2">C33</f>
        <v>0</v>
      </c>
      <c r="E32" s="236">
        <f t="shared" si="2"/>
        <v>0</v>
      </c>
      <c r="F32" s="236">
        <f t="shared" si="2"/>
        <v>0</v>
      </c>
      <c r="G32" s="236">
        <f t="shared" si="2"/>
        <v>0</v>
      </c>
      <c r="H32" s="236">
        <f t="shared" si="2"/>
        <v>0</v>
      </c>
      <c r="I32" s="236">
        <f t="shared" si="2"/>
        <v>0</v>
      </c>
      <c r="J32" s="236">
        <f t="shared" si="2"/>
        <v>0</v>
      </c>
      <c r="K32" s="236">
        <f t="shared" si="2"/>
        <v>0</v>
      </c>
      <c r="L32" s="236">
        <f t="shared" si="2"/>
        <v>0</v>
      </c>
      <c r="M32" s="236">
        <f t="shared" si="2"/>
        <v>0</v>
      </c>
      <c r="N32" s="230">
        <f t="shared" si="0"/>
        <v>0</v>
      </c>
      <c r="O32" s="231"/>
      <c r="P32" s="234" t="s">
        <v>168</v>
      </c>
      <c r="Q32" s="235"/>
      <c r="R32" s="236">
        <f t="shared" ref="R32:AB32" si="3">Q33</f>
        <v>0</v>
      </c>
      <c r="S32" s="236">
        <f>R33</f>
        <v>0</v>
      </c>
      <c r="T32" s="236">
        <f t="shared" si="3"/>
        <v>0</v>
      </c>
      <c r="U32" s="236">
        <f t="shared" si="3"/>
        <v>0</v>
      </c>
      <c r="V32" s="236">
        <f t="shared" si="3"/>
        <v>0</v>
      </c>
      <c r="W32" s="236">
        <f t="shared" si="3"/>
        <v>0</v>
      </c>
      <c r="X32" s="236">
        <f t="shared" si="3"/>
        <v>0</v>
      </c>
      <c r="Y32" s="236">
        <f t="shared" si="3"/>
        <v>0</v>
      </c>
      <c r="Z32" s="236">
        <f t="shared" si="3"/>
        <v>0</v>
      </c>
      <c r="AA32" s="236">
        <f t="shared" si="3"/>
        <v>0</v>
      </c>
      <c r="AB32" s="237">
        <f t="shared" si="3"/>
        <v>0</v>
      </c>
      <c r="AC32" s="232">
        <f>SUM(Q32:AB32)</f>
        <v>0</v>
      </c>
      <c r="AD32" s="98"/>
      <c r="AE32" s="98"/>
      <c r="AF32" s="98"/>
    </row>
    <row r="33" spans="1:29" ht="20.100000000000001" customHeight="1" thickBot="1" x14ac:dyDescent="0.3">
      <c r="A33" s="238" t="s">
        <v>161</v>
      </c>
      <c r="B33" s="239">
        <f>B32+B29-B30-B31</f>
        <v>0</v>
      </c>
      <c r="C33" s="240">
        <f>C32+C29-C30-C31</f>
        <v>0</v>
      </c>
      <c r="D33" s="240">
        <f t="shared" ref="D33:M33" si="4">D32+D29-D30-D31</f>
        <v>0</v>
      </c>
      <c r="E33" s="240">
        <f t="shared" si="4"/>
        <v>0</v>
      </c>
      <c r="F33" s="240">
        <f t="shared" si="4"/>
        <v>0</v>
      </c>
      <c r="G33" s="240">
        <f t="shared" si="4"/>
        <v>0</v>
      </c>
      <c r="H33" s="240">
        <f t="shared" si="4"/>
        <v>0</v>
      </c>
      <c r="I33" s="240">
        <f t="shared" si="4"/>
        <v>0</v>
      </c>
      <c r="J33" s="240">
        <f t="shared" si="4"/>
        <v>0</v>
      </c>
      <c r="K33" s="240">
        <f t="shared" si="4"/>
        <v>0</v>
      </c>
      <c r="L33" s="240">
        <f t="shared" si="4"/>
        <v>0</v>
      </c>
      <c r="M33" s="241">
        <f t="shared" si="4"/>
        <v>0</v>
      </c>
      <c r="N33" s="242">
        <f t="shared" si="0"/>
        <v>0</v>
      </c>
      <c r="O33" s="243"/>
      <c r="P33" s="244" t="s">
        <v>161</v>
      </c>
      <c r="Q33" s="245">
        <f>Q32+Q29-Q30-Q31</f>
        <v>0</v>
      </c>
      <c r="R33" s="245">
        <f t="shared" ref="R33:AB33" si="5">R32+R29-R30-R31</f>
        <v>0</v>
      </c>
      <c r="S33" s="245">
        <f t="shared" si="5"/>
        <v>0</v>
      </c>
      <c r="T33" s="245">
        <f t="shared" si="5"/>
        <v>0</v>
      </c>
      <c r="U33" s="245">
        <f t="shared" si="5"/>
        <v>0</v>
      </c>
      <c r="V33" s="245">
        <f t="shared" si="5"/>
        <v>0</v>
      </c>
      <c r="W33" s="245">
        <f t="shared" si="5"/>
        <v>0</v>
      </c>
      <c r="X33" s="245">
        <f t="shared" si="5"/>
        <v>0</v>
      </c>
      <c r="Y33" s="245">
        <f t="shared" si="5"/>
        <v>0</v>
      </c>
      <c r="Z33" s="245">
        <f t="shared" si="5"/>
        <v>0</v>
      </c>
      <c r="AA33" s="245">
        <f t="shared" si="5"/>
        <v>0</v>
      </c>
      <c r="AB33" s="245">
        <f t="shared" si="5"/>
        <v>0</v>
      </c>
      <c r="AC33" s="246">
        <f>SUM(Q33:AB33)</f>
        <v>0</v>
      </c>
    </row>
    <row r="34" spans="1:29" ht="20.100000000000001" customHeight="1" thickTop="1" thickBot="1" x14ac:dyDescent="0.3">
      <c r="A34" s="400" t="s">
        <v>169</v>
      </c>
      <c r="B34" s="401"/>
      <c r="C34" s="401"/>
      <c r="D34" s="401"/>
      <c r="E34" s="401"/>
      <c r="F34" s="401"/>
      <c r="G34" s="401"/>
      <c r="H34" s="401"/>
      <c r="I34" s="401"/>
      <c r="J34" s="401"/>
      <c r="K34" s="401"/>
      <c r="L34" s="401"/>
      <c r="M34" s="401"/>
      <c r="N34" s="401"/>
      <c r="O34" s="401"/>
      <c r="P34" s="401"/>
      <c r="Q34" s="401"/>
      <c r="R34" s="401"/>
      <c r="S34" s="401"/>
      <c r="T34" s="401"/>
      <c r="U34" s="401"/>
      <c r="V34" s="401"/>
      <c r="W34" s="401"/>
      <c r="X34" s="401"/>
      <c r="Y34" s="401"/>
      <c r="Z34" s="401"/>
      <c r="AA34" s="401"/>
      <c r="AB34" s="401"/>
      <c r="AC34" s="402"/>
    </row>
    <row r="35" spans="1:29" ht="76.5" customHeight="1" thickTop="1" thickBot="1" x14ac:dyDescent="0.3">
      <c r="A35" s="247" t="s">
        <v>170</v>
      </c>
      <c r="B35" s="248" t="s">
        <v>149</v>
      </c>
      <c r="C35" s="249" t="s">
        <v>150</v>
      </c>
      <c r="D35" s="249" t="s">
        <v>151</v>
      </c>
      <c r="E35" s="249" t="s">
        <v>152</v>
      </c>
      <c r="F35" s="249" t="s">
        <v>153</v>
      </c>
      <c r="G35" s="249" t="s">
        <v>154</v>
      </c>
      <c r="H35" s="249" t="s">
        <v>155</v>
      </c>
      <c r="I35" s="249" t="s">
        <v>156</v>
      </c>
      <c r="J35" s="249" t="s">
        <v>157</v>
      </c>
      <c r="K35" s="249" t="s">
        <v>158</v>
      </c>
      <c r="L35" s="249" t="s">
        <v>159</v>
      </c>
      <c r="M35" s="250" t="s">
        <v>160</v>
      </c>
      <c r="N35" s="251" t="s">
        <v>161</v>
      </c>
      <c r="O35" s="252"/>
      <c r="P35" s="253" t="s">
        <v>171</v>
      </c>
      <c r="Q35" s="254" t="s">
        <v>149</v>
      </c>
      <c r="R35" s="249" t="s">
        <v>150</v>
      </c>
      <c r="S35" s="249" t="s">
        <v>151</v>
      </c>
      <c r="T35" s="249" t="s">
        <v>152</v>
      </c>
      <c r="U35" s="249" t="s">
        <v>153</v>
      </c>
      <c r="V35" s="249" t="s">
        <v>154</v>
      </c>
      <c r="W35" s="249" t="s">
        <v>155</v>
      </c>
      <c r="X35" s="249" t="s">
        <v>156</v>
      </c>
      <c r="Y35" s="249" t="s">
        <v>157</v>
      </c>
      <c r="Z35" s="249" t="s">
        <v>158</v>
      </c>
      <c r="AA35" s="249" t="s">
        <v>159</v>
      </c>
      <c r="AB35" s="255" t="s">
        <v>160</v>
      </c>
      <c r="AC35" s="256" t="s">
        <v>161</v>
      </c>
    </row>
    <row r="36" spans="1:29" ht="20.100000000000001" customHeight="1" x14ac:dyDescent="0.25">
      <c r="A36" s="66"/>
      <c r="B36" s="67"/>
      <c r="C36" s="68"/>
      <c r="D36" s="68"/>
      <c r="E36" s="68"/>
      <c r="F36" s="68"/>
      <c r="G36" s="68"/>
      <c r="H36" s="68"/>
      <c r="I36" s="68"/>
      <c r="J36" s="68"/>
      <c r="K36" s="68"/>
      <c r="L36" s="68"/>
      <c r="M36" s="69"/>
      <c r="N36" s="225">
        <f>SUM(B36:M36)</f>
        <v>0</v>
      </c>
      <c r="O36" s="260"/>
      <c r="P36" s="66"/>
      <c r="Q36" s="67"/>
      <c r="R36" s="68"/>
      <c r="S36" s="68"/>
      <c r="T36" s="68"/>
      <c r="U36" s="68"/>
      <c r="V36" s="68"/>
      <c r="W36" s="68"/>
      <c r="X36" s="68"/>
      <c r="Y36" s="68"/>
      <c r="Z36" s="68"/>
      <c r="AA36" s="68"/>
      <c r="AB36" s="69"/>
      <c r="AC36" s="257">
        <f>SUM(Q36:AB36)</f>
        <v>0</v>
      </c>
    </row>
    <row r="37" spans="1:29" ht="20.100000000000001" customHeight="1" x14ac:dyDescent="0.25">
      <c r="A37" s="70"/>
      <c r="B37" s="71"/>
      <c r="C37" s="60"/>
      <c r="D37" s="60"/>
      <c r="E37" s="60"/>
      <c r="F37" s="60"/>
      <c r="G37" s="60"/>
      <c r="H37" s="60"/>
      <c r="I37" s="60"/>
      <c r="J37" s="60"/>
      <c r="K37" s="60"/>
      <c r="L37" s="60"/>
      <c r="M37" s="63"/>
      <c r="N37" s="230">
        <f t="shared" ref="N37:N46" si="6">SUM(B37:M37)</f>
        <v>0</v>
      </c>
      <c r="O37" s="260"/>
      <c r="P37" s="70"/>
      <c r="Q37" s="71"/>
      <c r="R37" s="60"/>
      <c r="S37" s="60"/>
      <c r="T37" s="60"/>
      <c r="U37" s="60"/>
      <c r="V37" s="60"/>
      <c r="W37" s="60"/>
      <c r="X37" s="60"/>
      <c r="Y37" s="60"/>
      <c r="Z37" s="60"/>
      <c r="AA37" s="60"/>
      <c r="AB37" s="63"/>
      <c r="AC37" s="258">
        <f t="shared" ref="AC37:AC46" si="7">SUM(Q37:AB37)</f>
        <v>0</v>
      </c>
    </row>
    <row r="38" spans="1:29" x14ac:dyDescent="0.25">
      <c r="A38" s="72"/>
      <c r="B38" s="71"/>
      <c r="C38" s="60"/>
      <c r="D38" s="60"/>
      <c r="E38" s="60"/>
      <c r="F38" s="60"/>
      <c r="G38" s="60"/>
      <c r="H38" s="60"/>
      <c r="I38" s="60"/>
      <c r="J38" s="60"/>
      <c r="K38" s="60"/>
      <c r="L38" s="60"/>
      <c r="M38" s="63"/>
      <c r="N38" s="230">
        <f t="shared" si="6"/>
        <v>0</v>
      </c>
      <c r="O38" s="260"/>
      <c r="P38" s="72"/>
      <c r="Q38" s="71"/>
      <c r="R38" s="60"/>
      <c r="S38" s="60"/>
      <c r="T38" s="60"/>
      <c r="U38" s="60"/>
      <c r="V38" s="60"/>
      <c r="W38" s="60"/>
      <c r="X38" s="60"/>
      <c r="Y38" s="60"/>
      <c r="Z38" s="60"/>
      <c r="AA38" s="60"/>
      <c r="AB38" s="63"/>
      <c r="AC38" s="258">
        <f t="shared" si="7"/>
        <v>0</v>
      </c>
    </row>
    <row r="39" spans="1:29" x14ac:dyDescent="0.25">
      <c r="A39" s="72"/>
      <c r="B39" s="71"/>
      <c r="C39" s="60"/>
      <c r="D39" s="60"/>
      <c r="E39" s="60"/>
      <c r="F39" s="60"/>
      <c r="G39" s="60"/>
      <c r="H39" s="60"/>
      <c r="I39" s="60"/>
      <c r="J39" s="60"/>
      <c r="K39" s="60"/>
      <c r="L39" s="60"/>
      <c r="M39" s="63"/>
      <c r="N39" s="230">
        <f t="shared" si="6"/>
        <v>0</v>
      </c>
      <c r="O39" s="260"/>
      <c r="P39" s="72"/>
      <c r="Q39" s="71"/>
      <c r="R39" s="60"/>
      <c r="S39" s="60"/>
      <c r="T39" s="60"/>
      <c r="U39" s="60"/>
      <c r="V39" s="60"/>
      <c r="W39" s="60"/>
      <c r="X39" s="60"/>
      <c r="Y39" s="60"/>
      <c r="Z39" s="60"/>
      <c r="AA39" s="60"/>
      <c r="AB39" s="63"/>
      <c r="AC39" s="258">
        <f t="shared" si="7"/>
        <v>0</v>
      </c>
    </row>
    <row r="40" spans="1:29" x14ac:dyDescent="0.25">
      <c r="A40" s="72"/>
      <c r="B40" s="71"/>
      <c r="C40" s="60"/>
      <c r="D40" s="60"/>
      <c r="E40" s="60"/>
      <c r="F40" s="60"/>
      <c r="G40" s="60"/>
      <c r="H40" s="60"/>
      <c r="I40" s="60"/>
      <c r="J40" s="60"/>
      <c r="K40" s="60"/>
      <c r="L40" s="60"/>
      <c r="M40" s="63"/>
      <c r="N40" s="230">
        <f t="shared" si="6"/>
        <v>0</v>
      </c>
      <c r="O40" s="260"/>
      <c r="P40" s="72"/>
      <c r="Q40" s="71"/>
      <c r="R40" s="60"/>
      <c r="S40" s="60"/>
      <c r="T40" s="60"/>
      <c r="U40" s="60"/>
      <c r="V40" s="60"/>
      <c r="W40" s="60"/>
      <c r="X40" s="60"/>
      <c r="Y40" s="60"/>
      <c r="Z40" s="60"/>
      <c r="AA40" s="60"/>
      <c r="AB40" s="63"/>
      <c r="AC40" s="258">
        <f t="shared" si="7"/>
        <v>0</v>
      </c>
    </row>
    <row r="41" spans="1:29" x14ac:dyDescent="0.25">
      <c r="A41" s="72"/>
      <c r="B41" s="71"/>
      <c r="C41" s="60"/>
      <c r="D41" s="60"/>
      <c r="E41" s="60"/>
      <c r="F41" s="60"/>
      <c r="G41" s="60"/>
      <c r="H41" s="60"/>
      <c r="I41" s="60"/>
      <c r="J41" s="60"/>
      <c r="K41" s="60"/>
      <c r="L41" s="60"/>
      <c r="M41" s="63"/>
      <c r="N41" s="230">
        <f t="shared" si="6"/>
        <v>0</v>
      </c>
      <c r="O41" s="260"/>
      <c r="P41" s="72"/>
      <c r="Q41" s="71"/>
      <c r="R41" s="60"/>
      <c r="S41" s="60"/>
      <c r="T41" s="60"/>
      <c r="U41" s="60"/>
      <c r="V41" s="60"/>
      <c r="W41" s="60"/>
      <c r="X41" s="60"/>
      <c r="Y41" s="60"/>
      <c r="Z41" s="60"/>
      <c r="AA41" s="60"/>
      <c r="AB41" s="63"/>
      <c r="AC41" s="258">
        <f t="shared" si="7"/>
        <v>0</v>
      </c>
    </row>
    <row r="42" spans="1:29" x14ac:dyDescent="0.25">
      <c r="A42" s="72"/>
      <c r="B42" s="71"/>
      <c r="C42" s="60"/>
      <c r="D42" s="60"/>
      <c r="E42" s="60"/>
      <c r="F42" s="60"/>
      <c r="G42" s="60"/>
      <c r="H42" s="60"/>
      <c r="I42" s="60"/>
      <c r="J42" s="60"/>
      <c r="K42" s="60"/>
      <c r="L42" s="60"/>
      <c r="M42" s="63"/>
      <c r="N42" s="230">
        <f t="shared" si="6"/>
        <v>0</v>
      </c>
      <c r="O42" s="260"/>
      <c r="P42" s="72"/>
      <c r="Q42" s="71"/>
      <c r="R42" s="60"/>
      <c r="S42" s="60"/>
      <c r="T42" s="60"/>
      <c r="U42" s="60"/>
      <c r="V42" s="60"/>
      <c r="W42" s="60"/>
      <c r="X42" s="60"/>
      <c r="Y42" s="60"/>
      <c r="Z42" s="60"/>
      <c r="AA42" s="60"/>
      <c r="AB42" s="63"/>
      <c r="AC42" s="258">
        <f t="shared" si="7"/>
        <v>0</v>
      </c>
    </row>
    <row r="43" spans="1:29" x14ac:dyDescent="0.25">
      <c r="A43" s="72"/>
      <c r="B43" s="71"/>
      <c r="C43" s="60"/>
      <c r="D43" s="60"/>
      <c r="E43" s="60"/>
      <c r="F43" s="60"/>
      <c r="G43" s="60"/>
      <c r="H43" s="60"/>
      <c r="I43" s="60"/>
      <c r="J43" s="60"/>
      <c r="K43" s="60"/>
      <c r="L43" s="60"/>
      <c r="M43" s="63"/>
      <c r="N43" s="230">
        <f t="shared" si="6"/>
        <v>0</v>
      </c>
      <c r="O43" s="260"/>
      <c r="P43" s="72"/>
      <c r="Q43" s="71"/>
      <c r="R43" s="60"/>
      <c r="S43" s="60"/>
      <c r="T43" s="60"/>
      <c r="U43" s="60"/>
      <c r="V43" s="60"/>
      <c r="W43" s="60"/>
      <c r="X43" s="60"/>
      <c r="Y43" s="60"/>
      <c r="Z43" s="60"/>
      <c r="AA43" s="60"/>
      <c r="AB43" s="63"/>
      <c r="AC43" s="258">
        <f t="shared" si="7"/>
        <v>0</v>
      </c>
    </row>
    <row r="44" spans="1:29" x14ac:dyDescent="0.25">
      <c r="A44" s="72"/>
      <c r="B44" s="71"/>
      <c r="C44" s="60"/>
      <c r="D44" s="60"/>
      <c r="E44" s="60"/>
      <c r="F44" s="60"/>
      <c r="G44" s="60"/>
      <c r="H44" s="60"/>
      <c r="I44" s="60"/>
      <c r="J44" s="60"/>
      <c r="K44" s="60"/>
      <c r="L44" s="60"/>
      <c r="M44" s="63"/>
      <c r="N44" s="230">
        <f t="shared" si="6"/>
        <v>0</v>
      </c>
      <c r="O44" s="260"/>
      <c r="P44" s="72"/>
      <c r="Q44" s="71"/>
      <c r="R44" s="60"/>
      <c r="S44" s="60"/>
      <c r="T44" s="60"/>
      <c r="U44" s="60"/>
      <c r="V44" s="60"/>
      <c r="W44" s="60"/>
      <c r="X44" s="60"/>
      <c r="Y44" s="60"/>
      <c r="Z44" s="60"/>
      <c r="AA44" s="60"/>
      <c r="AB44" s="63"/>
      <c r="AC44" s="258">
        <f t="shared" si="7"/>
        <v>0</v>
      </c>
    </row>
    <row r="45" spans="1:29" x14ac:dyDescent="0.25">
      <c r="A45" s="72"/>
      <c r="B45" s="71"/>
      <c r="C45" s="60"/>
      <c r="D45" s="60"/>
      <c r="E45" s="60"/>
      <c r="F45" s="60"/>
      <c r="G45" s="60"/>
      <c r="H45" s="60"/>
      <c r="I45" s="60"/>
      <c r="J45" s="60"/>
      <c r="K45" s="60"/>
      <c r="L45" s="60"/>
      <c r="M45" s="63"/>
      <c r="N45" s="230">
        <f t="shared" si="6"/>
        <v>0</v>
      </c>
      <c r="O45" s="260"/>
      <c r="P45" s="72"/>
      <c r="Q45" s="71"/>
      <c r="R45" s="60"/>
      <c r="S45" s="60"/>
      <c r="T45" s="60"/>
      <c r="U45" s="60"/>
      <c r="V45" s="60"/>
      <c r="W45" s="60"/>
      <c r="X45" s="60"/>
      <c r="Y45" s="60"/>
      <c r="Z45" s="60"/>
      <c r="AA45" s="60"/>
      <c r="AB45" s="63"/>
      <c r="AC45" s="258">
        <f t="shared" si="7"/>
        <v>0</v>
      </c>
    </row>
    <row r="46" spans="1:29" ht="15.75" thickBot="1" x14ac:dyDescent="0.3">
      <c r="A46" s="73"/>
      <c r="B46" s="74"/>
      <c r="C46" s="75"/>
      <c r="D46" s="75"/>
      <c r="E46" s="75"/>
      <c r="F46" s="75"/>
      <c r="G46" s="75"/>
      <c r="H46" s="75"/>
      <c r="I46" s="75"/>
      <c r="J46" s="75"/>
      <c r="K46" s="75"/>
      <c r="L46" s="75"/>
      <c r="M46" s="76"/>
      <c r="N46" s="242">
        <f t="shared" si="6"/>
        <v>0</v>
      </c>
      <c r="O46" s="261"/>
      <c r="P46" s="73"/>
      <c r="Q46" s="74"/>
      <c r="R46" s="75"/>
      <c r="S46" s="75"/>
      <c r="T46" s="75"/>
      <c r="U46" s="75"/>
      <c r="V46" s="75"/>
      <c r="W46" s="75"/>
      <c r="X46" s="75"/>
      <c r="Y46" s="75"/>
      <c r="Z46" s="75"/>
      <c r="AA46" s="75"/>
      <c r="AB46" s="76"/>
      <c r="AC46" s="259">
        <f t="shared" si="7"/>
        <v>0</v>
      </c>
    </row>
    <row r="47" spans="1:29" ht="15.75" thickTop="1" x14ac:dyDescent="0.25">
      <c r="A47" s="98"/>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row>
  </sheetData>
  <sheetProtection algorithmName="SHA-512" hashValue="MYO+PcBlMv+l07a9RcFjW27FEY7SfFIbek5lT5Gmn6gDNaTKr7f39xkH9D3klWxyFedsOf6Zf4RlVaptJk2bEg==" saltValue="LcItrJIR/1bsffEF26VvJA==" spinCount="100000" sheet="1" objects="1" scenarios="1" selectLockedCells="1"/>
  <mergeCells count="74">
    <mergeCell ref="A27:AC27"/>
    <mergeCell ref="A34:AC34"/>
    <mergeCell ref="I10:AC10"/>
    <mergeCell ref="I11:AC11"/>
    <mergeCell ref="I12:AC12"/>
    <mergeCell ref="A25:D25"/>
    <mergeCell ref="E25:H25"/>
    <mergeCell ref="A26:D26"/>
    <mergeCell ref="E26:H26"/>
    <mergeCell ref="A18:H18"/>
    <mergeCell ref="A12:H12"/>
    <mergeCell ref="A11:H11"/>
    <mergeCell ref="A10:H10"/>
    <mergeCell ref="E22:H22"/>
    <mergeCell ref="A22:D22"/>
    <mergeCell ref="A24:H24"/>
    <mergeCell ref="A20:D20"/>
    <mergeCell ref="E20:H20"/>
    <mergeCell ref="A21:H21"/>
    <mergeCell ref="A19:D19"/>
    <mergeCell ref="E19:H19"/>
    <mergeCell ref="A16:D16"/>
    <mergeCell ref="E16:H16"/>
    <mergeCell ref="I16:O16"/>
    <mergeCell ref="P16:U16"/>
    <mergeCell ref="A15:H15"/>
    <mergeCell ref="I15:U15"/>
    <mergeCell ref="A5:F6"/>
    <mergeCell ref="G5:P6"/>
    <mergeCell ref="R5:T5"/>
    <mergeCell ref="U5:AC5"/>
    <mergeCell ref="R6:T6"/>
    <mergeCell ref="U6:AC6"/>
    <mergeCell ref="U4:AC4"/>
    <mergeCell ref="A1:AC2"/>
    <mergeCell ref="A3:F3"/>
    <mergeCell ref="G3:P3"/>
    <mergeCell ref="R3:T3"/>
    <mergeCell ref="U3:AC3"/>
    <mergeCell ref="A4:F4"/>
    <mergeCell ref="G4:P4"/>
    <mergeCell ref="R4:T4"/>
    <mergeCell ref="I24:U24"/>
    <mergeCell ref="L7:P7"/>
    <mergeCell ref="R7:T7"/>
    <mergeCell ref="U7:AC7"/>
    <mergeCell ref="I22:O22"/>
    <mergeCell ref="P22:U22"/>
    <mergeCell ref="A9:AC9"/>
    <mergeCell ref="A8:AC8"/>
    <mergeCell ref="A7:F7"/>
    <mergeCell ref="G7:K7"/>
    <mergeCell ref="A13:H13"/>
    <mergeCell ref="A14:H14"/>
    <mergeCell ref="I13:AC13"/>
    <mergeCell ref="I14:AC14"/>
    <mergeCell ref="A23:D23"/>
    <mergeCell ref="E23:H23"/>
    <mergeCell ref="I26:O26"/>
    <mergeCell ref="P26:U26"/>
    <mergeCell ref="A17:D17"/>
    <mergeCell ref="E17:H17"/>
    <mergeCell ref="I17:O17"/>
    <mergeCell ref="P17:U17"/>
    <mergeCell ref="I18:U18"/>
    <mergeCell ref="I19:O19"/>
    <mergeCell ref="P19:U19"/>
    <mergeCell ref="I20:O20"/>
    <mergeCell ref="P20:U20"/>
    <mergeCell ref="I21:U21"/>
    <mergeCell ref="I23:O23"/>
    <mergeCell ref="P23:U23"/>
    <mergeCell ref="I25:O25"/>
    <mergeCell ref="P25:U25"/>
  </mergeCells>
  <dataValidations count="4">
    <dataValidation type="list" allowBlank="1" showInputMessage="1" showErrorMessage="1" sqref="L7:P7" xr:uid="{00000000-0002-0000-0100-000000000000}">
      <formula1>Year</formula1>
    </dataValidation>
    <dataValidation type="list" allowBlank="1" showInputMessage="1" showErrorMessage="1" sqref="G7:K7" xr:uid="{00000000-0002-0000-0100-000001000000}">
      <formula1>Month</formula1>
    </dataValidation>
    <dataValidation type="list" allowBlank="1" showInputMessage="1" showErrorMessage="1" sqref="I13:AC13" xr:uid="{00000000-0002-0000-0100-000002000000}">
      <formula1>TFI</formula1>
    </dataValidation>
    <dataValidation type="list" allowBlank="1" showInputMessage="1" showErrorMessage="1" sqref="I14:AC14" xr:uid="{00000000-0002-0000-0100-000003000000}">
      <formula1>StratPlan</formula1>
    </dataValidation>
  </dataValidations>
  <pageMargins left="0.7" right="0.7" top="0.75" bottom="0.75" header="0.3" footer="0.3"/>
  <pageSetup scale="68" orientation="landscape" r:id="rId1"/>
  <headerFooter>
    <oddFooter>&amp;LRevised 2/28/19&amp;C&amp;A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BF500"/>
  <sheetViews>
    <sheetView zoomScale="80" zoomScaleNormal="80" workbookViewId="0">
      <pane ySplit="6" topLeftCell="A7" activePane="bottomLeft" state="frozen"/>
      <selection activeCell="F28" sqref="F28"/>
      <selection pane="bottomLeft" activeCell="A9" sqref="A9:AC18"/>
    </sheetView>
  </sheetViews>
  <sheetFormatPr defaultRowHeight="15" x14ac:dyDescent="0.25"/>
  <cols>
    <col min="1" max="1" width="7.28515625" customWidth="1"/>
    <col min="2" max="3" width="6.7109375" customWidth="1"/>
    <col min="4" max="9" width="5.7109375" customWidth="1"/>
    <col min="10" max="27" width="6.28515625" customWidth="1"/>
    <col min="28" max="41" width="5.7109375" customWidth="1"/>
    <col min="51" max="51" width="6" customWidth="1"/>
    <col min="52" max="52" width="9.140625" hidden="1" customWidth="1"/>
    <col min="53" max="53" width="6.28515625" hidden="1" customWidth="1"/>
    <col min="54" max="54" width="9.140625" hidden="1" customWidth="1"/>
    <col min="55" max="55" width="6.85546875" hidden="1" customWidth="1"/>
    <col min="56" max="56" width="8.7109375" hidden="1" customWidth="1"/>
    <col min="57" max="57" width="9.140625" hidden="1" customWidth="1"/>
    <col min="58" max="58" width="10.85546875" hidden="1" customWidth="1"/>
    <col min="59" max="59" width="40.7109375" customWidth="1"/>
    <col min="60" max="60" width="60.7109375" customWidth="1"/>
  </cols>
  <sheetData>
    <row r="1" spans="1:29" ht="18.75" customHeight="1" x14ac:dyDescent="0.25">
      <c r="A1" s="432" t="s">
        <v>106</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row>
    <row r="2" spans="1:29" x14ac:dyDescent="0.25">
      <c r="A2" s="432"/>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row>
    <row r="3" spans="1:29" x14ac:dyDescent="0.25">
      <c r="A3" s="433" t="s">
        <v>107</v>
      </c>
      <c r="B3" s="434"/>
      <c r="C3" s="434"/>
      <c r="D3" s="434"/>
      <c r="E3" s="434"/>
      <c r="F3" s="435"/>
      <c r="G3" s="436" t="str">
        <f>Setup!G3</f>
        <v>Expanded School Mental Health</v>
      </c>
      <c r="H3" s="437"/>
      <c r="I3" s="437"/>
      <c r="J3" s="437"/>
      <c r="K3" s="437"/>
      <c r="L3" s="437"/>
      <c r="M3" s="437"/>
      <c r="N3" s="437"/>
      <c r="O3" s="437"/>
      <c r="P3" s="438"/>
      <c r="Q3" s="1"/>
      <c r="R3" s="433" t="s">
        <v>109</v>
      </c>
      <c r="S3" s="434"/>
      <c r="T3" s="435"/>
      <c r="U3" s="439">
        <f>Setup!U3</f>
        <v>0</v>
      </c>
      <c r="V3" s="439"/>
      <c r="W3" s="439"/>
      <c r="X3" s="439"/>
      <c r="Y3" s="439"/>
      <c r="Z3" s="439"/>
      <c r="AA3" s="439"/>
      <c r="AB3" s="439"/>
      <c r="AC3" s="439"/>
    </row>
    <row r="4" spans="1:29" x14ac:dyDescent="0.25">
      <c r="A4" s="433" t="s">
        <v>110</v>
      </c>
      <c r="B4" s="434"/>
      <c r="C4" s="434"/>
      <c r="D4" s="434"/>
      <c r="E4" s="434"/>
      <c r="F4" s="435"/>
      <c r="G4" s="440">
        <f>Setup!G4</f>
        <v>0</v>
      </c>
      <c r="H4" s="441"/>
      <c r="I4" s="441"/>
      <c r="J4" s="441"/>
      <c r="K4" s="441"/>
      <c r="L4" s="441"/>
      <c r="M4" s="441"/>
      <c r="N4" s="441"/>
      <c r="O4" s="441"/>
      <c r="P4" s="442"/>
      <c r="Q4" s="1"/>
      <c r="R4" s="433" t="s">
        <v>114</v>
      </c>
      <c r="S4" s="434"/>
      <c r="T4" s="435"/>
      <c r="U4" s="440">
        <f>Setup!U6</f>
        <v>0</v>
      </c>
      <c r="V4" s="441"/>
      <c r="W4" s="441"/>
      <c r="X4" s="441"/>
      <c r="Y4" s="441"/>
      <c r="Z4" s="441"/>
      <c r="AA4" s="441"/>
      <c r="AB4" s="441"/>
      <c r="AC4" s="442"/>
    </row>
    <row r="5" spans="1:29" ht="30" customHeight="1" x14ac:dyDescent="0.25">
      <c r="A5" s="417" t="s">
        <v>115</v>
      </c>
      <c r="B5" s="418"/>
      <c r="C5" s="418"/>
      <c r="D5" s="418"/>
      <c r="E5" s="418"/>
      <c r="F5" s="419"/>
      <c r="G5" s="420">
        <f>Setup!G7</f>
        <v>0</v>
      </c>
      <c r="H5" s="421"/>
      <c r="I5" s="421"/>
      <c r="J5" s="421"/>
      <c r="K5" s="422"/>
      <c r="L5" s="420">
        <f>Setup!L7</f>
        <v>0</v>
      </c>
      <c r="M5" s="421"/>
      <c r="N5" s="421"/>
      <c r="O5" s="421"/>
      <c r="P5" s="422"/>
      <c r="Q5" s="1"/>
      <c r="R5" s="423" t="s">
        <v>118</v>
      </c>
      <c r="S5" s="424"/>
      <c r="T5" s="425"/>
      <c r="U5" s="426">
        <f>Setup!U7</f>
        <v>0</v>
      </c>
      <c r="V5" s="427"/>
      <c r="W5" s="427"/>
      <c r="X5" s="427"/>
      <c r="Y5" s="427"/>
      <c r="Z5" s="427"/>
      <c r="AA5" s="427"/>
      <c r="AB5" s="427"/>
      <c r="AC5" s="428"/>
    </row>
    <row r="6" spans="1:29" ht="18.75" customHeight="1" x14ac:dyDescent="0.25">
      <c r="A6" s="429" t="s">
        <v>119</v>
      </c>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1"/>
    </row>
    <row r="7" spans="1:29" ht="15.75" x14ac:dyDescent="0.25">
      <c r="A7" s="405" t="s">
        <v>172</v>
      </c>
      <c r="B7" s="406"/>
      <c r="C7" s="406"/>
      <c r="D7" s="406"/>
      <c r="E7" s="406"/>
      <c r="F7" s="406"/>
      <c r="G7" s="406"/>
      <c r="H7" s="406"/>
      <c r="I7" s="406"/>
      <c r="J7" s="406"/>
      <c r="K7" s="406"/>
      <c r="L7" s="406"/>
      <c r="M7" s="406"/>
      <c r="N7" s="406"/>
      <c r="O7" s="406"/>
      <c r="P7" s="406"/>
      <c r="Q7" s="406"/>
      <c r="R7" s="406"/>
      <c r="S7" s="406"/>
      <c r="T7" s="406"/>
      <c r="U7" s="406"/>
      <c r="V7" s="406"/>
      <c r="W7" s="406"/>
      <c r="X7" s="406"/>
      <c r="Y7" s="406"/>
      <c r="Z7" s="406"/>
      <c r="AA7" s="406"/>
      <c r="AB7" s="406"/>
      <c r="AC7" s="407"/>
    </row>
    <row r="8" spans="1:29" ht="15.75" customHeight="1" x14ac:dyDescent="0.25">
      <c r="A8" s="408" t="s">
        <v>173</v>
      </c>
      <c r="B8" s="409"/>
      <c r="C8" s="409"/>
      <c r="D8" s="409"/>
      <c r="E8" s="409"/>
      <c r="F8" s="410"/>
      <c r="G8" s="411" t="s">
        <v>174</v>
      </c>
      <c r="H8" s="412"/>
      <c r="I8" s="412"/>
      <c r="J8" s="412"/>
      <c r="K8" s="413"/>
      <c r="L8" s="414" t="s">
        <v>175</v>
      </c>
      <c r="M8" s="415"/>
      <c r="N8" s="415"/>
      <c r="O8" s="415"/>
      <c r="P8" s="416"/>
      <c r="Q8" s="414" t="s">
        <v>176</v>
      </c>
      <c r="R8" s="415"/>
      <c r="S8" s="415"/>
      <c r="T8" s="415"/>
      <c r="U8" s="415"/>
      <c r="V8" s="415"/>
      <c r="W8" s="415"/>
      <c r="X8" s="415"/>
      <c r="Y8" s="415"/>
      <c r="Z8" s="415"/>
      <c r="AA8" s="415"/>
      <c r="AB8" s="415"/>
      <c r="AC8" s="416"/>
    </row>
    <row r="9" spans="1:29" x14ac:dyDescent="0.25">
      <c r="A9" s="330"/>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row>
    <row r="10" spans="1:29" x14ac:dyDescent="0.25">
      <c r="A10" s="330"/>
      <c r="B10" s="330"/>
      <c r="C10" s="330"/>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row>
    <row r="11" spans="1:29" x14ac:dyDescent="0.25">
      <c r="A11" s="330"/>
      <c r="B11" s="330"/>
      <c r="C11" s="330"/>
      <c r="D11" s="330"/>
      <c r="E11" s="330"/>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row>
    <row r="12" spans="1:29" x14ac:dyDescent="0.25">
      <c r="A12" s="330"/>
      <c r="B12" s="330"/>
      <c r="C12" s="330"/>
      <c r="D12" s="330"/>
      <c r="E12" s="330"/>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row>
    <row r="13" spans="1:29" x14ac:dyDescent="0.25">
      <c r="A13" s="330"/>
      <c r="B13" s="330"/>
      <c r="C13" s="330"/>
      <c r="D13" s="330"/>
      <c r="E13" s="330"/>
      <c r="F13" s="330"/>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row>
    <row r="14" spans="1:29" x14ac:dyDescent="0.25">
      <c r="A14" s="330"/>
      <c r="B14" s="330"/>
      <c r="C14" s="330"/>
      <c r="D14" s="330"/>
      <c r="E14" s="330"/>
      <c r="F14" s="330"/>
      <c r="G14" s="330"/>
      <c r="H14" s="330"/>
      <c r="I14" s="330"/>
      <c r="J14" s="330"/>
      <c r="K14" s="330"/>
      <c r="L14" s="330"/>
      <c r="M14" s="330"/>
      <c r="N14" s="330"/>
      <c r="O14" s="330"/>
      <c r="P14" s="330"/>
      <c r="Q14" s="330"/>
      <c r="R14" s="330"/>
      <c r="S14" s="330"/>
      <c r="T14" s="330"/>
      <c r="U14" s="330"/>
      <c r="V14" s="330"/>
      <c r="W14" s="330"/>
      <c r="X14" s="330"/>
      <c r="Y14" s="330"/>
      <c r="Z14" s="330"/>
      <c r="AA14" s="330"/>
      <c r="AB14" s="330"/>
      <c r="AC14" s="330"/>
    </row>
    <row r="15" spans="1:29" x14ac:dyDescent="0.25">
      <c r="A15" s="330"/>
      <c r="B15" s="330"/>
      <c r="C15" s="330"/>
      <c r="D15" s="330"/>
      <c r="E15" s="330"/>
      <c r="F15" s="330"/>
      <c r="G15" s="330"/>
      <c r="H15" s="330"/>
      <c r="I15" s="330"/>
      <c r="J15" s="330"/>
      <c r="K15" s="330"/>
      <c r="L15" s="330"/>
      <c r="M15" s="330"/>
      <c r="N15" s="330"/>
      <c r="O15" s="330"/>
      <c r="P15" s="330"/>
      <c r="Q15" s="330"/>
      <c r="R15" s="330"/>
      <c r="S15" s="330"/>
      <c r="T15" s="330"/>
      <c r="U15" s="330"/>
      <c r="V15" s="330"/>
      <c r="W15" s="330"/>
      <c r="X15" s="330"/>
      <c r="Y15" s="330"/>
      <c r="Z15" s="330"/>
      <c r="AA15" s="330"/>
      <c r="AB15" s="330"/>
      <c r="AC15" s="330"/>
    </row>
    <row r="16" spans="1:29" x14ac:dyDescent="0.25">
      <c r="A16" s="330"/>
      <c r="B16" s="330"/>
      <c r="C16" s="330"/>
      <c r="D16" s="330"/>
      <c r="E16" s="330"/>
      <c r="F16" s="330"/>
      <c r="G16" s="330"/>
      <c r="H16" s="330"/>
      <c r="I16" s="330"/>
      <c r="J16" s="330"/>
      <c r="K16" s="330"/>
      <c r="L16" s="330"/>
      <c r="M16" s="330"/>
      <c r="N16" s="330"/>
      <c r="O16" s="330"/>
      <c r="P16" s="330"/>
      <c r="Q16" s="330"/>
      <c r="R16" s="330"/>
      <c r="S16" s="330"/>
      <c r="T16" s="330"/>
      <c r="U16" s="330"/>
      <c r="V16" s="330"/>
      <c r="W16" s="330"/>
      <c r="X16" s="330"/>
      <c r="Y16" s="330"/>
      <c r="Z16" s="330"/>
      <c r="AA16" s="330"/>
      <c r="AB16" s="330"/>
      <c r="AC16" s="330"/>
    </row>
    <row r="17" spans="1:29" x14ac:dyDescent="0.25">
      <c r="A17" s="330"/>
      <c r="B17" s="330"/>
      <c r="C17" s="330"/>
      <c r="D17" s="330"/>
      <c r="E17" s="330"/>
      <c r="F17" s="330"/>
      <c r="G17" s="330"/>
      <c r="H17" s="330"/>
      <c r="I17" s="330"/>
      <c r="J17" s="330"/>
      <c r="K17" s="330"/>
      <c r="L17" s="330"/>
      <c r="M17" s="330"/>
      <c r="N17" s="330"/>
      <c r="O17" s="330"/>
      <c r="P17" s="330"/>
      <c r="Q17" s="330"/>
      <c r="R17" s="330"/>
      <c r="S17" s="330"/>
      <c r="T17" s="330"/>
      <c r="U17" s="330"/>
      <c r="V17" s="330"/>
      <c r="W17" s="330"/>
      <c r="X17" s="330"/>
      <c r="Y17" s="330"/>
      <c r="Z17" s="330"/>
      <c r="AA17" s="330"/>
      <c r="AB17" s="330"/>
      <c r="AC17" s="330"/>
    </row>
    <row r="18" spans="1:29" x14ac:dyDescent="0.25">
      <c r="A18" s="330"/>
      <c r="B18" s="330"/>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row>
    <row r="19" spans="1:29" x14ac:dyDescent="0.25">
      <c r="A19" s="330"/>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row>
    <row r="20" spans="1:29" x14ac:dyDescent="0.25">
      <c r="A20" s="330"/>
      <c r="B20" s="330"/>
      <c r="C20" s="330"/>
      <c r="D20" s="330"/>
      <c r="E20" s="330"/>
      <c r="F20" s="330"/>
      <c r="G20" s="330"/>
      <c r="H20" s="330"/>
      <c r="I20" s="330"/>
      <c r="J20" s="330"/>
      <c r="K20" s="330"/>
      <c r="L20" s="330"/>
      <c r="M20" s="330"/>
      <c r="N20" s="330"/>
      <c r="O20" s="330"/>
      <c r="P20" s="330"/>
      <c r="Q20" s="330"/>
      <c r="R20" s="330"/>
      <c r="S20" s="330"/>
      <c r="T20" s="330"/>
      <c r="U20" s="330"/>
      <c r="V20" s="330"/>
      <c r="W20" s="330"/>
      <c r="X20" s="330"/>
      <c r="Y20" s="330"/>
      <c r="Z20" s="330"/>
      <c r="AA20" s="330"/>
      <c r="AB20" s="330"/>
      <c r="AC20" s="330"/>
    </row>
    <row r="21" spans="1:29" x14ac:dyDescent="0.25">
      <c r="A21" s="330"/>
      <c r="B21" s="330"/>
      <c r="C21" s="330"/>
      <c r="D21" s="330"/>
      <c r="E21" s="330"/>
      <c r="F21" s="330"/>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row>
    <row r="22" spans="1:29" x14ac:dyDescent="0.25">
      <c r="A22" s="330"/>
      <c r="B22" s="330"/>
      <c r="C22" s="330"/>
      <c r="D22" s="330"/>
      <c r="E22" s="330"/>
      <c r="F22" s="330"/>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row>
    <row r="23" spans="1:29" x14ac:dyDescent="0.25">
      <c r="A23" s="330"/>
      <c r="B23" s="330"/>
      <c r="C23" s="330"/>
      <c r="D23" s="330"/>
      <c r="E23" s="330"/>
      <c r="F23" s="330"/>
      <c r="G23" s="330"/>
      <c r="H23" s="330"/>
      <c r="I23" s="330"/>
      <c r="J23" s="330"/>
      <c r="K23" s="330"/>
      <c r="L23" s="330"/>
      <c r="M23" s="330"/>
      <c r="N23" s="330"/>
      <c r="O23" s="330"/>
      <c r="P23" s="330"/>
      <c r="Q23" s="330"/>
      <c r="R23" s="330"/>
      <c r="S23" s="330"/>
      <c r="T23" s="330"/>
      <c r="U23" s="330"/>
      <c r="V23" s="330"/>
      <c r="W23" s="330"/>
      <c r="X23" s="330"/>
      <c r="Y23" s="330"/>
      <c r="Z23" s="330"/>
      <c r="AA23" s="330"/>
      <c r="AB23" s="330"/>
      <c r="AC23" s="330"/>
    </row>
    <row r="24" spans="1:29" x14ac:dyDescent="0.25">
      <c r="A24" s="330"/>
      <c r="B24" s="330"/>
      <c r="C24" s="330"/>
      <c r="D24" s="330"/>
      <c r="E24" s="330"/>
      <c r="F24" s="330"/>
      <c r="G24" s="330"/>
      <c r="H24" s="330"/>
      <c r="I24" s="330"/>
      <c r="J24" s="330"/>
      <c r="K24" s="330"/>
      <c r="L24" s="330"/>
      <c r="M24" s="330"/>
      <c r="N24" s="330"/>
      <c r="O24" s="330"/>
      <c r="P24" s="330"/>
      <c r="Q24" s="330"/>
      <c r="R24" s="330"/>
      <c r="S24" s="330"/>
      <c r="T24" s="330"/>
      <c r="U24" s="330"/>
      <c r="V24" s="330"/>
      <c r="W24" s="330"/>
      <c r="X24" s="330"/>
      <c r="Y24" s="330"/>
      <c r="Z24" s="330"/>
      <c r="AA24" s="330"/>
      <c r="AB24" s="330"/>
      <c r="AC24" s="330"/>
    </row>
    <row r="25" spans="1:29" x14ac:dyDescent="0.25">
      <c r="A25" s="330"/>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row>
    <row r="26" spans="1:29" x14ac:dyDescent="0.25">
      <c r="A26" s="330"/>
      <c r="B26" s="330"/>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s="330"/>
      <c r="AB26" s="330"/>
      <c r="AC26" s="330"/>
    </row>
    <row r="27" spans="1:29" x14ac:dyDescent="0.25">
      <c r="A27" s="330"/>
      <c r="B27" s="330"/>
      <c r="C27" s="330"/>
      <c r="D27" s="330"/>
      <c r="E27" s="330"/>
      <c r="F27" s="330"/>
      <c r="G27" s="330"/>
      <c r="H27" s="330"/>
      <c r="I27" s="330"/>
      <c r="J27" s="330"/>
      <c r="K27" s="330"/>
      <c r="L27" s="330"/>
      <c r="M27" s="330"/>
      <c r="N27" s="330"/>
      <c r="O27" s="330"/>
      <c r="P27" s="330"/>
      <c r="Q27" s="330"/>
      <c r="R27" s="330"/>
      <c r="S27" s="330"/>
      <c r="T27" s="330"/>
      <c r="U27" s="330"/>
      <c r="V27" s="330"/>
      <c r="W27" s="330"/>
      <c r="X27" s="330"/>
      <c r="Y27" s="330"/>
      <c r="Z27" s="330"/>
      <c r="AA27" s="330"/>
      <c r="AB27" s="330"/>
      <c r="AC27" s="330"/>
    </row>
    <row r="28" spans="1:29" x14ac:dyDescent="0.25">
      <c r="A28" s="330"/>
      <c r="B28" s="330"/>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row>
    <row r="29" spans="1:29" x14ac:dyDescent="0.25">
      <c r="A29" s="330"/>
      <c r="B29" s="330"/>
      <c r="C29" s="330"/>
      <c r="D29" s="330"/>
      <c r="E29" s="330"/>
      <c r="F29" s="330"/>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row>
    <row r="30" spans="1:29" x14ac:dyDescent="0.25">
      <c r="A30" s="330"/>
      <c r="B30" s="330"/>
      <c r="C30" s="330"/>
      <c r="D30" s="330"/>
      <c r="E30" s="330"/>
      <c r="F30" s="330"/>
      <c r="G30" s="330"/>
      <c r="H30" s="330"/>
      <c r="I30" s="330"/>
      <c r="J30" s="330"/>
      <c r="K30" s="330"/>
      <c r="L30" s="330"/>
      <c r="M30" s="330"/>
      <c r="N30" s="330"/>
      <c r="O30" s="330"/>
      <c r="P30" s="330"/>
      <c r="Q30" s="330"/>
      <c r="R30" s="330"/>
      <c r="S30" s="330"/>
      <c r="T30" s="330"/>
      <c r="U30" s="330"/>
      <c r="V30" s="330"/>
      <c r="W30" s="330"/>
      <c r="X30" s="330"/>
      <c r="Y30" s="330"/>
      <c r="Z30" s="330"/>
      <c r="AA30" s="330"/>
      <c r="AB30" s="330"/>
      <c r="AC30" s="330"/>
    </row>
    <row r="31" spans="1:29" x14ac:dyDescent="0.25">
      <c r="A31" s="330"/>
      <c r="B31" s="330"/>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row>
    <row r="32" spans="1:29" x14ac:dyDescent="0.25">
      <c r="A32" s="330"/>
      <c r="B32" s="330"/>
      <c r="C32" s="330"/>
      <c r="D32" s="330"/>
      <c r="E32" s="330"/>
      <c r="F32" s="330"/>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row>
    <row r="33" spans="1:29" x14ac:dyDescent="0.25">
      <c r="A33" s="330"/>
      <c r="B33" s="330"/>
      <c r="C33" s="330"/>
      <c r="D33" s="330"/>
      <c r="E33" s="330"/>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row>
    <row r="34" spans="1:29" x14ac:dyDescent="0.25">
      <c r="A34" s="330"/>
      <c r="B34" s="330"/>
      <c r="C34" s="330"/>
      <c r="D34" s="330"/>
      <c r="E34" s="330"/>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row>
    <row r="35" spans="1:29" x14ac:dyDescent="0.25">
      <c r="A35" s="330"/>
      <c r="B35" s="330"/>
      <c r="C35" s="330"/>
      <c r="D35" s="330"/>
      <c r="E35" s="330"/>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row>
    <row r="36" spans="1:29" x14ac:dyDescent="0.25">
      <c r="A36" s="330"/>
      <c r="B36" s="330"/>
      <c r="C36" s="330"/>
      <c r="D36" s="330"/>
      <c r="E36" s="330"/>
      <c r="F36" s="330"/>
      <c r="G36" s="330"/>
      <c r="H36" s="330"/>
      <c r="I36" s="330"/>
      <c r="J36" s="330"/>
      <c r="K36" s="330"/>
      <c r="L36" s="330"/>
      <c r="M36" s="330"/>
      <c r="N36" s="330"/>
      <c r="O36" s="330"/>
      <c r="P36" s="330"/>
      <c r="Q36" s="330"/>
      <c r="R36" s="330"/>
      <c r="S36" s="330"/>
      <c r="T36" s="330"/>
      <c r="U36" s="330"/>
      <c r="V36" s="330"/>
      <c r="W36" s="330"/>
      <c r="X36" s="330"/>
      <c r="Y36" s="330"/>
      <c r="Z36" s="330"/>
      <c r="AA36" s="330"/>
      <c r="AB36" s="330"/>
      <c r="AC36" s="330"/>
    </row>
    <row r="37" spans="1:29" x14ac:dyDescent="0.25">
      <c r="A37" s="330"/>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row>
    <row r="38" spans="1:29" x14ac:dyDescent="0.25">
      <c r="A38" s="330"/>
      <c r="B38" s="330"/>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330"/>
    </row>
    <row r="39" spans="1:29" x14ac:dyDescent="0.25">
      <c r="A39" s="330"/>
      <c r="B39" s="330"/>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row>
    <row r="40" spans="1:29" x14ac:dyDescent="0.25">
      <c r="A40" s="330"/>
      <c r="B40" s="330"/>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row>
    <row r="41" spans="1:29" x14ac:dyDescent="0.25">
      <c r="A41" s="330"/>
      <c r="B41" s="330"/>
      <c r="C41" s="330"/>
      <c r="D41" s="330"/>
      <c r="E41" s="330"/>
      <c r="F41" s="330"/>
      <c r="G41" s="330"/>
      <c r="H41" s="330"/>
      <c r="I41" s="330"/>
      <c r="J41" s="330"/>
      <c r="K41" s="330"/>
      <c r="L41" s="330"/>
      <c r="M41" s="330"/>
      <c r="N41" s="330"/>
      <c r="O41" s="330"/>
      <c r="P41" s="330"/>
      <c r="Q41" s="330"/>
      <c r="R41" s="330"/>
      <c r="S41" s="330"/>
      <c r="T41" s="330"/>
      <c r="U41" s="330"/>
      <c r="V41" s="330"/>
      <c r="W41" s="330"/>
      <c r="X41" s="330"/>
      <c r="Y41" s="330"/>
      <c r="Z41" s="330"/>
      <c r="AA41" s="330"/>
      <c r="AB41" s="330"/>
      <c r="AC41" s="330"/>
    </row>
    <row r="42" spans="1:29" x14ac:dyDescent="0.25">
      <c r="A42" s="330"/>
      <c r="B42" s="330"/>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row>
    <row r="43" spans="1:29" x14ac:dyDescent="0.25">
      <c r="A43" s="330"/>
      <c r="B43" s="330"/>
      <c r="C43" s="330"/>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0"/>
    </row>
    <row r="44" spans="1:29" x14ac:dyDescent="0.25">
      <c r="A44" s="330"/>
      <c r="B44" s="330"/>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row>
    <row r="45" spans="1:29" x14ac:dyDescent="0.25">
      <c r="A45" s="330"/>
      <c r="B45" s="330"/>
      <c r="C45" s="330"/>
      <c r="D45" s="330"/>
      <c r="E45" s="330"/>
      <c r="F45" s="330"/>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row>
    <row r="46" spans="1:29" x14ac:dyDescent="0.2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row>
    <row r="47" spans="1:29" x14ac:dyDescent="0.25">
      <c r="A47" s="330"/>
      <c r="B47" s="330"/>
      <c r="C47" s="330"/>
      <c r="D47" s="330"/>
      <c r="E47" s="330"/>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row>
    <row r="48" spans="1:29" x14ac:dyDescent="0.25">
      <c r="A48" s="330"/>
      <c r="B48" s="330"/>
      <c r="C48" s="330"/>
      <c r="D48" s="330"/>
      <c r="E48" s="330"/>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row>
    <row r="49" spans="1:29" x14ac:dyDescent="0.25">
      <c r="A49" s="330"/>
      <c r="B49" s="330"/>
      <c r="C49" s="330"/>
      <c r="D49" s="330"/>
      <c r="E49" s="330"/>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row>
    <row r="50" spans="1:29" x14ac:dyDescent="0.25">
      <c r="A50" s="330"/>
      <c r="B50" s="330"/>
      <c r="C50" s="330"/>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row>
    <row r="51" spans="1:29" x14ac:dyDescent="0.25">
      <c r="A51" s="330"/>
      <c r="B51" s="330"/>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row>
    <row r="52" spans="1:29" x14ac:dyDescent="0.25">
      <c r="A52" s="330"/>
      <c r="B52" s="330"/>
      <c r="C52" s="330"/>
      <c r="D52" s="330"/>
      <c r="E52" s="330"/>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row>
    <row r="53" spans="1:29" x14ac:dyDescent="0.25">
      <c r="A53" s="330"/>
      <c r="B53" s="330"/>
      <c r="C53" s="330"/>
      <c r="D53" s="330"/>
      <c r="E53" s="330"/>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row>
    <row r="54" spans="1:29" x14ac:dyDescent="0.25">
      <c r="A54" s="330"/>
      <c r="B54" s="330"/>
      <c r="C54" s="330"/>
      <c r="D54" s="330"/>
      <c r="E54" s="330"/>
      <c r="F54" s="330"/>
      <c r="G54" s="330"/>
      <c r="H54" s="330"/>
      <c r="I54" s="330"/>
      <c r="J54" s="330"/>
      <c r="K54" s="330"/>
      <c r="L54" s="330"/>
      <c r="M54" s="330"/>
      <c r="N54" s="330"/>
      <c r="O54" s="330"/>
      <c r="P54" s="330"/>
      <c r="Q54" s="330"/>
      <c r="R54" s="330"/>
      <c r="S54" s="330"/>
      <c r="T54" s="330"/>
      <c r="U54" s="330"/>
      <c r="V54" s="330"/>
      <c r="W54" s="330"/>
      <c r="X54" s="330"/>
      <c r="Y54" s="330"/>
      <c r="Z54" s="330"/>
      <c r="AA54" s="330"/>
      <c r="AB54" s="330"/>
      <c r="AC54" s="330"/>
    </row>
    <row r="55" spans="1:29" x14ac:dyDescent="0.25">
      <c r="A55" s="330"/>
      <c r="B55" s="330"/>
      <c r="C55" s="330"/>
      <c r="D55" s="330"/>
      <c r="E55" s="330"/>
      <c r="F55" s="330"/>
      <c r="G55" s="330"/>
      <c r="H55" s="330"/>
      <c r="I55" s="330"/>
      <c r="J55" s="330"/>
      <c r="K55" s="330"/>
      <c r="L55" s="330"/>
      <c r="M55" s="330"/>
      <c r="N55" s="330"/>
      <c r="O55" s="330"/>
      <c r="P55" s="330"/>
      <c r="Q55" s="330"/>
      <c r="R55" s="330"/>
      <c r="S55" s="330"/>
      <c r="T55" s="330"/>
      <c r="U55" s="330"/>
      <c r="V55" s="330"/>
      <c r="W55" s="330"/>
      <c r="X55" s="330"/>
      <c r="Y55" s="330"/>
      <c r="Z55" s="330"/>
      <c r="AA55" s="330"/>
      <c r="AB55" s="330"/>
      <c r="AC55" s="330"/>
    </row>
    <row r="56" spans="1:29" x14ac:dyDescent="0.25">
      <c r="A56" s="330"/>
      <c r="B56" s="330"/>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row>
    <row r="57" spans="1:29" x14ac:dyDescent="0.25">
      <c r="A57" s="330"/>
      <c r="B57" s="330"/>
      <c r="C57" s="330"/>
      <c r="D57" s="330"/>
      <c r="E57" s="330"/>
      <c r="F57" s="330"/>
      <c r="G57" s="330"/>
      <c r="H57" s="330"/>
      <c r="I57" s="330"/>
      <c r="J57" s="330"/>
      <c r="K57" s="330"/>
      <c r="L57" s="330"/>
      <c r="M57" s="330"/>
      <c r="N57" s="330"/>
      <c r="O57" s="330"/>
      <c r="P57" s="330"/>
      <c r="Q57" s="330"/>
      <c r="R57" s="330"/>
      <c r="S57" s="330"/>
      <c r="T57" s="330"/>
      <c r="U57" s="330"/>
      <c r="V57" s="330"/>
      <c r="W57" s="330"/>
      <c r="X57" s="330"/>
      <c r="Y57" s="330"/>
      <c r="Z57" s="330"/>
      <c r="AA57" s="330"/>
      <c r="AB57" s="330"/>
      <c r="AC57" s="330"/>
    </row>
    <row r="58" spans="1:29" x14ac:dyDescent="0.25">
      <c r="A58" s="330"/>
      <c r="B58" s="330"/>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row>
    <row r="59" spans="1:29" x14ac:dyDescent="0.25">
      <c r="A59" s="330"/>
      <c r="B59" s="330"/>
      <c r="C59" s="330"/>
      <c r="D59" s="330"/>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row>
    <row r="60" spans="1:29" x14ac:dyDescent="0.25">
      <c r="A60" s="330"/>
      <c r="B60" s="330"/>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row>
    <row r="61" spans="1:29" x14ac:dyDescent="0.25">
      <c r="A61" s="330"/>
      <c r="B61" s="330"/>
      <c r="C61" s="330"/>
      <c r="D61" s="330"/>
      <c r="E61" s="330"/>
      <c r="F61" s="330"/>
      <c r="G61" s="330"/>
      <c r="H61" s="330"/>
      <c r="I61" s="330"/>
      <c r="J61" s="330"/>
      <c r="K61" s="330"/>
      <c r="L61" s="330"/>
      <c r="M61" s="330"/>
      <c r="N61" s="330"/>
      <c r="O61" s="330"/>
      <c r="P61" s="330"/>
      <c r="Q61" s="330"/>
      <c r="R61" s="330"/>
      <c r="S61" s="330"/>
      <c r="T61" s="330"/>
      <c r="U61" s="330"/>
      <c r="V61" s="330"/>
      <c r="W61" s="330"/>
      <c r="X61" s="330"/>
      <c r="Y61" s="330"/>
      <c r="Z61" s="330"/>
      <c r="AA61" s="330"/>
      <c r="AB61" s="330"/>
      <c r="AC61" s="330"/>
    </row>
    <row r="62" spans="1:29" x14ac:dyDescent="0.25">
      <c r="A62" s="330"/>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row>
    <row r="63" spans="1:29" x14ac:dyDescent="0.25">
      <c r="A63" s="330"/>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row>
    <row r="64" spans="1:29" x14ac:dyDescent="0.25">
      <c r="A64" s="330"/>
      <c r="B64" s="330"/>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row>
    <row r="65" spans="1:29" x14ac:dyDescent="0.25">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row>
    <row r="66" spans="1:29" x14ac:dyDescent="0.25">
      <c r="A66" s="330"/>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row>
    <row r="67" spans="1:29" x14ac:dyDescent="0.25">
      <c r="A67" s="330"/>
      <c r="B67" s="330"/>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row>
    <row r="68" spans="1:29" x14ac:dyDescent="0.25">
      <c r="A68" s="330"/>
      <c r="B68" s="330"/>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row>
    <row r="69" spans="1:29" x14ac:dyDescent="0.25">
      <c r="A69" s="330"/>
      <c r="B69" s="330"/>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c r="AC69" s="330"/>
    </row>
    <row r="70" spans="1:29" x14ac:dyDescent="0.25">
      <c r="A70" s="330"/>
      <c r="B70" s="330"/>
      <c r="C70" s="330"/>
      <c r="D70" s="330"/>
      <c r="E70" s="330"/>
      <c r="F70" s="330"/>
      <c r="G70" s="330"/>
      <c r="H70" s="330"/>
      <c r="I70" s="330"/>
      <c r="J70" s="330"/>
      <c r="K70" s="330"/>
      <c r="L70" s="330"/>
      <c r="M70" s="330"/>
      <c r="N70" s="330"/>
      <c r="O70" s="330"/>
      <c r="P70" s="330"/>
      <c r="Q70" s="330"/>
      <c r="R70" s="330"/>
      <c r="S70" s="330"/>
      <c r="T70" s="330"/>
      <c r="U70" s="330"/>
      <c r="V70" s="330"/>
      <c r="W70" s="330"/>
      <c r="X70" s="330"/>
      <c r="Y70" s="330"/>
      <c r="Z70" s="330"/>
      <c r="AA70" s="330"/>
      <c r="AB70" s="330"/>
      <c r="AC70" s="330"/>
    </row>
    <row r="71" spans="1:29" x14ac:dyDescent="0.25">
      <c r="A71" s="330"/>
      <c r="B71" s="330"/>
      <c r="C71" s="330"/>
      <c r="D71" s="330"/>
      <c r="E71" s="330"/>
      <c r="F71" s="330"/>
      <c r="G71" s="330"/>
      <c r="H71" s="330"/>
      <c r="I71" s="330"/>
      <c r="J71" s="330"/>
      <c r="K71" s="330"/>
      <c r="L71" s="330"/>
      <c r="M71" s="330"/>
      <c r="N71" s="330"/>
      <c r="O71" s="330"/>
      <c r="P71" s="330"/>
      <c r="Q71" s="330"/>
      <c r="R71" s="330"/>
      <c r="S71" s="330"/>
      <c r="T71" s="330"/>
      <c r="U71" s="330"/>
      <c r="V71" s="330"/>
      <c r="W71" s="330"/>
      <c r="X71" s="330"/>
      <c r="Y71" s="330"/>
      <c r="Z71" s="330"/>
      <c r="AA71" s="330"/>
      <c r="AB71" s="330"/>
      <c r="AC71" s="330"/>
    </row>
    <row r="72" spans="1:29" x14ac:dyDescent="0.25">
      <c r="A72" s="330"/>
      <c r="B72" s="330"/>
      <c r="C72" s="330"/>
      <c r="D72" s="330"/>
      <c r="E72" s="330"/>
      <c r="F72" s="330"/>
      <c r="G72" s="330"/>
      <c r="H72" s="330"/>
      <c r="I72" s="330"/>
      <c r="J72" s="330"/>
      <c r="K72" s="330"/>
      <c r="L72" s="330"/>
      <c r="M72" s="330"/>
      <c r="N72" s="330"/>
      <c r="O72" s="330"/>
      <c r="P72" s="330"/>
      <c r="Q72" s="330"/>
      <c r="R72" s="330"/>
      <c r="S72" s="330"/>
      <c r="T72" s="330"/>
      <c r="U72" s="330"/>
      <c r="V72" s="330"/>
      <c r="W72" s="330"/>
      <c r="X72" s="330"/>
      <c r="Y72" s="330"/>
      <c r="Z72" s="330"/>
      <c r="AA72" s="330"/>
      <c r="AB72" s="330"/>
      <c r="AC72" s="330"/>
    </row>
    <row r="73" spans="1:29" x14ac:dyDescent="0.25">
      <c r="A73" s="330"/>
      <c r="B73" s="330"/>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c r="AC73" s="330"/>
    </row>
    <row r="74" spans="1:29" x14ac:dyDescent="0.25">
      <c r="A74" s="330"/>
      <c r="B74" s="330"/>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row>
    <row r="75" spans="1:29" x14ac:dyDescent="0.25">
      <c r="A75" s="330"/>
      <c r="B75" s="330"/>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row>
    <row r="76" spans="1:29" x14ac:dyDescent="0.25">
      <c r="A76" s="330"/>
      <c r="B76" s="330"/>
      <c r="C76" s="330"/>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row>
    <row r="77" spans="1:29" x14ac:dyDescent="0.25">
      <c r="A77" s="330"/>
      <c r="B77" s="330"/>
      <c r="C77" s="330"/>
      <c r="D77" s="330"/>
      <c r="E77" s="330"/>
      <c r="F77" s="330"/>
      <c r="G77" s="330"/>
      <c r="H77" s="330"/>
      <c r="I77" s="330"/>
      <c r="J77" s="330"/>
      <c r="K77" s="330"/>
      <c r="L77" s="330"/>
      <c r="M77" s="330"/>
      <c r="N77" s="330"/>
      <c r="O77" s="330"/>
      <c r="P77" s="330"/>
      <c r="Q77" s="330"/>
      <c r="R77" s="330"/>
      <c r="S77" s="330"/>
      <c r="T77" s="330"/>
      <c r="U77" s="330"/>
      <c r="V77" s="330"/>
      <c r="W77" s="330"/>
      <c r="X77" s="330"/>
      <c r="Y77" s="330"/>
      <c r="Z77" s="330"/>
      <c r="AA77" s="330"/>
      <c r="AB77" s="330"/>
      <c r="AC77" s="330"/>
    </row>
    <row r="78" spans="1:29" x14ac:dyDescent="0.25">
      <c r="A78" s="330"/>
      <c r="B78" s="330"/>
      <c r="C78" s="330"/>
      <c r="D78" s="330"/>
      <c r="E78" s="330"/>
      <c r="F78" s="330"/>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row>
    <row r="79" spans="1:29" x14ac:dyDescent="0.25">
      <c r="A79" s="330"/>
      <c r="B79" s="330"/>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row>
    <row r="80" spans="1:29" x14ac:dyDescent="0.25">
      <c r="A80" s="330"/>
      <c r="B80" s="330"/>
      <c r="C80" s="330"/>
      <c r="D80" s="330"/>
      <c r="E80" s="330"/>
      <c r="F80" s="330"/>
      <c r="G80" s="330"/>
      <c r="H80" s="330"/>
      <c r="I80" s="330"/>
      <c r="J80" s="330"/>
      <c r="K80" s="330"/>
      <c r="L80" s="330"/>
      <c r="M80" s="330"/>
      <c r="N80" s="330"/>
      <c r="O80" s="330"/>
      <c r="P80" s="330"/>
      <c r="Q80" s="330"/>
      <c r="R80" s="330"/>
      <c r="S80" s="330"/>
      <c r="T80" s="330"/>
      <c r="U80" s="330"/>
      <c r="V80" s="330"/>
      <c r="W80" s="330"/>
      <c r="X80" s="330"/>
      <c r="Y80" s="330"/>
      <c r="Z80" s="330"/>
      <c r="AA80" s="330"/>
      <c r="AB80" s="330"/>
      <c r="AC80" s="330"/>
    </row>
    <row r="81" spans="1:29" x14ac:dyDescent="0.25">
      <c r="A81" s="330"/>
      <c r="B81" s="330"/>
      <c r="C81" s="330"/>
      <c r="D81" s="330"/>
      <c r="E81" s="330"/>
      <c r="F81" s="330"/>
      <c r="G81" s="330"/>
      <c r="H81" s="330"/>
      <c r="I81" s="330"/>
      <c r="J81" s="330"/>
      <c r="K81" s="330"/>
      <c r="L81" s="330"/>
      <c r="M81" s="330"/>
      <c r="N81" s="330"/>
      <c r="O81" s="330"/>
      <c r="P81" s="330"/>
      <c r="Q81" s="330"/>
      <c r="R81" s="330"/>
      <c r="S81" s="330"/>
      <c r="T81" s="330"/>
      <c r="U81" s="330"/>
      <c r="V81" s="330"/>
      <c r="W81" s="330"/>
      <c r="X81" s="330"/>
      <c r="Y81" s="330"/>
      <c r="Z81" s="330"/>
      <c r="AA81" s="330"/>
      <c r="AB81" s="330"/>
      <c r="AC81" s="330"/>
    </row>
    <row r="82" spans="1:29" x14ac:dyDescent="0.25">
      <c r="A82" s="330"/>
      <c r="B82" s="33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row>
    <row r="83" spans="1:29" x14ac:dyDescent="0.25">
      <c r="A83" s="330"/>
      <c r="B83" s="330"/>
      <c r="C83" s="330"/>
      <c r="D83" s="330"/>
      <c r="E83" s="330"/>
      <c r="F83" s="330"/>
      <c r="G83" s="330"/>
      <c r="H83" s="330"/>
      <c r="I83" s="330"/>
      <c r="J83" s="330"/>
      <c r="K83" s="330"/>
      <c r="L83" s="330"/>
      <c r="M83" s="330"/>
      <c r="N83" s="330"/>
      <c r="O83" s="330"/>
      <c r="P83" s="330"/>
      <c r="Q83" s="330"/>
      <c r="R83" s="330"/>
      <c r="S83" s="330"/>
      <c r="T83" s="330"/>
      <c r="U83" s="330"/>
      <c r="V83" s="330"/>
      <c r="W83" s="330"/>
      <c r="X83" s="330"/>
      <c r="Y83" s="330"/>
      <c r="Z83" s="330"/>
      <c r="AA83" s="330"/>
      <c r="AB83" s="330"/>
      <c r="AC83" s="330"/>
    </row>
    <row r="84" spans="1:29" x14ac:dyDescent="0.25">
      <c r="A84" s="330"/>
      <c r="B84" s="330"/>
      <c r="C84" s="330"/>
      <c r="D84" s="330"/>
      <c r="E84" s="330"/>
      <c r="F84" s="330"/>
      <c r="G84" s="330"/>
      <c r="H84" s="330"/>
      <c r="I84" s="330"/>
      <c r="J84" s="330"/>
      <c r="K84" s="330"/>
      <c r="L84" s="330"/>
      <c r="M84" s="330"/>
      <c r="N84" s="330"/>
      <c r="O84" s="330"/>
      <c r="P84" s="330"/>
      <c r="Q84" s="330"/>
      <c r="R84" s="330"/>
      <c r="S84" s="330"/>
      <c r="T84" s="330"/>
      <c r="U84" s="330"/>
      <c r="V84" s="330"/>
      <c r="W84" s="330"/>
      <c r="X84" s="330"/>
      <c r="Y84" s="330"/>
      <c r="Z84" s="330"/>
      <c r="AA84" s="330"/>
      <c r="AB84" s="330"/>
      <c r="AC84" s="330"/>
    </row>
    <row r="85" spans="1:29" x14ac:dyDescent="0.25">
      <c r="A85" s="330"/>
      <c r="B85" s="330"/>
      <c r="C85" s="330"/>
      <c r="D85" s="330"/>
      <c r="E85" s="330"/>
      <c r="F85" s="330"/>
      <c r="G85" s="330"/>
      <c r="H85" s="330"/>
      <c r="I85" s="330"/>
      <c r="J85" s="330"/>
      <c r="K85" s="330"/>
      <c r="L85" s="330"/>
      <c r="M85" s="330"/>
      <c r="N85" s="330"/>
      <c r="O85" s="330"/>
      <c r="P85" s="330"/>
      <c r="Q85" s="330"/>
      <c r="R85" s="330"/>
      <c r="S85" s="330"/>
      <c r="T85" s="330"/>
      <c r="U85" s="330"/>
      <c r="V85" s="330"/>
      <c r="W85" s="330"/>
      <c r="X85" s="330"/>
      <c r="Y85" s="330"/>
      <c r="Z85" s="330"/>
      <c r="AA85" s="330"/>
      <c r="AB85" s="330"/>
      <c r="AC85" s="330"/>
    </row>
    <row r="86" spans="1:29" x14ac:dyDescent="0.25">
      <c r="A86" s="330"/>
      <c r="B86" s="330"/>
      <c r="C86" s="330"/>
      <c r="D86" s="330"/>
      <c r="E86" s="330"/>
      <c r="F86" s="330"/>
      <c r="G86" s="330"/>
      <c r="H86" s="330"/>
      <c r="I86" s="330"/>
      <c r="J86" s="330"/>
      <c r="K86" s="330"/>
      <c r="L86" s="330"/>
      <c r="M86" s="330"/>
      <c r="N86" s="330"/>
      <c r="O86" s="330"/>
      <c r="P86" s="330"/>
      <c r="Q86" s="330"/>
      <c r="R86" s="330"/>
      <c r="S86" s="330"/>
      <c r="T86" s="330"/>
      <c r="U86" s="330"/>
      <c r="V86" s="330"/>
      <c r="W86" s="330"/>
      <c r="X86" s="330"/>
      <c r="Y86" s="330"/>
      <c r="Z86" s="330"/>
      <c r="AA86" s="330"/>
      <c r="AB86" s="330"/>
      <c r="AC86" s="330"/>
    </row>
    <row r="87" spans="1:29" x14ac:dyDescent="0.25">
      <c r="A87" s="330"/>
      <c r="B87" s="330"/>
      <c r="C87" s="330"/>
      <c r="D87" s="330"/>
      <c r="E87" s="330"/>
      <c r="F87" s="330"/>
      <c r="G87" s="330"/>
      <c r="H87" s="330"/>
      <c r="I87" s="330"/>
      <c r="J87" s="330"/>
      <c r="K87" s="330"/>
      <c r="L87" s="330"/>
      <c r="M87" s="330"/>
      <c r="N87" s="330"/>
      <c r="O87" s="330"/>
      <c r="P87" s="330"/>
      <c r="Q87" s="330"/>
      <c r="R87" s="330"/>
      <c r="S87" s="330"/>
      <c r="T87" s="330"/>
      <c r="U87" s="330"/>
      <c r="V87" s="330"/>
      <c r="W87" s="330"/>
      <c r="X87" s="330"/>
      <c r="Y87" s="330"/>
      <c r="Z87" s="330"/>
      <c r="AA87" s="330"/>
      <c r="AB87" s="330"/>
      <c r="AC87" s="330"/>
    </row>
    <row r="88" spans="1:29" x14ac:dyDescent="0.25">
      <c r="A88" s="330"/>
      <c r="B88" s="330"/>
      <c r="C88" s="330"/>
      <c r="D88" s="330"/>
      <c r="E88" s="330"/>
      <c r="F88" s="330"/>
      <c r="G88" s="330"/>
      <c r="H88" s="330"/>
      <c r="I88" s="330"/>
      <c r="J88" s="330"/>
      <c r="K88" s="330"/>
      <c r="L88" s="330"/>
      <c r="M88" s="330"/>
      <c r="N88" s="330"/>
      <c r="O88" s="330"/>
      <c r="P88" s="330"/>
      <c r="Q88" s="330"/>
      <c r="R88" s="330"/>
      <c r="S88" s="330"/>
      <c r="T88" s="330"/>
      <c r="U88" s="330"/>
      <c r="V88" s="330"/>
      <c r="W88" s="330"/>
      <c r="X88" s="330"/>
      <c r="Y88" s="330"/>
      <c r="Z88" s="330"/>
      <c r="AA88" s="330"/>
      <c r="AB88" s="330"/>
      <c r="AC88" s="330"/>
    </row>
    <row r="89" spans="1:29" x14ac:dyDescent="0.25">
      <c r="A89" s="330"/>
      <c r="B89" s="330"/>
      <c r="C89" s="330"/>
      <c r="D89" s="330"/>
      <c r="E89" s="330"/>
      <c r="F89" s="330"/>
      <c r="G89" s="330"/>
      <c r="H89" s="330"/>
      <c r="I89" s="330"/>
      <c r="J89" s="330"/>
      <c r="K89" s="330"/>
      <c r="L89" s="330"/>
      <c r="M89" s="330"/>
      <c r="N89" s="330"/>
      <c r="O89" s="330"/>
      <c r="P89" s="330"/>
      <c r="Q89" s="330"/>
      <c r="R89" s="330"/>
      <c r="S89" s="330"/>
      <c r="T89" s="330"/>
      <c r="U89" s="330"/>
      <c r="V89" s="330"/>
      <c r="W89" s="330"/>
      <c r="X89" s="330"/>
      <c r="Y89" s="330"/>
      <c r="Z89" s="330"/>
      <c r="AA89" s="330"/>
      <c r="AB89" s="330"/>
      <c r="AC89" s="330"/>
    </row>
    <row r="90" spans="1:29" x14ac:dyDescent="0.25">
      <c r="A90" s="330"/>
      <c r="B90" s="330"/>
      <c r="C90" s="330"/>
      <c r="D90" s="330"/>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row>
    <row r="91" spans="1:29" x14ac:dyDescent="0.25">
      <c r="A91" s="330"/>
      <c r="B91" s="330"/>
      <c r="C91" s="330"/>
      <c r="D91" s="330"/>
      <c r="E91" s="330"/>
      <c r="F91" s="330"/>
      <c r="G91" s="330"/>
      <c r="H91" s="330"/>
      <c r="I91" s="330"/>
      <c r="J91" s="330"/>
      <c r="K91" s="330"/>
      <c r="L91" s="330"/>
      <c r="M91" s="330"/>
      <c r="N91" s="330"/>
      <c r="O91" s="330"/>
      <c r="P91" s="330"/>
      <c r="Q91" s="330"/>
      <c r="R91" s="330"/>
      <c r="S91" s="330"/>
      <c r="T91" s="330"/>
      <c r="U91" s="330"/>
      <c r="V91" s="330"/>
      <c r="W91" s="330"/>
      <c r="X91" s="330"/>
      <c r="Y91" s="330"/>
      <c r="Z91" s="330"/>
      <c r="AA91" s="330"/>
      <c r="AB91" s="330"/>
      <c r="AC91" s="330"/>
    </row>
    <row r="92" spans="1:29" x14ac:dyDescent="0.25">
      <c r="A92" s="330"/>
      <c r="B92" s="330"/>
      <c r="C92" s="330"/>
      <c r="D92" s="330"/>
      <c r="E92" s="330"/>
      <c r="F92" s="330"/>
      <c r="G92" s="330"/>
      <c r="H92" s="330"/>
      <c r="I92" s="330"/>
      <c r="J92" s="330"/>
      <c r="K92" s="330"/>
      <c r="L92" s="330"/>
      <c r="M92" s="330"/>
      <c r="N92" s="330"/>
      <c r="O92" s="330"/>
      <c r="P92" s="330"/>
      <c r="Q92" s="330"/>
      <c r="R92" s="330"/>
      <c r="S92" s="330"/>
      <c r="T92" s="330"/>
      <c r="U92" s="330"/>
      <c r="V92" s="330"/>
      <c r="W92" s="330"/>
      <c r="X92" s="330"/>
      <c r="Y92" s="330"/>
      <c r="Z92" s="330"/>
      <c r="AA92" s="330"/>
      <c r="AB92" s="330"/>
      <c r="AC92" s="330"/>
    </row>
    <row r="93" spans="1:29" x14ac:dyDescent="0.25">
      <c r="A93" s="330"/>
      <c r="B93" s="330"/>
      <c r="C93" s="330"/>
      <c r="D93" s="330"/>
      <c r="E93" s="330"/>
      <c r="F93" s="330"/>
      <c r="G93" s="330"/>
      <c r="H93" s="330"/>
      <c r="I93" s="330"/>
      <c r="J93" s="330"/>
      <c r="K93" s="330"/>
      <c r="L93" s="330"/>
      <c r="M93" s="330"/>
      <c r="N93" s="330"/>
      <c r="O93" s="330"/>
      <c r="P93" s="330"/>
      <c r="Q93" s="330"/>
      <c r="R93" s="330"/>
      <c r="S93" s="330"/>
      <c r="T93" s="330"/>
      <c r="U93" s="330"/>
      <c r="V93" s="330"/>
      <c r="W93" s="330"/>
      <c r="X93" s="330"/>
      <c r="Y93" s="330"/>
      <c r="Z93" s="330"/>
      <c r="AA93" s="330"/>
      <c r="AB93" s="330"/>
      <c r="AC93" s="330"/>
    </row>
    <row r="94" spans="1:29" x14ac:dyDescent="0.25">
      <c r="A94" s="330"/>
      <c r="B94" s="330"/>
      <c r="C94" s="330"/>
      <c r="D94" s="330"/>
      <c r="E94" s="330"/>
      <c r="F94" s="330"/>
      <c r="G94" s="330"/>
      <c r="H94" s="330"/>
      <c r="I94" s="330"/>
      <c r="J94" s="330"/>
      <c r="K94" s="330"/>
      <c r="L94" s="330"/>
      <c r="M94" s="330"/>
      <c r="N94" s="330"/>
      <c r="O94" s="330"/>
      <c r="P94" s="330"/>
      <c r="Q94" s="330"/>
      <c r="R94" s="330"/>
      <c r="S94" s="330"/>
      <c r="T94" s="330"/>
      <c r="U94" s="330"/>
      <c r="V94" s="330"/>
      <c r="W94" s="330"/>
      <c r="X94" s="330"/>
      <c r="Y94" s="330"/>
      <c r="Z94" s="330"/>
      <c r="AA94" s="330"/>
      <c r="AB94" s="330"/>
      <c r="AC94" s="330"/>
    </row>
    <row r="95" spans="1:29" x14ac:dyDescent="0.25">
      <c r="A95" s="330"/>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row>
    <row r="96" spans="1:29" x14ac:dyDescent="0.25">
      <c r="A96" s="330"/>
      <c r="B96" s="330"/>
      <c r="C96" s="330"/>
      <c r="D96" s="330"/>
      <c r="E96" s="330"/>
      <c r="F96" s="330"/>
      <c r="G96" s="330"/>
      <c r="H96" s="330"/>
      <c r="I96" s="330"/>
      <c r="J96" s="330"/>
      <c r="K96" s="330"/>
      <c r="L96" s="330"/>
      <c r="M96" s="330"/>
      <c r="N96" s="330"/>
      <c r="O96" s="330"/>
      <c r="P96" s="330"/>
      <c r="Q96" s="330"/>
      <c r="R96" s="330"/>
      <c r="S96" s="330"/>
      <c r="T96" s="330"/>
      <c r="U96" s="330"/>
      <c r="V96" s="330"/>
      <c r="W96" s="330"/>
      <c r="X96" s="330"/>
      <c r="Y96" s="330"/>
      <c r="Z96" s="330"/>
      <c r="AA96" s="330"/>
      <c r="AB96" s="330"/>
      <c r="AC96" s="330"/>
    </row>
    <row r="97" spans="1:29" x14ac:dyDescent="0.25">
      <c r="A97" s="330"/>
      <c r="B97" s="330"/>
      <c r="C97" s="330"/>
      <c r="D97" s="330"/>
      <c r="E97" s="330"/>
      <c r="F97" s="330"/>
      <c r="G97" s="330"/>
      <c r="H97" s="330"/>
      <c r="I97" s="330"/>
      <c r="J97" s="330"/>
      <c r="K97" s="330"/>
      <c r="L97" s="330"/>
      <c r="M97" s="330"/>
      <c r="N97" s="330"/>
      <c r="O97" s="330"/>
      <c r="P97" s="330"/>
      <c r="Q97" s="330"/>
      <c r="R97" s="330"/>
      <c r="S97" s="330"/>
      <c r="T97" s="330"/>
      <c r="U97" s="330"/>
      <c r="V97" s="330"/>
      <c r="W97" s="330"/>
      <c r="X97" s="330"/>
      <c r="Y97" s="330"/>
      <c r="Z97" s="330"/>
      <c r="AA97" s="330"/>
      <c r="AB97" s="330"/>
      <c r="AC97" s="330"/>
    </row>
    <row r="98" spans="1:29" x14ac:dyDescent="0.25">
      <c r="A98" s="330"/>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330"/>
    </row>
    <row r="99" spans="1:29" x14ac:dyDescent="0.25">
      <c r="A99" s="330"/>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c r="AC99" s="330"/>
    </row>
    <row r="100" spans="1:29" x14ac:dyDescent="0.25">
      <c r="A100" s="330"/>
      <c r="B100" s="330"/>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c r="AC100" s="330"/>
    </row>
    <row r="101" spans="1:29" x14ac:dyDescent="0.25">
      <c r="A101" s="330"/>
      <c r="B101" s="330"/>
      <c r="C101" s="330"/>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330"/>
      <c r="AA101" s="330"/>
      <c r="AB101" s="330"/>
      <c r="AC101" s="330"/>
    </row>
    <row r="102" spans="1:29" x14ac:dyDescent="0.25">
      <c r="A102" s="330"/>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330"/>
    </row>
    <row r="103" spans="1:29" x14ac:dyDescent="0.25">
      <c r="A103" s="330"/>
      <c r="B103" s="330"/>
      <c r="C103" s="330"/>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330"/>
      <c r="AA103" s="330"/>
      <c r="AB103" s="330"/>
      <c r="AC103" s="330"/>
    </row>
    <row r="104" spans="1:29" x14ac:dyDescent="0.25">
      <c r="A104" s="330"/>
      <c r="B104" s="330"/>
      <c r="C104" s="330"/>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330"/>
      <c r="AA104" s="330"/>
      <c r="AB104" s="330"/>
      <c r="AC104" s="330"/>
    </row>
    <row r="105" spans="1:29" x14ac:dyDescent="0.25">
      <c r="A105" s="330"/>
      <c r="B105" s="330"/>
      <c r="C105" s="330"/>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330"/>
    </row>
    <row r="106" spans="1:29" x14ac:dyDescent="0.25">
      <c r="A106" s="330"/>
      <c r="B106" s="330"/>
      <c r="C106" s="330"/>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330"/>
      <c r="AA106" s="330"/>
      <c r="AB106" s="330"/>
      <c r="AC106" s="330"/>
    </row>
    <row r="107" spans="1:29" x14ac:dyDescent="0.25">
      <c r="A107" s="330"/>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c r="AC107" s="330"/>
    </row>
    <row r="108" spans="1:29" x14ac:dyDescent="0.25">
      <c r="A108" s="330"/>
      <c r="B108" s="330"/>
      <c r="C108" s="330"/>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330"/>
      <c r="AA108" s="330"/>
      <c r="AB108" s="330"/>
      <c r="AC108" s="330"/>
    </row>
    <row r="109" spans="1:29" x14ac:dyDescent="0.25">
      <c r="A109" s="330"/>
      <c r="B109" s="330"/>
      <c r="C109" s="330"/>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330"/>
      <c r="AA109" s="330"/>
      <c r="AB109" s="330"/>
      <c r="AC109" s="330"/>
    </row>
    <row r="110" spans="1:29" x14ac:dyDescent="0.25">
      <c r="A110" s="330"/>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330"/>
    </row>
    <row r="111" spans="1:29" x14ac:dyDescent="0.25">
      <c r="A111" s="330"/>
      <c r="B111" s="330"/>
      <c r="C111" s="330"/>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330"/>
    </row>
    <row r="112" spans="1:29" x14ac:dyDescent="0.25">
      <c r="A112" s="330"/>
      <c r="B112" s="330"/>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row>
    <row r="113" spans="1:29" x14ac:dyDescent="0.25">
      <c r="A113" s="330"/>
      <c r="B113" s="330"/>
      <c r="C113" s="330"/>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row>
    <row r="114" spans="1:29" x14ac:dyDescent="0.25">
      <c r="A114" s="330"/>
      <c r="B114" s="330"/>
      <c r="C114" s="330"/>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row>
    <row r="115" spans="1:29" x14ac:dyDescent="0.25">
      <c r="A115" s="330"/>
      <c r="B115" s="330"/>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0"/>
    </row>
    <row r="116" spans="1:29" x14ac:dyDescent="0.25">
      <c r="A116" s="330"/>
      <c r="B116" s="330"/>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0"/>
    </row>
    <row r="117" spans="1:29" x14ac:dyDescent="0.25">
      <c r="A117" s="330"/>
      <c r="B117" s="330"/>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0"/>
    </row>
    <row r="118" spans="1:29" x14ac:dyDescent="0.25">
      <c r="A118" s="330"/>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330"/>
    </row>
    <row r="119" spans="1:29" x14ac:dyDescent="0.25">
      <c r="A119" s="330"/>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0"/>
    </row>
    <row r="120" spans="1:29" x14ac:dyDescent="0.25">
      <c r="A120" s="330"/>
      <c r="B120" s="330"/>
      <c r="C120" s="330"/>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row>
    <row r="121" spans="1:29" x14ac:dyDescent="0.25">
      <c r="A121" s="330"/>
      <c r="B121" s="330"/>
      <c r="C121" s="330"/>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row>
    <row r="122" spans="1:29" x14ac:dyDescent="0.25">
      <c r="A122" s="330"/>
      <c r="B122" s="330"/>
      <c r="C122" s="330"/>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330"/>
      <c r="AA122" s="330"/>
      <c r="AB122" s="330"/>
      <c r="AC122" s="330"/>
    </row>
    <row r="123" spans="1:29" x14ac:dyDescent="0.25">
      <c r="A123" s="330"/>
      <c r="B123" s="330"/>
      <c r="C123" s="330"/>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330"/>
      <c r="AA123" s="330"/>
      <c r="AB123" s="330"/>
      <c r="AC123" s="330"/>
    </row>
    <row r="124" spans="1:29" x14ac:dyDescent="0.25">
      <c r="A124" s="330"/>
      <c r="B124" s="330"/>
      <c r="C124" s="330"/>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330"/>
      <c r="AA124" s="330"/>
      <c r="AB124" s="330"/>
      <c r="AC124" s="330"/>
    </row>
    <row r="125" spans="1:29" x14ac:dyDescent="0.25">
      <c r="A125" s="330"/>
      <c r="B125" s="330"/>
      <c r="C125" s="330"/>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330"/>
    </row>
    <row r="126" spans="1:29" x14ac:dyDescent="0.25">
      <c r="A126" s="330"/>
      <c r="B126" s="330"/>
      <c r="C126" s="330"/>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330"/>
      <c r="AA126" s="330"/>
      <c r="AB126" s="330"/>
      <c r="AC126" s="330"/>
    </row>
    <row r="127" spans="1:29" x14ac:dyDescent="0.25">
      <c r="A127" s="330"/>
      <c r="B127" s="330"/>
      <c r="C127" s="330"/>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330"/>
      <c r="AA127" s="330"/>
      <c r="AB127" s="330"/>
      <c r="AC127" s="330"/>
    </row>
    <row r="128" spans="1:29" x14ac:dyDescent="0.25">
      <c r="A128" s="330"/>
      <c r="B128" s="330"/>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330"/>
      <c r="AA128" s="330"/>
      <c r="AB128" s="330"/>
      <c r="AC128" s="330"/>
    </row>
    <row r="129" spans="1:29" x14ac:dyDescent="0.25">
      <c r="A129" s="330"/>
      <c r="B129" s="330"/>
      <c r="C129" s="330"/>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c r="AC129" s="330"/>
    </row>
    <row r="130" spans="1:29" x14ac:dyDescent="0.25">
      <c r="A130" s="330"/>
      <c r="B130" s="330"/>
      <c r="C130" s="330"/>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row>
    <row r="131" spans="1:29" x14ac:dyDescent="0.25">
      <c r="A131" s="330"/>
      <c r="B131" s="330"/>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row>
    <row r="132" spans="1:29" x14ac:dyDescent="0.25">
      <c r="A132" s="330"/>
      <c r="B132" s="330"/>
      <c r="C132" s="330"/>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row>
    <row r="133" spans="1:29" x14ac:dyDescent="0.25">
      <c r="A133" s="330"/>
      <c r="B133" s="330"/>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c r="AC133" s="330"/>
    </row>
    <row r="134" spans="1:29" x14ac:dyDescent="0.25">
      <c r="A134" s="330"/>
      <c r="B134" s="330"/>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c r="AC134" s="330"/>
    </row>
    <row r="135" spans="1:29" x14ac:dyDescent="0.25">
      <c r="A135" s="330"/>
      <c r="B135" s="330"/>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330"/>
    </row>
    <row r="136" spans="1:29" x14ac:dyDescent="0.25">
      <c r="A136" s="330"/>
      <c r="B136" s="330"/>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c r="AC136" s="330"/>
    </row>
    <row r="137" spans="1:29" x14ac:dyDescent="0.25">
      <c r="A137" s="330"/>
      <c r="B137" s="330"/>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c r="AC137" s="330"/>
    </row>
    <row r="138" spans="1:29" x14ac:dyDescent="0.25">
      <c r="A138" s="330"/>
      <c r="B138" s="330"/>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c r="AC138" s="330"/>
    </row>
    <row r="139" spans="1:29" x14ac:dyDescent="0.25">
      <c r="A139" s="330"/>
      <c r="B139" s="330"/>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330"/>
    </row>
    <row r="140" spans="1:29" x14ac:dyDescent="0.25">
      <c r="A140" s="330"/>
      <c r="B140" s="330"/>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330"/>
    </row>
    <row r="141" spans="1:29" x14ac:dyDescent="0.25">
      <c r="A141" s="330"/>
      <c r="B141" s="330"/>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330"/>
    </row>
    <row r="142" spans="1:29" x14ac:dyDescent="0.25">
      <c r="A142" s="330"/>
      <c r="B142" s="330"/>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330"/>
    </row>
    <row r="143" spans="1:29" x14ac:dyDescent="0.25">
      <c r="A143" s="330"/>
      <c r="B143" s="330"/>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c r="AC143" s="330"/>
    </row>
    <row r="144" spans="1:29" x14ac:dyDescent="0.25">
      <c r="A144" s="330"/>
      <c r="B144" s="330"/>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c r="AC144" s="330"/>
    </row>
    <row r="145" spans="1:29" x14ac:dyDescent="0.25">
      <c r="A145" s="330"/>
      <c r="B145" s="330"/>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row>
    <row r="146" spans="1:29" x14ac:dyDescent="0.25">
      <c r="A146" s="330"/>
      <c r="B146" s="330"/>
      <c r="C146" s="330"/>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330"/>
      <c r="AA146" s="330"/>
      <c r="AB146" s="330"/>
      <c r="AC146" s="330"/>
    </row>
    <row r="147" spans="1:29" x14ac:dyDescent="0.25">
      <c r="A147" s="330"/>
      <c r="B147" s="330"/>
      <c r="C147" s="330"/>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330"/>
      <c r="AA147" s="330"/>
      <c r="AB147" s="330"/>
      <c r="AC147" s="330"/>
    </row>
    <row r="148" spans="1:29" x14ac:dyDescent="0.25">
      <c r="A148" s="330"/>
      <c r="B148" s="330"/>
      <c r="C148" s="330"/>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330"/>
      <c r="AA148" s="330"/>
      <c r="AB148" s="330"/>
      <c r="AC148" s="330"/>
    </row>
    <row r="149" spans="1:29" x14ac:dyDescent="0.25">
      <c r="A149" s="330"/>
      <c r="B149" s="330"/>
      <c r="C149" s="330"/>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330"/>
      <c r="AA149" s="330"/>
      <c r="AB149" s="330"/>
      <c r="AC149" s="330"/>
    </row>
    <row r="150" spans="1:29" x14ac:dyDescent="0.25">
      <c r="A150" s="330"/>
      <c r="B150" s="330"/>
      <c r="C150" s="330"/>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330"/>
      <c r="AA150" s="330"/>
      <c r="AB150" s="330"/>
      <c r="AC150" s="330"/>
    </row>
    <row r="151" spans="1:29" x14ac:dyDescent="0.25">
      <c r="A151" s="330"/>
      <c r="B151" s="330"/>
      <c r="C151" s="330"/>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330"/>
      <c r="AA151" s="330"/>
      <c r="AB151" s="330"/>
      <c r="AC151" s="330"/>
    </row>
    <row r="152" spans="1:29" x14ac:dyDescent="0.25">
      <c r="A152" s="330"/>
      <c r="B152" s="330"/>
      <c r="C152" s="330"/>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330"/>
      <c r="AA152" s="330"/>
      <c r="AB152" s="330"/>
      <c r="AC152" s="330"/>
    </row>
    <row r="153" spans="1:29" x14ac:dyDescent="0.25">
      <c r="A153" s="330"/>
      <c r="B153" s="330"/>
      <c r="C153" s="330"/>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330"/>
      <c r="AA153" s="330"/>
      <c r="AB153" s="330"/>
      <c r="AC153" s="330"/>
    </row>
    <row r="154" spans="1:29" x14ac:dyDescent="0.25">
      <c r="A154" s="330"/>
      <c r="B154" s="330"/>
      <c r="C154" s="330"/>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330"/>
      <c r="AA154" s="330"/>
      <c r="AB154" s="330"/>
      <c r="AC154" s="330"/>
    </row>
    <row r="155" spans="1:29" x14ac:dyDescent="0.25">
      <c r="A155" s="330"/>
      <c r="B155" s="330"/>
      <c r="C155" s="330"/>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330"/>
      <c r="AA155" s="330"/>
      <c r="AB155" s="330"/>
      <c r="AC155" s="330"/>
    </row>
    <row r="156" spans="1:29" x14ac:dyDescent="0.25">
      <c r="A156" s="330"/>
      <c r="B156" s="330"/>
      <c r="C156" s="330"/>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330"/>
      <c r="AA156" s="330"/>
      <c r="AB156" s="330"/>
      <c r="AC156" s="330"/>
    </row>
    <row r="157" spans="1:29" x14ac:dyDescent="0.25">
      <c r="A157" s="330"/>
      <c r="B157" s="330"/>
      <c r="C157" s="330"/>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row>
    <row r="158" spans="1:29" x14ac:dyDescent="0.25">
      <c r="A158" s="330"/>
      <c r="B158" s="330"/>
      <c r="C158" s="330"/>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row>
    <row r="159" spans="1:29" x14ac:dyDescent="0.25">
      <c r="A159" s="330"/>
      <c r="B159" s="330"/>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c r="AC159" s="330"/>
    </row>
    <row r="160" spans="1:29" x14ac:dyDescent="0.25">
      <c r="A160" s="330"/>
      <c r="B160" s="330"/>
      <c r="C160" s="330"/>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c r="AC160" s="330"/>
    </row>
    <row r="161" spans="1:29" x14ac:dyDescent="0.25">
      <c r="A161" s="330"/>
      <c r="B161" s="330"/>
      <c r="C161" s="330"/>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row>
    <row r="162" spans="1:29" x14ac:dyDescent="0.25">
      <c r="A162" s="330"/>
      <c r="B162" s="330"/>
      <c r="C162" s="330"/>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c r="AC162" s="330"/>
    </row>
    <row r="163" spans="1:29" x14ac:dyDescent="0.25">
      <c r="A163" s="330"/>
      <c r="B163" s="330"/>
      <c r="C163" s="330"/>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row>
    <row r="164" spans="1:29" x14ac:dyDescent="0.25">
      <c r="A164" s="330"/>
      <c r="B164" s="330"/>
      <c r="C164" s="330"/>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330"/>
      <c r="AA164" s="330"/>
      <c r="AB164" s="330"/>
      <c r="AC164" s="330"/>
    </row>
    <row r="165" spans="1:29" x14ac:dyDescent="0.25">
      <c r="A165" s="330"/>
      <c r="B165" s="330"/>
      <c r="C165" s="330"/>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330"/>
      <c r="AA165" s="330"/>
      <c r="AB165" s="330"/>
      <c r="AC165" s="330"/>
    </row>
    <row r="166" spans="1:29" x14ac:dyDescent="0.25">
      <c r="A166" s="330"/>
      <c r="B166" s="330"/>
      <c r="C166" s="330"/>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row>
    <row r="167" spans="1:29" x14ac:dyDescent="0.25">
      <c r="A167" s="330"/>
      <c r="B167" s="330"/>
      <c r="C167" s="330"/>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330"/>
      <c r="AA167" s="330"/>
      <c r="AB167" s="330"/>
      <c r="AC167" s="330"/>
    </row>
    <row r="168" spans="1:29" x14ac:dyDescent="0.25">
      <c r="A168" s="330"/>
      <c r="B168" s="330"/>
      <c r="C168" s="330"/>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330"/>
      <c r="AA168" s="330"/>
      <c r="AB168" s="330"/>
      <c r="AC168" s="330"/>
    </row>
    <row r="169" spans="1:29" x14ac:dyDescent="0.25">
      <c r="A169" s="330"/>
      <c r="B169" s="330"/>
      <c r="C169" s="330"/>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330"/>
      <c r="AA169" s="330"/>
      <c r="AB169" s="330"/>
      <c r="AC169" s="330"/>
    </row>
    <row r="170" spans="1:29" x14ac:dyDescent="0.25">
      <c r="A170" s="330"/>
      <c r="B170" s="330"/>
      <c r="C170" s="330"/>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row>
    <row r="171" spans="1:29" x14ac:dyDescent="0.25">
      <c r="A171" s="330"/>
      <c r="B171" s="330"/>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330"/>
      <c r="AA171" s="330"/>
      <c r="AB171" s="330"/>
      <c r="AC171" s="330"/>
    </row>
    <row r="172" spans="1:29" x14ac:dyDescent="0.25">
      <c r="A172" s="330"/>
      <c r="B172" s="330"/>
      <c r="C172" s="330"/>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330"/>
      <c r="AA172" s="330"/>
      <c r="AB172" s="330"/>
      <c r="AC172" s="330"/>
    </row>
    <row r="173" spans="1:29" x14ac:dyDescent="0.25">
      <c r="A173" s="330"/>
      <c r="B173" s="330"/>
      <c r="C173" s="330"/>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330"/>
      <c r="AA173" s="330"/>
      <c r="AB173" s="330"/>
      <c r="AC173" s="330"/>
    </row>
    <row r="174" spans="1:29" x14ac:dyDescent="0.25">
      <c r="A174" s="330"/>
      <c r="B174" s="330"/>
      <c r="C174" s="330"/>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330"/>
      <c r="AA174" s="330"/>
      <c r="AB174" s="330"/>
      <c r="AC174" s="330"/>
    </row>
    <row r="175" spans="1:29" x14ac:dyDescent="0.25">
      <c r="A175" s="330"/>
      <c r="B175" s="330"/>
      <c r="C175" s="330"/>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330"/>
      <c r="AA175" s="330"/>
      <c r="AB175" s="330"/>
      <c r="AC175" s="330"/>
    </row>
    <row r="176" spans="1:29" x14ac:dyDescent="0.25">
      <c r="A176" s="330"/>
      <c r="B176" s="330"/>
      <c r="C176" s="330"/>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row>
    <row r="177" spans="1:29" x14ac:dyDescent="0.25">
      <c r="A177" s="330"/>
      <c r="B177" s="330"/>
      <c r="C177" s="330"/>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330"/>
      <c r="AA177" s="330"/>
      <c r="AB177" s="330"/>
      <c r="AC177" s="330"/>
    </row>
    <row r="178" spans="1:29" x14ac:dyDescent="0.25">
      <c r="A178" s="330"/>
      <c r="B178" s="330"/>
      <c r="C178" s="330"/>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330"/>
      <c r="AA178" s="330"/>
      <c r="AB178" s="330"/>
      <c r="AC178" s="330"/>
    </row>
    <row r="179" spans="1:29" x14ac:dyDescent="0.25">
      <c r="A179" s="330"/>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c r="AC179" s="330"/>
    </row>
    <row r="180" spans="1:29" x14ac:dyDescent="0.25">
      <c r="A180" s="330"/>
      <c r="B180" s="330"/>
      <c r="C180" s="330"/>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330"/>
      <c r="AA180" s="330"/>
      <c r="AB180" s="330"/>
      <c r="AC180" s="330"/>
    </row>
    <row r="181" spans="1:29" x14ac:dyDescent="0.25">
      <c r="A181" s="330"/>
      <c r="B181" s="330"/>
      <c r="C181" s="330"/>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330"/>
      <c r="AA181" s="330"/>
      <c r="AB181" s="330"/>
      <c r="AC181" s="330"/>
    </row>
    <row r="182" spans="1:29" x14ac:dyDescent="0.25">
      <c r="A182" s="330"/>
      <c r="B182" s="330"/>
      <c r="C182" s="330"/>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330"/>
      <c r="AA182" s="330"/>
      <c r="AB182" s="330"/>
      <c r="AC182" s="330"/>
    </row>
    <row r="183" spans="1:29" x14ac:dyDescent="0.25">
      <c r="A183" s="330"/>
      <c r="B183" s="330"/>
      <c r="C183" s="330"/>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330"/>
      <c r="AA183" s="330"/>
      <c r="AB183" s="330"/>
      <c r="AC183" s="330"/>
    </row>
    <row r="184" spans="1:29" x14ac:dyDescent="0.25">
      <c r="A184" s="330"/>
      <c r="B184" s="330"/>
      <c r="C184" s="330"/>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330"/>
      <c r="AA184" s="330"/>
      <c r="AB184" s="330"/>
      <c r="AC184" s="330"/>
    </row>
    <row r="185" spans="1:29" x14ac:dyDescent="0.25">
      <c r="A185" s="330"/>
      <c r="B185" s="330"/>
      <c r="C185" s="330"/>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330"/>
      <c r="AA185" s="330"/>
      <c r="AB185" s="330"/>
      <c r="AC185" s="330"/>
    </row>
    <row r="186" spans="1:29" x14ac:dyDescent="0.25">
      <c r="A186" s="330"/>
      <c r="B186" s="330"/>
      <c r="C186" s="330"/>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330"/>
      <c r="AA186" s="330"/>
      <c r="AB186" s="330"/>
      <c r="AC186" s="330"/>
    </row>
    <row r="187" spans="1:29" x14ac:dyDescent="0.25">
      <c r="A187" s="330"/>
      <c r="B187" s="330"/>
      <c r="C187" s="330"/>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330"/>
      <c r="AA187" s="330"/>
      <c r="AB187" s="330"/>
      <c r="AC187" s="330"/>
    </row>
    <row r="188" spans="1:29" x14ac:dyDescent="0.25">
      <c r="A188" s="330"/>
      <c r="B188" s="330"/>
      <c r="C188" s="330"/>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330"/>
      <c r="AA188" s="330"/>
      <c r="AB188" s="330"/>
      <c r="AC188" s="330"/>
    </row>
    <row r="189" spans="1:29" x14ac:dyDescent="0.25">
      <c r="A189" s="330"/>
      <c r="B189" s="330"/>
      <c r="C189" s="330"/>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330"/>
      <c r="AA189" s="330"/>
      <c r="AB189" s="330"/>
      <c r="AC189" s="330"/>
    </row>
    <row r="190" spans="1:29" x14ac:dyDescent="0.25">
      <c r="A190" s="330"/>
      <c r="B190" s="330"/>
      <c r="C190" s="330"/>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330"/>
    </row>
    <row r="191" spans="1:29" x14ac:dyDescent="0.25">
      <c r="A191" s="330"/>
      <c r="B191" s="330"/>
      <c r="C191" s="330"/>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row>
    <row r="192" spans="1:29" x14ac:dyDescent="0.25">
      <c r="A192" s="330"/>
      <c r="B192" s="330"/>
      <c r="C192" s="330"/>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330"/>
      <c r="AA192" s="330"/>
      <c r="AB192" s="330"/>
      <c r="AC192" s="330"/>
    </row>
    <row r="193" spans="1:29" x14ac:dyDescent="0.25">
      <c r="A193" s="330"/>
      <c r="B193" s="330"/>
      <c r="C193" s="330"/>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330"/>
      <c r="AA193" s="330"/>
      <c r="AB193" s="330"/>
      <c r="AC193" s="330"/>
    </row>
    <row r="194" spans="1:29" x14ac:dyDescent="0.25">
      <c r="A194" s="330"/>
      <c r="B194" s="330"/>
      <c r="C194" s="330"/>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330"/>
      <c r="AA194" s="330"/>
      <c r="AB194" s="330"/>
      <c r="AC194" s="330"/>
    </row>
    <row r="195" spans="1:29" x14ac:dyDescent="0.25">
      <c r="A195" s="330"/>
      <c r="B195" s="330"/>
      <c r="C195" s="330"/>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330"/>
      <c r="AA195" s="330"/>
      <c r="AB195" s="330"/>
      <c r="AC195" s="330"/>
    </row>
    <row r="196" spans="1:29" x14ac:dyDescent="0.25">
      <c r="A196" s="330"/>
      <c r="B196" s="330"/>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row>
    <row r="197" spans="1:29" x14ac:dyDescent="0.25">
      <c r="A197" s="330"/>
      <c r="B197" s="330"/>
      <c r="C197" s="330"/>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330"/>
      <c r="AA197" s="330"/>
      <c r="AB197" s="330"/>
      <c r="AC197" s="330"/>
    </row>
    <row r="198" spans="1:29" x14ac:dyDescent="0.25">
      <c r="A198" s="330"/>
      <c r="B198" s="330"/>
      <c r="C198" s="330"/>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330"/>
      <c r="AA198" s="330"/>
      <c r="AB198" s="330"/>
      <c r="AC198" s="330"/>
    </row>
    <row r="199" spans="1:29" x14ac:dyDescent="0.25">
      <c r="A199" s="330"/>
      <c r="B199" s="330"/>
      <c r="C199" s="330"/>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330"/>
      <c r="AA199" s="330"/>
      <c r="AB199" s="330"/>
      <c r="AC199" s="330"/>
    </row>
    <row r="200" spans="1:29" x14ac:dyDescent="0.25">
      <c r="A200" s="330"/>
      <c r="B200" s="330"/>
      <c r="C200" s="330"/>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330"/>
      <c r="AA200" s="330"/>
      <c r="AB200" s="330"/>
      <c r="AC200" s="330"/>
    </row>
    <row r="201" spans="1:29" x14ac:dyDescent="0.25">
      <c r="A201" s="330"/>
      <c r="B201" s="330"/>
      <c r="C201" s="330"/>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330"/>
      <c r="AA201" s="330"/>
      <c r="AB201" s="330"/>
      <c r="AC201" s="330"/>
    </row>
    <row r="202" spans="1:29" x14ac:dyDescent="0.25">
      <c r="A202" s="330"/>
      <c r="B202" s="330"/>
      <c r="C202" s="330"/>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330"/>
      <c r="AA202" s="330"/>
      <c r="AB202" s="330"/>
      <c r="AC202" s="330"/>
    </row>
    <row r="203" spans="1:29" x14ac:dyDescent="0.25">
      <c r="A203" s="330"/>
      <c r="B203" s="330"/>
      <c r="C203" s="330"/>
      <c r="D203" s="330"/>
      <c r="E203" s="330"/>
      <c r="F203" s="330"/>
      <c r="G203" s="330"/>
      <c r="H203" s="330"/>
      <c r="I203" s="330"/>
      <c r="J203" s="330"/>
      <c r="K203" s="330"/>
      <c r="L203" s="330"/>
      <c r="M203" s="330"/>
      <c r="N203" s="330"/>
      <c r="O203" s="330"/>
      <c r="P203" s="330"/>
      <c r="Q203" s="330"/>
      <c r="R203" s="330"/>
      <c r="S203" s="330"/>
      <c r="T203" s="330"/>
      <c r="U203" s="330"/>
      <c r="V203" s="330"/>
      <c r="W203" s="330"/>
      <c r="X203" s="330"/>
      <c r="Y203" s="330"/>
      <c r="Z203" s="330"/>
      <c r="AA203" s="330"/>
      <c r="AB203" s="330"/>
      <c r="AC203" s="330"/>
    </row>
    <row r="204" spans="1:29" x14ac:dyDescent="0.25">
      <c r="A204" s="330"/>
      <c r="B204" s="330"/>
      <c r="C204" s="330"/>
      <c r="D204" s="330"/>
      <c r="E204" s="330"/>
      <c r="F204" s="330"/>
      <c r="G204" s="330"/>
      <c r="H204" s="330"/>
      <c r="I204" s="330"/>
      <c r="J204" s="330"/>
      <c r="K204" s="330"/>
      <c r="L204" s="330"/>
      <c r="M204" s="330"/>
      <c r="N204" s="330"/>
      <c r="O204" s="330"/>
      <c r="P204" s="330"/>
      <c r="Q204" s="330"/>
      <c r="R204" s="330"/>
      <c r="S204" s="330"/>
      <c r="T204" s="330"/>
      <c r="U204" s="330"/>
      <c r="V204" s="330"/>
      <c r="W204" s="330"/>
      <c r="X204" s="330"/>
      <c r="Y204" s="330"/>
      <c r="Z204" s="330"/>
      <c r="AA204" s="330"/>
      <c r="AB204" s="330"/>
      <c r="AC204" s="330"/>
    </row>
    <row r="205" spans="1:29" x14ac:dyDescent="0.25">
      <c r="A205" s="330"/>
      <c r="B205" s="330"/>
      <c r="C205" s="330"/>
      <c r="D205" s="330"/>
      <c r="E205" s="330"/>
      <c r="F205" s="330"/>
      <c r="G205" s="330"/>
      <c r="H205" s="330"/>
      <c r="I205" s="330"/>
      <c r="J205" s="330"/>
      <c r="K205" s="330"/>
      <c r="L205" s="330"/>
      <c r="M205" s="330"/>
      <c r="N205" s="330"/>
      <c r="O205" s="330"/>
      <c r="P205" s="330"/>
      <c r="Q205" s="330"/>
      <c r="R205" s="330"/>
      <c r="S205" s="330"/>
      <c r="T205" s="330"/>
      <c r="U205" s="330"/>
      <c r="V205" s="330"/>
      <c r="W205" s="330"/>
      <c r="X205" s="330"/>
      <c r="Y205" s="330"/>
      <c r="Z205" s="330"/>
      <c r="AA205" s="330"/>
      <c r="AB205" s="330"/>
      <c r="AC205" s="330"/>
    </row>
    <row r="206" spans="1:29" x14ac:dyDescent="0.25">
      <c r="A206" s="330"/>
      <c r="B206" s="330"/>
      <c r="C206" s="330"/>
      <c r="D206" s="330"/>
      <c r="E206" s="330"/>
      <c r="F206" s="330"/>
      <c r="G206" s="330"/>
      <c r="H206" s="330"/>
      <c r="I206" s="330"/>
      <c r="J206" s="330"/>
      <c r="K206" s="330"/>
      <c r="L206" s="330"/>
      <c r="M206" s="330"/>
      <c r="N206" s="330"/>
      <c r="O206" s="330"/>
      <c r="P206" s="330"/>
      <c r="Q206" s="330"/>
      <c r="R206" s="330"/>
      <c r="S206" s="330"/>
      <c r="T206" s="330"/>
      <c r="U206" s="330"/>
      <c r="V206" s="330"/>
      <c r="W206" s="330"/>
      <c r="X206" s="330"/>
      <c r="Y206" s="330"/>
      <c r="Z206" s="330"/>
      <c r="AA206" s="330"/>
      <c r="AB206" s="330"/>
      <c r="AC206" s="330"/>
    </row>
    <row r="207" spans="1:29" x14ac:dyDescent="0.25">
      <c r="A207" s="330"/>
      <c r="B207" s="330"/>
      <c r="C207" s="330"/>
      <c r="D207" s="330"/>
      <c r="E207" s="330"/>
      <c r="F207" s="330"/>
      <c r="G207" s="330"/>
      <c r="H207" s="330"/>
      <c r="I207" s="330"/>
      <c r="J207" s="330"/>
      <c r="K207" s="330"/>
      <c r="L207" s="330"/>
      <c r="M207" s="330"/>
      <c r="N207" s="330"/>
      <c r="O207" s="330"/>
      <c r="P207" s="330"/>
      <c r="Q207" s="330"/>
      <c r="R207" s="330"/>
      <c r="S207" s="330"/>
      <c r="T207" s="330"/>
      <c r="U207" s="330"/>
      <c r="V207" s="330"/>
      <c r="W207" s="330"/>
      <c r="X207" s="330"/>
      <c r="Y207" s="330"/>
      <c r="Z207" s="330"/>
      <c r="AA207" s="330"/>
      <c r="AB207" s="330"/>
      <c r="AC207" s="330"/>
    </row>
    <row r="208" spans="1:29" x14ac:dyDescent="0.25">
      <c r="A208" s="330"/>
      <c r="B208" s="330"/>
      <c r="C208" s="330"/>
      <c r="D208" s="330"/>
      <c r="E208" s="330"/>
      <c r="F208" s="330"/>
      <c r="G208" s="330"/>
      <c r="H208" s="330"/>
      <c r="I208" s="330"/>
      <c r="J208" s="330"/>
      <c r="K208" s="330"/>
      <c r="L208" s="330"/>
      <c r="M208" s="330"/>
      <c r="N208" s="330"/>
      <c r="O208" s="330"/>
      <c r="P208" s="330"/>
      <c r="Q208" s="330"/>
      <c r="R208" s="330"/>
      <c r="S208" s="330"/>
      <c r="T208" s="330"/>
      <c r="U208" s="330"/>
      <c r="V208" s="330"/>
      <c r="W208" s="330"/>
      <c r="X208" s="330"/>
      <c r="Y208" s="330"/>
      <c r="Z208" s="330"/>
      <c r="AA208" s="330"/>
      <c r="AB208" s="330"/>
      <c r="AC208" s="330"/>
    </row>
    <row r="209" spans="1:29" x14ac:dyDescent="0.25">
      <c r="A209" s="330"/>
      <c r="B209" s="330"/>
      <c r="C209" s="330"/>
      <c r="D209" s="330"/>
      <c r="E209" s="330"/>
      <c r="F209" s="330"/>
      <c r="G209" s="330"/>
      <c r="H209" s="330"/>
      <c r="I209" s="330"/>
      <c r="J209" s="330"/>
      <c r="K209" s="330"/>
      <c r="L209" s="330"/>
      <c r="M209" s="330"/>
      <c r="N209" s="330"/>
      <c r="O209" s="330"/>
      <c r="P209" s="330"/>
      <c r="Q209" s="330"/>
      <c r="R209" s="330"/>
      <c r="S209" s="330"/>
      <c r="T209" s="330"/>
      <c r="U209" s="330"/>
      <c r="V209" s="330"/>
      <c r="W209" s="330"/>
      <c r="X209" s="330"/>
      <c r="Y209" s="330"/>
      <c r="Z209" s="330"/>
      <c r="AA209" s="330"/>
      <c r="AB209" s="330"/>
      <c r="AC209" s="330"/>
    </row>
    <row r="210" spans="1:29" x14ac:dyDescent="0.25">
      <c r="A210" s="330"/>
      <c r="B210" s="330"/>
      <c r="C210" s="330"/>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330"/>
      <c r="AA210" s="330"/>
      <c r="AB210" s="330"/>
      <c r="AC210" s="330"/>
    </row>
    <row r="211" spans="1:29" x14ac:dyDescent="0.25">
      <c r="A211" s="330"/>
      <c r="B211" s="330"/>
      <c r="C211" s="330"/>
      <c r="D211" s="330"/>
      <c r="E211" s="330"/>
      <c r="F211" s="330"/>
      <c r="G211" s="330"/>
      <c r="H211" s="330"/>
      <c r="I211" s="330"/>
      <c r="J211" s="330"/>
      <c r="K211" s="330"/>
      <c r="L211" s="330"/>
      <c r="M211" s="330"/>
      <c r="N211" s="330"/>
      <c r="O211" s="330"/>
      <c r="P211" s="330"/>
      <c r="Q211" s="330"/>
      <c r="R211" s="330"/>
      <c r="S211" s="330"/>
      <c r="T211" s="330"/>
      <c r="U211" s="330"/>
      <c r="V211" s="330"/>
      <c r="W211" s="330"/>
      <c r="X211" s="330"/>
      <c r="Y211" s="330"/>
      <c r="Z211" s="330"/>
      <c r="AA211" s="330"/>
      <c r="AB211" s="330"/>
      <c r="AC211" s="330"/>
    </row>
    <row r="212" spans="1:29" x14ac:dyDescent="0.25">
      <c r="A212" s="330"/>
      <c r="B212" s="330"/>
      <c r="C212" s="330"/>
      <c r="D212" s="330"/>
      <c r="E212" s="330"/>
      <c r="F212" s="330"/>
      <c r="G212" s="330"/>
      <c r="H212" s="330"/>
      <c r="I212" s="330"/>
      <c r="J212" s="330"/>
      <c r="K212" s="330"/>
      <c r="L212" s="330"/>
      <c r="M212" s="330"/>
      <c r="N212" s="330"/>
      <c r="O212" s="330"/>
      <c r="P212" s="330"/>
      <c r="Q212" s="330"/>
      <c r="R212" s="330"/>
      <c r="S212" s="330"/>
      <c r="T212" s="330"/>
      <c r="U212" s="330"/>
      <c r="V212" s="330"/>
      <c r="W212" s="330"/>
      <c r="X212" s="330"/>
      <c r="Y212" s="330"/>
      <c r="Z212" s="330"/>
      <c r="AA212" s="330"/>
      <c r="AB212" s="330"/>
      <c r="AC212" s="330"/>
    </row>
    <row r="213" spans="1:29" x14ac:dyDescent="0.25">
      <c r="A213" s="330"/>
      <c r="B213" s="330"/>
      <c r="C213" s="330"/>
      <c r="D213" s="330"/>
      <c r="E213" s="330"/>
      <c r="F213" s="330"/>
      <c r="G213" s="330"/>
      <c r="H213" s="330"/>
      <c r="I213" s="330"/>
      <c r="J213" s="330"/>
      <c r="K213" s="330"/>
      <c r="L213" s="330"/>
      <c r="M213" s="330"/>
      <c r="N213" s="330"/>
      <c r="O213" s="330"/>
      <c r="P213" s="330"/>
      <c r="Q213" s="330"/>
      <c r="R213" s="330"/>
      <c r="S213" s="330"/>
      <c r="T213" s="330"/>
      <c r="U213" s="330"/>
      <c r="V213" s="330"/>
      <c r="W213" s="330"/>
      <c r="X213" s="330"/>
      <c r="Y213" s="330"/>
      <c r="Z213" s="330"/>
      <c r="AA213" s="330"/>
      <c r="AB213" s="330"/>
      <c r="AC213" s="330"/>
    </row>
    <row r="214" spans="1:29" x14ac:dyDescent="0.25">
      <c r="A214" s="330"/>
      <c r="B214" s="330"/>
      <c r="C214" s="330"/>
      <c r="D214" s="330"/>
      <c r="E214" s="330"/>
      <c r="F214" s="330"/>
      <c r="G214" s="330"/>
      <c r="H214" s="330"/>
      <c r="I214" s="330"/>
      <c r="J214" s="330"/>
      <c r="K214" s="330"/>
      <c r="L214" s="330"/>
      <c r="M214" s="330"/>
      <c r="N214" s="330"/>
      <c r="O214" s="330"/>
      <c r="P214" s="330"/>
      <c r="Q214" s="330"/>
      <c r="R214" s="330"/>
      <c r="S214" s="330"/>
      <c r="T214" s="330"/>
      <c r="U214" s="330"/>
      <c r="V214" s="330"/>
      <c r="W214" s="330"/>
      <c r="X214" s="330"/>
      <c r="Y214" s="330"/>
      <c r="Z214" s="330"/>
      <c r="AA214" s="330"/>
      <c r="AB214" s="330"/>
      <c r="AC214" s="330"/>
    </row>
    <row r="215" spans="1:29" x14ac:dyDescent="0.25">
      <c r="A215" s="330"/>
      <c r="B215" s="330"/>
      <c r="C215" s="330"/>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330"/>
      <c r="AA215" s="330"/>
      <c r="AB215" s="330"/>
      <c r="AC215" s="330"/>
    </row>
    <row r="216" spans="1:29" x14ac:dyDescent="0.25">
      <c r="A216" s="330"/>
      <c r="B216" s="330"/>
      <c r="C216" s="330"/>
      <c r="D216" s="330"/>
      <c r="E216" s="330"/>
      <c r="F216" s="330"/>
      <c r="G216" s="330"/>
      <c r="H216" s="330"/>
      <c r="I216" s="330"/>
      <c r="J216" s="330"/>
      <c r="K216" s="330"/>
      <c r="L216" s="330"/>
      <c r="M216" s="330"/>
      <c r="N216" s="330"/>
      <c r="O216" s="330"/>
      <c r="P216" s="330"/>
      <c r="Q216" s="330"/>
      <c r="R216" s="330"/>
      <c r="S216" s="330"/>
      <c r="T216" s="330"/>
      <c r="U216" s="330"/>
      <c r="V216" s="330"/>
      <c r="W216" s="330"/>
      <c r="X216" s="330"/>
      <c r="Y216" s="330"/>
      <c r="Z216" s="330"/>
      <c r="AA216" s="330"/>
      <c r="AB216" s="330"/>
      <c r="AC216" s="330"/>
    </row>
    <row r="217" spans="1:29" x14ac:dyDescent="0.25">
      <c r="A217" s="330"/>
      <c r="B217" s="330"/>
      <c r="C217" s="330"/>
      <c r="D217" s="330"/>
      <c r="E217" s="330"/>
      <c r="F217" s="330"/>
      <c r="G217" s="330"/>
      <c r="H217" s="330"/>
      <c r="I217" s="330"/>
      <c r="J217" s="330"/>
      <c r="K217" s="330"/>
      <c r="L217" s="330"/>
      <c r="M217" s="330"/>
      <c r="N217" s="330"/>
      <c r="O217" s="330"/>
      <c r="P217" s="330"/>
      <c r="Q217" s="330"/>
      <c r="R217" s="330"/>
      <c r="S217" s="330"/>
      <c r="T217" s="330"/>
      <c r="U217" s="330"/>
      <c r="V217" s="330"/>
      <c r="W217" s="330"/>
      <c r="X217" s="330"/>
      <c r="Y217" s="330"/>
      <c r="Z217" s="330"/>
      <c r="AA217" s="330"/>
      <c r="AB217" s="330"/>
      <c r="AC217" s="330"/>
    </row>
    <row r="218" spans="1:29" x14ac:dyDescent="0.25">
      <c r="A218" s="330"/>
      <c r="B218" s="330"/>
      <c r="C218" s="330"/>
      <c r="D218" s="330"/>
      <c r="E218" s="330"/>
      <c r="F218" s="330"/>
      <c r="G218" s="330"/>
      <c r="H218" s="330"/>
      <c r="I218" s="330"/>
      <c r="J218" s="330"/>
      <c r="K218" s="330"/>
      <c r="L218" s="330"/>
      <c r="M218" s="330"/>
      <c r="N218" s="330"/>
      <c r="O218" s="330"/>
      <c r="P218" s="330"/>
      <c r="Q218" s="330"/>
      <c r="R218" s="330"/>
      <c r="S218" s="330"/>
      <c r="T218" s="330"/>
      <c r="U218" s="330"/>
      <c r="V218" s="330"/>
      <c r="W218" s="330"/>
      <c r="X218" s="330"/>
      <c r="Y218" s="330"/>
      <c r="Z218" s="330"/>
      <c r="AA218" s="330"/>
      <c r="AB218" s="330"/>
      <c r="AC218" s="330"/>
    </row>
    <row r="219" spans="1:29" x14ac:dyDescent="0.25">
      <c r="A219" s="330"/>
      <c r="B219" s="330"/>
      <c r="C219" s="330"/>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330"/>
      <c r="AA219" s="330"/>
      <c r="AB219" s="330"/>
      <c r="AC219" s="330"/>
    </row>
    <row r="220" spans="1:29" x14ac:dyDescent="0.25">
      <c r="A220" s="330"/>
      <c r="B220" s="330"/>
      <c r="C220" s="330"/>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row>
    <row r="221" spans="1:29" x14ac:dyDescent="0.25">
      <c r="A221" s="330"/>
      <c r="B221" s="330"/>
      <c r="C221" s="330"/>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330"/>
      <c r="AA221" s="330"/>
      <c r="AB221" s="330"/>
      <c r="AC221" s="330"/>
    </row>
    <row r="222" spans="1:29" x14ac:dyDescent="0.25">
      <c r="A222" s="330"/>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row>
    <row r="223" spans="1:29" x14ac:dyDescent="0.25">
      <c r="A223" s="330"/>
      <c r="B223" s="330"/>
      <c r="C223" s="330"/>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0"/>
    </row>
    <row r="224" spans="1:29" x14ac:dyDescent="0.25">
      <c r="A224" s="330"/>
      <c r="B224" s="330"/>
      <c r="C224" s="330"/>
      <c r="D224" s="330"/>
      <c r="E224" s="330"/>
      <c r="F224" s="330"/>
      <c r="G224" s="330"/>
      <c r="H224" s="330"/>
      <c r="I224" s="330"/>
      <c r="J224" s="330"/>
      <c r="K224" s="330"/>
      <c r="L224" s="330"/>
      <c r="M224" s="330"/>
      <c r="N224" s="330"/>
      <c r="O224" s="330"/>
      <c r="P224" s="330"/>
      <c r="Q224" s="330"/>
      <c r="R224" s="330"/>
      <c r="S224" s="330"/>
      <c r="T224" s="330"/>
      <c r="U224" s="330"/>
      <c r="V224" s="330"/>
      <c r="W224" s="330"/>
      <c r="X224" s="330"/>
      <c r="Y224" s="330"/>
      <c r="Z224" s="330"/>
      <c r="AA224" s="330"/>
      <c r="AB224" s="330"/>
      <c r="AC224" s="330"/>
    </row>
    <row r="225" spans="1:29" x14ac:dyDescent="0.25">
      <c r="A225" s="330"/>
      <c r="B225" s="330"/>
      <c r="C225" s="330"/>
      <c r="D225" s="330"/>
      <c r="E225" s="330"/>
      <c r="F225" s="330"/>
      <c r="G225" s="330"/>
      <c r="H225" s="330"/>
      <c r="I225" s="330"/>
      <c r="J225" s="330"/>
      <c r="K225" s="330"/>
      <c r="L225" s="330"/>
      <c r="M225" s="330"/>
      <c r="N225" s="330"/>
      <c r="O225" s="330"/>
      <c r="P225" s="330"/>
      <c r="Q225" s="330"/>
      <c r="R225" s="330"/>
      <c r="S225" s="330"/>
      <c r="T225" s="330"/>
      <c r="U225" s="330"/>
      <c r="V225" s="330"/>
      <c r="W225" s="330"/>
      <c r="X225" s="330"/>
      <c r="Y225" s="330"/>
      <c r="Z225" s="330"/>
      <c r="AA225" s="330"/>
      <c r="AB225" s="330"/>
      <c r="AC225" s="330"/>
    </row>
    <row r="226" spans="1:29" x14ac:dyDescent="0.25">
      <c r="A226" s="330"/>
      <c r="B226" s="330"/>
      <c r="C226" s="330"/>
      <c r="D226" s="330"/>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row>
    <row r="227" spans="1:29" x14ac:dyDescent="0.25">
      <c r="A227" s="330"/>
      <c r="B227" s="330"/>
      <c r="C227" s="330"/>
      <c r="D227" s="33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0"/>
    </row>
    <row r="228" spans="1:29" x14ac:dyDescent="0.25">
      <c r="A228" s="330"/>
      <c r="B228" s="330"/>
      <c r="C228" s="330"/>
      <c r="D228" s="330"/>
      <c r="E228" s="330"/>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0"/>
    </row>
    <row r="229" spans="1:29" x14ac:dyDescent="0.25">
      <c r="A229" s="330"/>
      <c r="B229" s="330"/>
      <c r="C229" s="330"/>
      <c r="D229" s="330"/>
      <c r="E229" s="330"/>
      <c r="F229" s="330"/>
      <c r="G229" s="330"/>
      <c r="H229" s="330"/>
      <c r="I229" s="330"/>
      <c r="J229" s="330"/>
      <c r="K229" s="330"/>
      <c r="L229" s="330"/>
      <c r="M229" s="330"/>
      <c r="N229" s="330"/>
      <c r="O229" s="330"/>
      <c r="P229" s="330"/>
      <c r="Q229" s="330"/>
      <c r="R229" s="330"/>
      <c r="S229" s="330"/>
      <c r="T229" s="330"/>
      <c r="U229" s="330"/>
      <c r="V229" s="330"/>
      <c r="W229" s="330"/>
      <c r="X229" s="330"/>
      <c r="Y229" s="330"/>
      <c r="Z229" s="330"/>
      <c r="AA229" s="330"/>
      <c r="AB229" s="330"/>
      <c r="AC229" s="330"/>
    </row>
    <row r="230" spans="1:29" x14ac:dyDescent="0.25">
      <c r="A230" s="330"/>
      <c r="B230" s="330"/>
      <c r="C230" s="330"/>
      <c r="D230" s="330"/>
      <c r="E230" s="330"/>
      <c r="F230" s="330"/>
      <c r="G230" s="330"/>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row>
    <row r="231" spans="1:29" x14ac:dyDescent="0.25">
      <c r="A231" s="330"/>
      <c r="B231" s="330"/>
      <c r="C231" s="330"/>
      <c r="D231" s="330"/>
      <c r="E231" s="330"/>
      <c r="F231" s="330"/>
      <c r="G231" s="330"/>
      <c r="H231" s="330"/>
      <c r="I231" s="330"/>
      <c r="J231" s="330"/>
      <c r="K231" s="330"/>
      <c r="L231" s="330"/>
      <c r="M231" s="330"/>
      <c r="N231" s="330"/>
      <c r="O231" s="330"/>
      <c r="P231" s="330"/>
      <c r="Q231" s="330"/>
      <c r="R231" s="330"/>
      <c r="S231" s="330"/>
      <c r="T231" s="330"/>
      <c r="U231" s="330"/>
      <c r="V231" s="330"/>
      <c r="W231" s="330"/>
      <c r="X231" s="330"/>
      <c r="Y231" s="330"/>
      <c r="Z231" s="330"/>
      <c r="AA231" s="330"/>
      <c r="AB231" s="330"/>
      <c r="AC231" s="330"/>
    </row>
    <row r="232" spans="1:29" x14ac:dyDescent="0.25">
      <c r="A232" s="330"/>
      <c r="B232" s="330"/>
      <c r="C232" s="330"/>
      <c r="D232" s="330"/>
      <c r="E232" s="330"/>
      <c r="F232" s="330"/>
      <c r="G232" s="330"/>
      <c r="H232" s="330"/>
      <c r="I232" s="330"/>
      <c r="J232" s="330"/>
      <c r="K232" s="330"/>
      <c r="L232" s="330"/>
      <c r="M232" s="330"/>
      <c r="N232" s="330"/>
      <c r="O232" s="330"/>
      <c r="P232" s="330"/>
      <c r="Q232" s="330"/>
      <c r="R232" s="330"/>
      <c r="S232" s="330"/>
      <c r="T232" s="330"/>
      <c r="U232" s="330"/>
      <c r="V232" s="330"/>
      <c r="W232" s="330"/>
      <c r="X232" s="330"/>
      <c r="Y232" s="330"/>
      <c r="Z232" s="330"/>
      <c r="AA232" s="330"/>
      <c r="AB232" s="330"/>
      <c r="AC232" s="330"/>
    </row>
    <row r="233" spans="1:29" x14ac:dyDescent="0.25">
      <c r="A233" s="330"/>
      <c r="B233" s="330"/>
      <c r="C233" s="330"/>
      <c r="D233" s="330"/>
      <c r="E233" s="330"/>
      <c r="F233" s="330"/>
      <c r="G233" s="330"/>
      <c r="H233" s="330"/>
      <c r="I233" s="330"/>
      <c r="J233" s="330"/>
      <c r="K233" s="330"/>
      <c r="L233" s="330"/>
      <c r="M233" s="330"/>
      <c r="N233" s="330"/>
      <c r="O233" s="330"/>
      <c r="P233" s="330"/>
      <c r="Q233" s="330"/>
      <c r="R233" s="330"/>
      <c r="S233" s="330"/>
      <c r="T233" s="330"/>
      <c r="U233" s="330"/>
      <c r="V233" s="330"/>
      <c r="W233" s="330"/>
      <c r="X233" s="330"/>
      <c r="Y233" s="330"/>
      <c r="Z233" s="330"/>
      <c r="AA233" s="330"/>
      <c r="AB233" s="330"/>
      <c r="AC233" s="330"/>
    </row>
    <row r="234" spans="1:29" x14ac:dyDescent="0.25">
      <c r="A234" s="330"/>
      <c r="B234" s="330"/>
      <c r="C234" s="330"/>
      <c r="D234" s="330"/>
      <c r="E234" s="330"/>
      <c r="F234" s="330"/>
      <c r="G234" s="330"/>
      <c r="H234" s="330"/>
      <c r="I234" s="330"/>
      <c r="J234" s="330"/>
      <c r="K234" s="330"/>
      <c r="L234" s="330"/>
      <c r="M234" s="330"/>
      <c r="N234" s="330"/>
      <c r="O234" s="330"/>
      <c r="P234" s="330"/>
      <c r="Q234" s="330"/>
      <c r="R234" s="330"/>
      <c r="S234" s="330"/>
      <c r="T234" s="330"/>
      <c r="U234" s="330"/>
      <c r="V234" s="330"/>
      <c r="W234" s="330"/>
      <c r="X234" s="330"/>
      <c r="Y234" s="330"/>
      <c r="Z234" s="330"/>
      <c r="AA234" s="330"/>
      <c r="AB234" s="330"/>
      <c r="AC234" s="330"/>
    </row>
    <row r="235" spans="1:29" x14ac:dyDescent="0.25">
      <c r="A235" s="330"/>
      <c r="B235" s="330"/>
      <c r="C235" s="330"/>
      <c r="D235" s="330"/>
      <c r="E235" s="330"/>
      <c r="F235" s="330"/>
      <c r="G235" s="330"/>
      <c r="H235" s="330"/>
      <c r="I235" s="330"/>
      <c r="J235" s="330"/>
      <c r="K235" s="330"/>
      <c r="L235" s="330"/>
      <c r="M235" s="330"/>
      <c r="N235" s="330"/>
      <c r="O235" s="330"/>
      <c r="P235" s="330"/>
      <c r="Q235" s="330"/>
      <c r="R235" s="330"/>
      <c r="S235" s="330"/>
      <c r="T235" s="330"/>
      <c r="U235" s="330"/>
      <c r="V235" s="330"/>
      <c r="W235" s="330"/>
      <c r="X235" s="330"/>
      <c r="Y235" s="330"/>
      <c r="Z235" s="330"/>
      <c r="AA235" s="330"/>
      <c r="AB235" s="330"/>
      <c r="AC235" s="330"/>
    </row>
    <row r="236" spans="1:29" x14ac:dyDescent="0.25">
      <c r="A236" s="330"/>
      <c r="B236" s="330"/>
      <c r="C236" s="330"/>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0"/>
    </row>
    <row r="237" spans="1:29" x14ac:dyDescent="0.25">
      <c r="A237" s="330"/>
      <c r="B237" s="330"/>
      <c r="C237" s="330"/>
      <c r="D237" s="330"/>
      <c r="E237" s="330"/>
      <c r="F237" s="330"/>
      <c r="G237" s="330"/>
      <c r="H237" s="330"/>
      <c r="I237" s="330"/>
      <c r="J237" s="330"/>
      <c r="K237" s="330"/>
      <c r="L237" s="330"/>
      <c r="M237" s="330"/>
      <c r="N237" s="330"/>
      <c r="O237" s="330"/>
      <c r="P237" s="330"/>
      <c r="Q237" s="330"/>
      <c r="R237" s="330"/>
      <c r="S237" s="330"/>
      <c r="T237" s="330"/>
      <c r="U237" s="330"/>
      <c r="V237" s="330"/>
      <c r="W237" s="330"/>
      <c r="X237" s="330"/>
      <c r="Y237" s="330"/>
      <c r="Z237" s="330"/>
      <c r="AA237" s="330"/>
      <c r="AB237" s="330"/>
      <c r="AC237" s="330"/>
    </row>
    <row r="238" spans="1:29" x14ac:dyDescent="0.25">
      <c r="A238" s="330"/>
      <c r="B238" s="330"/>
      <c r="C238" s="330"/>
      <c r="D238" s="330"/>
      <c r="E238" s="330"/>
      <c r="F238" s="330"/>
      <c r="G238" s="330"/>
      <c r="H238" s="330"/>
      <c r="I238" s="330"/>
      <c r="J238" s="330"/>
      <c r="K238" s="330"/>
      <c r="L238" s="330"/>
      <c r="M238" s="330"/>
      <c r="N238" s="330"/>
      <c r="O238" s="330"/>
      <c r="P238" s="330"/>
      <c r="Q238" s="330"/>
      <c r="R238" s="330"/>
      <c r="S238" s="330"/>
      <c r="T238" s="330"/>
      <c r="U238" s="330"/>
      <c r="V238" s="330"/>
      <c r="W238" s="330"/>
      <c r="X238" s="330"/>
      <c r="Y238" s="330"/>
      <c r="Z238" s="330"/>
      <c r="AA238" s="330"/>
      <c r="AB238" s="330"/>
      <c r="AC238" s="330"/>
    </row>
    <row r="239" spans="1:29" x14ac:dyDescent="0.25">
      <c r="A239" s="330"/>
      <c r="B239" s="330"/>
      <c r="C239" s="330"/>
      <c r="D239" s="330"/>
      <c r="E239" s="330"/>
      <c r="F239" s="330"/>
      <c r="G239" s="330"/>
      <c r="H239" s="330"/>
      <c r="I239" s="330"/>
      <c r="J239" s="330"/>
      <c r="K239" s="330"/>
      <c r="L239" s="330"/>
      <c r="M239" s="330"/>
      <c r="N239" s="330"/>
      <c r="O239" s="330"/>
      <c r="P239" s="330"/>
      <c r="Q239" s="330"/>
      <c r="R239" s="330"/>
      <c r="S239" s="330"/>
      <c r="T239" s="330"/>
      <c r="U239" s="330"/>
      <c r="V239" s="330"/>
      <c r="W239" s="330"/>
      <c r="X239" s="330"/>
      <c r="Y239" s="330"/>
      <c r="Z239" s="330"/>
      <c r="AA239" s="330"/>
      <c r="AB239" s="330"/>
      <c r="AC239" s="330"/>
    </row>
    <row r="240" spans="1:29" x14ac:dyDescent="0.25">
      <c r="A240" s="330"/>
      <c r="B240" s="330"/>
      <c r="C240" s="330"/>
      <c r="D240" s="330"/>
      <c r="E240" s="330"/>
      <c r="F240" s="330"/>
      <c r="G240" s="330"/>
      <c r="H240" s="330"/>
      <c r="I240" s="330"/>
      <c r="J240" s="330"/>
      <c r="K240" s="330"/>
      <c r="L240" s="330"/>
      <c r="M240" s="330"/>
      <c r="N240" s="330"/>
      <c r="O240" s="330"/>
      <c r="P240" s="330"/>
      <c r="Q240" s="330"/>
      <c r="R240" s="330"/>
      <c r="S240" s="330"/>
      <c r="T240" s="330"/>
      <c r="U240" s="330"/>
      <c r="V240" s="330"/>
      <c r="W240" s="330"/>
      <c r="X240" s="330"/>
      <c r="Y240" s="330"/>
      <c r="Z240" s="330"/>
      <c r="AA240" s="330"/>
      <c r="AB240" s="330"/>
      <c r="AC240" s="330"/>
    </row>
    <row r="241" spans="1:29" x14ac:dyDescent="0.25">
      <c r="A241" s="330"/>
      <c r="B241" s="330"/>
      <c r="C241" s="330"/>
      <c r="D241" s="330"/>
      <c r="E241" s="330"/>
      <c r="F241" s="330"/>
      <c r="G241" s="330"/>
      <c r="H241" s="330"/>
      <c r="I241" s="330"/>
      <c r="J241" s="330"/>
      <c r="K241" s="330"/>
      <c r="L241" s="330"/>
      <c r="M241" s="330"/>
      <c r="N241" s="330"/>
      <c r="O241" s="330"/>
      <c r="P241" s="330"/>
      <c r="Q241" s="330"/>
      <c r="R241" s="330"/>
      <c r="S241" s="330"/>
      <c r="T241" s="330"/>
      <c r="U241" s="330"/>
      <c r="V241" s="330"/>
      <c r="W241" s="330"/>
      <c r="X241" s="330"/>
      <c r="Y241" s="330"/>
      <c r="Z241" s="330"/>
      <c r="AA241" s="330"/>
      <c r="AB241" s="330"/>
      <c r="AC241" s="330"/>
    </row>
    <row r="242" spans="1:29" x14ac:dyDescent="0.25">
      <c r="A242" s="330"/>
      <c r="B242" s="330"/>
      <c r="C242" s="330"/>
      <c r="D242" s="330"/>
      <c r="E242" s="330"/>
      <c r="F242" s="330"/>
      <c r="G242" s="330"/>
      <c r="H242" s="330"/>
      <c r="I242" s="330"/>
      <c r="J242" s="330"/>
      <c r="K242" s="330"/>
      <c r="L242" s="330"/>
      <c r="M242" s="330"/>
      <c r="N242" s="330"/>
      <c r="O242" s="330"/>
      <c r="P242" s="330"/>
      <c r="Q242" s="330"/>
      <c r="R242" s="330"/>
      <c r="S242" s="330"/>
      <c r="T242" s="330"/>
      <c r="U242" s="330"/>
      <c r="V242" s="330"/>
      <c r="W242" s="330"/>
      <c r="X242" s="330"/>
      <c r="Y242" s="330"/>
      <c r="Z242" s="330"/>
      <c r="AA242" s="330"/>
      <c r="AB242" s="330"/>
      <c r="AC242" s="330"/>
    </row>
    <row r="243" spans="1:29" x14ac:dyDescent="0.25">
      <c r="A243" s="330"/>
      <c r="B243" s="330"/>
      <c r="C243" s="330"/>
      <c r="D243" s="330"/>
      <c r="E243" s="330"/>
      <c r="F243" s="330"/>
      <c r="G243" s="330"/>
      <c r="H243" s="330"/>
      <c r="I243" s="330"/>
      <c r="J243" s="330"/>
      <c r="K243" s="330"/>
      <c r="L243" s="330"/>
      <c r="M243" s="330"/>
      <c r="N243" s="330"/>
      <c r="O243" s="330"/>
      <c r="P243" s="330"/>
      <c r="Q243" s="330"/>
      <c r="R243" s="330"/>
      <c r="S243" s="330"/>
      <c r="T243" s="330"/>
      <c r="U243" s="330"/>
      <c r="V243" s="330"/>
      <c r="W243" s="330"/>
      <c r="X243" s="330"/>
      <c r="Y243" s="330"/>
      <c r="Z243" s="330"/>
      <c r="AA243" s="330"/>
      <c r="AB243" s="330"/>
      <c r="AC243" s="330"/>
    </row>
    <row r="244" spans="1:29" x14ac:dyDescent="0.25">
      <c r="A244" s="330"/>
      <c r="B244" s="330"/>
      <c r="C244" s="330"/>
      <c r="D244" s="330"/>
      <c r="E244" s="330"/>
      <c r="F244" s="330"/>
      <c r="G244" s="330"/>
      <c r="H244" s="330"/>
      <c r="I244" s="330"/>
      <c r="J244" s="330"/>
      <c r="K244" s="330"/>
      <c r="L244" s="330"/>
      <c r="M244" s="330"/>
      <c r="N244" s="330"/>
      <c r="O244" s="330"/>
      <c r="P244" s="330"/>
      <c r="Q244" s="330"/>
      <c r="R244" s="330"/>
      <c r="S244" s="330"/>
      <c r="T244" s="330"/>
      <c r="U244" s="330"/>
      <c r="V244" s="330"/>
      <c r="W244" s="330"/>
      <c r="X244" s="330"/>
      <c r="Y244" s="330"/>
      <c r="Z244" s="330"/>
      <c r="AA244" s="330"/>
      <c r="AB244" s="330"/>
      <c r="AC244" s="330"/>
    </row>
    <row r="245" spans="1:29" x14ac:dyDescent="0.25">
      <c r="A245" s="330"/>
      <c r="B245" s="330"/>
      <c r="C245" s="330"/>
      <c r="D245" s="330"/>
      <c r="E245" s="330"/>
      <c r="F245" s="330"/>
      <c r="G245" s="330"/>
      <c r="H245" s="330"/>
      <c r="I245" s="330"/>
      <c r="J245" s="330"/>
      <c r="K245" s="330"/>
      <c r="L245" s="330"/>
      <c r="M245" s="330"/>
      <c r="N245" s="330"/>
      <c r="O245" s="330"/>
      <c r="P245" s="330"/>
      <c r="Q245" s="330"/>
      <c r="R245" s="330"/>
      <c r="S245" s="330"/>
      <c r="T245" s="330"/>
      <c r="U245" s="330"/>
      <c r="V245" s="330"/>
      <c r="W245" s="330"/>
      <c r="X245" s="330"/>
      <c r="Y245" s="330"/>
      <c r="Z245" s="330"/>
      <c r="AA245" s="330"/>
      <c r="AB245" s="330"/>
      <c r="AC245" s="330"/>
    </row>
    <row r="246" spans="1:29" x14ac:dyDescent="0.25">
      <c r="A246" s="330"/>
      <c r="B246" s="330"/>
      <c r="C246" s="330"/>
      <c r="D246" s="330"/>
      <c r="E246" s="330"/>
      <c r="F246" s="330"/>
      <c r="G246" s="330"/>
      <c r="H246" s="330"/>
      <c r="I246" s="330"/>
      <c r="J246" s="330"/>
      <c r="K246" s="330"/>
      <c r="L246" s="330"/>
      <c r="M246" s="330"/>
      <c r="N246" s="330"/>
      <c r="O246" s="330"/>
      <c r="P246" s="330"/>
      <c r="Q246" s="330"/>
      <c r="R246" s="330"/>
      <c r="S246" s="330"/>
      <c r="T246" s="330"/>
      <c r="U246" s="330"/>
      <c r="V246" s="330"/>
      <c r="W246" s="330"/>
      <c r="X246" s="330"/>
      <c r="Y246" s="330"/>
      <c r="Z246" s="330"/>
      <c r="AA246" s="330"/>
      <c r="AB246" s="330"/>
      <c r="AC246" s="330"/>
    </row>
    <row r="247" spans="1:29" x14ac:dyDescent="0.25">
      <c r="A247" s="330"/>
      <c r="B247" s="330"/>
      <c r="C247" s="330"/>
      <c r="D247" s="330"/>
      <c r="E247" s="330"/>
      <c r="F247" s="330"/>
      <c r="G247" s="330"/>
      <c r="H247" s="330"/>
      <c r="I247" s="330"/>
      <c r="J247" s="330"/>
      <c r="K247" s="330"/>
      <c r="L247" s="330"/>
      <c r="M247" s="330"/>
      <c r="N247" s="330"/>
      <c r="O247" s="330"/>
      <c r="P247" s="330"/>
      <c r="Q247" s="330"/>
      <c r="R247" s="330"/>
      <c r="S247" s="330"/>
      <c r="T247" s="330"/>
      <c r="U247" s="330"/>
      <c r="V247" s="330"/>
      <c r="W247" s="330"/>
      <c r="X247" s="330"/>
      <c r="Y247" s="330"/>
      <c r="Z247" s="330"/>
      <c r="AA247" s="330"/>
      <c r="AB247" s="330"/>
      <c r="AC247" s="330"/>
    </row>
    <row r="248" spans="1:29" x14ac:dyDescent="0.25">
      <c r="A248" s="330"/>
      <c r="B248" s="330"/>
      <c r="C248" s="330"/>
      <c r="D248" s="330"/>
      <c r="E248" s="330"/>
      <c r="F248" s="330"/>
      <c r="G248" s="330"/>
      <c r="H248" s="330"/>
      <c r="I248" s="330"/>
      <c r="J248" s="330"/>
      <c r="K248" s="330"/>
      <c r="L248" s="330"/>
      <c r="M248" s="330"/>
      <c r="N248" s="330"/>
      <c r="O248" s="330"/>
      <c r="P248" s="330"/>
      <c r="Q248" s="330"/>
      <c r="R248" s="330"/>
      <c r="S248" s="330"/>
      <c r="T248" s="330"/>
      <c r="U248" s="330"/>
      <c r="V248" s="330"/>
      <c r="W248" s="330"/>
      <c r="X248" s="330"/>
      <c r="Y248" s="330"/>
      <c r="Z248" s="330"/>
      <c r="AA248" s="330"/>
      <c r="AB248" s="330"/>
      <c r="AC248" s="330"/>
    </row>
    <row r="249" spans="1:29" x14ac:dyDescent="0.25">
      <c r="A249" s="330"/>
      <c r="B249" s="330"/>
      <c r="C249" s="330"/>
      <c r="D249" s="330"/>
      <c r="E249" s="330"/>
      <c r="F249" s="330"/>
      <c r="G249" s="330"/>
      <c r="H249" s="330"/>
      <c r="I249" s="330"/>
      <c r="J249" s="330"/>
      <c r="K249" s="330"/>
      <c r="L249" s="330"/>
      <c r="M249" s="330"/>
      <c r="N249" s="330"/>
      <c r="O249" s="330"/>
      <c r="P249" s="330"/>
      <c r="Q249" s="330"/>
      <c r="R249" s="330"/>
      <c r="S249" s="330"/>
      <c r="T249" s="330"/>
      <c r="U249" s="330"/>
      <c r="V249" s="330"/>
      <c r="W249" s="330"/>
      <c r="X249" s="330"/>
      <c r="Y249" s="330"/>
      <c r="Z249" s="330"/>
      <c r="AA249" s="330"/>
      <c r="AB249" s="330"/>
      <c r="AC249" s="330"/>
    </row>
    <row r="250" spans="1:29" x14ac:dyDescent="0.25">
      <c r="A250" s="330"/>
      <c r="B250" s="330"/>
      <c r="C250" s="330"/>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row>
    <row r="251" spans="1:29" x14ac:dyDescent="0.25">
      <c r="A251" s="330"/>
      <c r="B251" s="330"/>
      <c r="C251" s="330"/>
      <c r="D251" s="330"/>
      <c r="E251" s="330"/>
      <c r="F251" s="330"/>
      <c r="G251" s="330"/>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row>
    <row r="252" spans="1:29" x14ac:dyDescent="0.25">
      <c r="A252" s="330"/>
      <c r="B252" s="330"/>
      <c r="C252" s="330"/>
      <c r="D252" s="330"/>
      <c r="E252" s="330"/>
      <c r="F252" s="330"/>
      <c r="G252" s="330"/>
      <c r="H252" s="330"/>
      <c r="I252" s="330"/>
      <c r="J252" s="330"/>
      <c r="K252" s="330"/>
      <c r="L252" s="330"/>
      <c r="M252" s="330"/>
      <c r="N252" s="330"/>
      <c r="O252" s="330"/>
      <c r="P252" s="330"/>
      <c r="Q252" s="330"/>
      <c r="R252" s="330"/>
      <c r="S252" s="330"/>
      <c r="T252" s="330"/>
      <c r="U252" s="330"/>
      <c r="V252" s="330"/>
      <c r="W252" s="330"/>
      <c r="X252" s="330"/>
      <c r="Y252" s="330"/>
      <c r="Z252" s="330"/>
      <c r="AA252" s="330"/>
      <c r="AB252" s="330"/>
      <c r="AC252" s="330"/>
    </row>
    <row r="253" spans="1:29" x14ac:dyDescent="0.25">
      <c r="A253" s="330"/>
      <c r="B253" s="330"/>
      <c r="C253" s="330"/>
      <c r="D253" s="330"/>
      <c r="E253" s="330"/>
      <c r="F253" s="330"/>
      <c r="G253" s="330"/>
      <c r="H253" s="330"/>
      <c r="I253" s="330"/>
      <c r="J253" s="330"/>
      <c r="K253" s="330"/>
      <c r="L253" s="330"/>
      <c r="M253" s="330"/>
      <c r="N253" s="330"/>
      <c r="O253" s="330"/>
      <c r="P253" s="330"/>
      <c r="Q253" s="330"/>
      <c r="R253" s="330"/>
      <c r="S253" s="330"/>
      <c r="T253" s="330"/>
      <c r="U253" s="330"/>
      <c r="V253" s="330"/>
      <c r="W253" s="330"/>
      <c r="X253" s="330"/>
      <c r="Y253" s="330"/>
      <c r="Z253" s="330"/>
      <c r="AA253" s="330"/>
      <c r="AB253" s="330"/>
      <c r="AC253" s="330"/>
    </row>
    <row r="254" spans="1:29" x14ac:dyDescent="0.25">
      <c r="A254" s="330"/>
      <c r="B254" s="330"/>
      <c r="C254" s="330"/>
      <c r="D254" s="330"/>
      <c r="E254" s="330"/>
      <c r="F254" s="330"/>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row>
    <row r="255" spans="1:29" x14ac:dyDescent="0.25">
      <c r="A255" s="330"/>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row>
    <row r="256" spans="1:29" x14ac:dyDescent="0.25">
      <c r="A256" s="330"/>
      <c r="B256" s="330"/>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c r="Z256" s="330"/>
      <c r="AA256" s="330"/>
      <c r="AB256" s="330"/>
      <c r="AC256" s="330"/>
    </row>
    <row r="257" spans="1:29" x14ac:dyDescent="0.25">
      <c r="A257" s="330"/>
      <c r="B257" s="330"/>
      <c r="C257" s="330"/>
      <c r="D257" s="330"/>
      <c r="E257" s="330"/>
      <c r="F257" s="330"/>
      <c r="G257" s="330"/>
      <c r="H257" s="330"/>
      <c r="I257" s="330"/>
      <c r="J257" s="330"/>
      <c r="K257" s="330"/>
      <c r="L257" s="330"/>
      <c r="M257" s="330"/>
      <c r="N257" s="330"/>
      <c r="O257" s="330"/>
      <c r="P257" s="330"/>
      <c r="Q257" s="330"/>
      <c r="R257" s="330"/>
      <c r="S257" s="330"/>
      <c r="T257" s="330"/>
      <c r="U257" s="330"/>
      <c r="V257" s="330"/>
      <c r="W257" s="330"/>
      <c r="X257" s="330"/>
      <c r="Y257" s="330"/>
      <c r="Z257" s="330"/>
      <c r="AA257" s="330"/>
      <c r="AB257" s="330"/>
      <c r="AC257" s="330"/>
    </row>
    <row r="258" spans="1:29" x14ac:dyDescent="0.25">
      <c r="A258" s="330"/>
      <c r="B258" s="330"/>
      <c r="C258" s="330"/>
      <c r="D258" s="330"/>
      <c r="E258" s="330"/>
      <c r="F258" s="330"/>
      <c r="G258" s="330"/>
      <c r="H258" s="330"/>
      <c r="I258" s="330"/>
      <c r="J258" s="330"/>
      <c r="K258" s="330"/>
      <c r="L258" s="330"/>
      <c r="M258" s="330"/>
      <c r="N258" s="330"/>
      <c r="O258" s="330"/>
      <c r="P258" s="330"/>
      <c r="Q258" s="330"/>
      <c r="R258" s="330"/>
      <c r="S258" s="330"/>
      <c r="T258" s="330"/>
      <c r="U258" s="330"/>
      <c r="V258" s="330"/>
      <c r="W258" s="330"/>
      <c r="X258" s="330"/>
      <c r="Y258" s="330"/>
      <c r="Z258" s="330"/>
      <c r="AA258" s="330"/>
      <c r="AB258" s="330"/>
      <c r="AC258" s="330"/>
    </row>
    <row r="259" spans="1:29" x14ac:dyDescent="0.25">
      <c r="A259" s="330"/>
      <c r="B259" s="330"/>
      <c r="C259" s="330"/>
      <c r="D259" s="330"/>
      <c r="E259" s="330"/>
      <c r="F259" s="330"/>
      <c r="G259" s="330"/>
      <c r="H259" s="330"/>
      <c r="I259" s="330"/>
      <c r="J259" s="330"/>
      <c r="K259" s="330"/>
      <c r="L259" s="330"/>
      <c r="M259" s="330"/>
      <c r="N259" s="330"/>
      <c r="O259" s="330"/>
      <c r="P259" s="330"/>
      <c r="Q259" s="330"/>
      <c r="R259" s="330"/>
      <c r="S259" s="330"/>
      <c r="T259" s="330"/>
      <c r="U259" s="330"/>
      <c r="V259" s="330"/>
      <c r="W259" s="330"/>
      <c r="X259" s="330"/>
      <c r="Y259" s="330"/>
      <c r="Z259" s="330"/>
      <c r="AA259" s="330"/>
      <c r="AB259" s="330"/>
      <c r="AC259" s="330"/>
    </row>
    <row r="260" spans="1:29" x14ac:dyDescent="0.25">
      <c r="A260" s="330"/>
      <c r="B260" s="330"/>
      <c r="C260" s="330"/>
      <c r="D260" s="330"/>
      <c r="E260" s="330"/>
      <c r="F260" s="330"/>
      <c r="G260" s="330"/>
      <c r="H260" s="330"/>
      <c r="I260" s="330"/>
      <c r="J260" s="330"/>
      <c r="K260" s="330"/>
      <c r="L260" s="330"/>
      <c r="M260" s="330"/>
      <c r="N260" s="330"/>
      <c r="O260" s="330"/>
      <c r="P260" s="330"/>
      <c r="Q260" s="330"/>
      <c r="R260" s="330"/>
      <c r="S260" s="330"/>
      <c r="T260" s="330"/>
      <c r="U260" s="330"/>
      <c r="V260" s="330"/>
      <c r="W260" s="330"/>
      <c r="X260" s="330"/>
      <c r="Y260" s="330"/>
      <c r="Z260" s="330"/>
      <c r="AA260" s="330"/>
      <c r="AB260" s="330"/>
      <c r="AC260" s="330"/>
    </row>
    <row r="261" spans="1:29" x14ac:dyDescent="0.25">
      <c r="A261" s="330"/>
      <c r="B261" s="330"/>
      <c r="C261" s="330"/>
      <c r="D261" s="330"/>
      <c r="E261" s="330"/>
      <c r="F261" s="330"/>
      <c r="G261" s="330"/>
      <c r="H261" s="330"/>
      <c r="I261" s="330"/>
      <c r="J261" s="330"/>
      <c r="K261" s="330"/>
      <c r="L261" s="330"/>
      <c r="M261" s="330"/>
      <c r="N261" s="330"/>
      <c r="O261" s="330"/>
      <c r="P261" s="330"/>
      <c r="Q261" s="330"/>
      <c r="R261" s="330"/>
      <c r="S261" s="330"/>
      <c r="T261" s="330"/>
      <c r="U261" s="330"/>
      <c r="V261" s="330"/>
      <c r="W261" s="330"/>
      <c r="X261" s="330"/>
      <c r="Y261" s="330"/>
      <c r="Z261" s="330"/>
      <c r="AA261" s="330"/>
      <c r="AB261" s="330"/>
      <c r="AC261" s="330"/>
    </row>
    <row r="262" spans="1:29" x14ac:dyDescent="0.25">
      <c r="A262" s="330"/>
      <c r="B262" s="330"/>
      <c r="C262" s="330"/>
      <c r="D262" s="330"/>
      <c r="E262" s="330"/>
      <c r="F262" s="330"/>
      <c r="G262" s="330"/>
      <c r="H262" s="330"/>
      <c r="I262" s="330"/>
      <c r="J262" s="330"/>
      <c r="K262" s="330"/>
      <c r="L262" s="330"/>
      <c r="M262" s="330"/>
      <c r="N262" s="330"/>
      <c r="O262" s="330"/>
      <c r="P262" s="330"/>
      <c r="Q262" s="330"/>
      <c r="R262" s="330"/>
      <c r="S262" s="330"/>
      <c r="T262" s="330"/>
      <c r="U262" s="330"/>
      <c r="V262" s="330"/>
      <c r="W262" s="330"/>
      <c r="X262" s="330"/>
      <c r="Y262" s="330"/>
      <c r="Z262" s="330"/>
      <c r="AA262" s="330"/>
      <c r="AB262" s="330"/>
      <c r="AC262" s="330"/>
    </row>
    <row r="263" spans="1:29" x14ac:dyDescent="0.25">
      <c r="A263" s="330"/>
      <c r="B263" s="330"/>
      <c r="C263" s="330"/>
      <c r="D263" s="330"/>
      <c r="E263" s="330"/>
      <c r="F263" s="330"/>
      <c r="G263" s="330"/>
      <c r="H263" s="330"/>
      <c r="I263" s="330"/>
      <c r="J263" s="330"/>
      <c r="K263" s="330"/>
      <c r="L263" s="330"/>
      <c r="M263" s="330"/>
      <c r="N263" s="330"/>
      <c r="O263" s="330"/>
      <c r="P263" s="330"/>
      <c r="Q263" s="330"/>
      <c r="R263" s="330"/>
      <c r="S263" s="330"/>
      <c r="T263" s="330"/>
      <c r="U263" s="330"/>
      <c r="V263" s="330"/>
      <c r="W263" s="330"/>
      <c r="X263" s="330"/>
      <c r="Y263" s="330"/>
      <c r="Z263" s="330"/>
      <c r="AA263" s="330"/>
      <c r="AB263" s="330"/>
      <c r="AC263" s="330"/>
    </row>
    <row r="264" spans="1:29" x14ac:dyDescent="0.25">
      <c r="A264" s="330"/>
      <c r="B264" s="330"/>
      <c r="C264" s="330"/>
      <c r="D264" s="330"/>
      <c r="E264" s="330"/>
      <c r="F264" s="330"/>
      <c r="G264" s="330"/>
      <c r="H264" s="330"/>
      <c r="I264" s="330"/>
      <c r="J264" s="330"/>
      <c r="K264" s="330"/>
      <c r="L264" s="330"/>
      <c r="M264" s="330"/>
      <c r="N264" s="330"/>
      <c r="O264" s="330"/>
      <c r="P264" s="330"/>
      <c r="Q264" s="330"/>
      <c r="R264" s="330"/>
      <c r="S264" s="330"/>
      <c r="T264" s="330"/>
      <c r="U264" s="330"/>
      <c r="V264" s="330"/>
      <c r="W264" s="330"/>
      <c r="X264" s="330"/>
      <c r="Y264" s="330"/>
      <c r="Z264" s="330"/>
      <c r="AA264" s="330"/>
      <c r="AB264" s="330"/>
      <c r="AC264" s="330"/>
    </row>
    <row r="265" spans="1:29" x14ac:dyDescent="0.25">
      <c r="A265" s="330"/>
      <c r="B265" s="330"/>
      <c r="C265" s="330"/>
      <c r="D265" s="330"/>
      <c r="E265" s="330"/>
      <c r="F265" s="330"/>
      <c r="G265" s="330"/>
      <c r="H265" s="330"/>
      <c r="I265" s="330"/>
      <c r="J265" s="330"/>
      <c r="K265" s="330"/>
      <c r="L265" s="330"/>
      <c r="M265" s="330"/>
      <c r="N265" s="330"/>
      <c r="O265" s="330"/>
      <c r="P265" s="330"/>
      <c r="Q265" s="330"/>
      <c r="R265" s="330"/>
      <c r="S265" s="330"/>
      <c r="T265" s="330"/>
      <c r="U265" s="330"/>
      <c r="V265" s="330"/>
      <c r="W265" s="330"/>
      <c r="X265" s="330"/>
      <c r="Y265" s="330"/>
      <c r="Z265" s="330"/>
      <c r="AA265" s="330"/>
      <c r="AB265" s="330"/>
      <c r="AC265" s="330"/>
    </row>
    <row r="266" spans="1:29" x14ac:dyDescent="0.25">
      <c r="A266" s="330"/>
      <c r="B266" s="330"/>
      <c r="C266" s="330"/>
      <c r="D266" s="330"/>
      <c r="E266" s="330"/>
      <c r="F266" s="330"/>
      <c r="G266" s="330"/>
      <c r="H266" s="330"/>
      <c r="I266" s="330"/>
      <c r="J266" s="330"/>
      <c r="K266" s="330"/>
      <c r="L266" s="330"/>
      <c r="M266" s="330"/>
      <c r="N266" s="330"/>
      <c r="O266" s="330"/>
      <c r="P266" s="330"/>
      <c r="Q266" s="330"/>
      <c r="R266" s="330"/>
      <c r="S266" s="330"/>
      <c r="T266" s="330"/>
      <c r="U266" s="330"/>
      <c r="V266" s="330"/>
      <c r="W266" s="330"/>
      <c r="X266" s="330"/>
      <c r="Y266" s="330"/>
      <c r="Z266" s="330"/>
      <c r="AA266" s="330"/>
      <c r="AB266" s="330"/>
      <c r="AC266" s="330"/>
    </row>
    <row r="267" spans="1:29" x14ac:dyDescent="0.25">
      <c r="A267" s="330"/>
      <c r="B267" s="330"/>
      <c r="C267" s="330"/>
      <c r="D267" s="330"/>
      <c r="E267" s="330"/>
      <c r="F267" s="330"/>
      <c r="G267" s="330"/>
      <c r="H267" s="330"/>
      <c r="I267" s="330"/>
      <c r="J267" s="330"/>
      <c r="K267" s="330"/>
      <c r="L267" s="330"/>
      <c r="M267" s="330"/>
      <c r="N267" s="330"/>
      <c r="O267" s="330"/>
      <c r="P267" s="330"/>
      <c r="Q267" s="330"/>
      <c r="R267" s="330"/>
      <c r="S267" s="330"/>
      <c r="T267" s="330"/>
      <c r="U267" s="330"/>
      <c r="V267" s="330"/>
      <c r="W267" s="330"/>
      <c r="X267" s="330"/>
      <c r="Y267" s="330"/>
      <c r="Z267" s="330"/>
      <c r="AA267" s="330"/>
      <c r="AB267" s="330"/>
      <c r="AC267" s="330"/>
    </row>
    <row r="268" spans="1:29" x14ac:dyDescent="0.25">
      <c r="A268" s="330"/>
      <c r="B268" s="330"/>
      <c r="C268" s="330"/>
      <c r="D268" s="330"/>
      <c r="E268" s="330"/>
      <c r="F268" s="330"/>
      <c r="G268" s="330"/>
      <c r="H268" s="330"/>
      <c r="I268" s="330"/>
      <c r="J268" s="330"/>
      <c r="K268" s="330"/>
      <c r="L268" s="330"/>
      <c r="M268" s="330"/>
      <c r="N268" s="330"/>
      <c r="O268" s="330"/>
      <c r="P268" s="330"/>
      <c r="Q268" s="330"/>
      <c r="R268" s="330"/>
      <c r="S268" s="330"/>
      <c r="T268" s="330"/>
      <c r="U268" s="330"/>
      <c r="V268" s="330"/>
      <c r="W268" s="330"/>
      <c r="X268" s="330"/>
      <c r="Y268" s="330"/>
      <c r="Z268" s="330"/>
      <c r="AA268" s="330"/>
      <c r="AB268" s="330"/>
      <c r="AC268" s="330"/>
    </row>
    <row r="269" spans="1:29" x14ac:dyDescent="0.25">
      <c r="A269" s="330"/>
      <c r="B269" s="330"/>
      <c r="C269" s="330"/>
      <c r="D269" s="330"/>
      <c r="E269" s="330"/>
      <c r="F269" s="330"/>
      <c r="G269" s="330"/>
      <c r="H269" s="330"/>
      <c r="I269" s="330"/>
      <c r="J269" s="330"/>
      <c r="K269" s="330"/>
      <c r="L269" s="330"/>
      <c r="M269" s="330"/>
      <c r="N269" s="330"/>
      <c r="O269" s="330"/>
      <c r="P269" s="330"/>
      <c r="Q269" s="330"/>
      <c r="R269" s="330"/>
      <c r="S269" s="330"/>
      <c r="T269" s="330"/>
      <c r="U269" s="330"/>
      <c r="V269" s="330"/>
      <c r="W269" s="330"/>
      <c r="X269" s="330"/>
      <c r="Y269" s="330"/>
      <c r="Z269" s="330"/>
      <c r="AA269" s="330"/>
      <c r="AB269" s="330"/>
      <c r="AC269" s="330"/>
    </row>
    <row r="270" spans="1:29" x14ac:dyDescent="0.25">
      <c r="A270" s="330"/>
      <c r="B270" s="330"/>
      <c r="C270" s="330"/>
      <c r="D270" s="330"/>
      <c r="E270" s="330"/>
      <c r="F270" s="330"/>
      <c r="G270" s="330"/>
      <c r="H270" s="330"/>
      <c r="I270" s="330"/>
      <c r="J270" s="330"/>
      <c r="K270" s="330"/>
      <c r="L270" s="330"/>
      <c r="M270" s="330"/>
      <c r="N270" s="330"/>
      <c r="O270" s="330"/>
      <c r="P270" s="330"/>
      <c r="Q270" s="330"/>
      <c r="R270" s="330"/>
      <c r="S270" s="330"/>
      <c r="T270" s="330"/>
      <c r="U270" s="330"/>
      <c r="V270" s="330"/>
      <c r="W270" s="330"/>
      <c r="X270" s="330"/>
      <c r="Y270" s="330"/>
      <c r="Z270" s="330"/>
      <c r="AA270" s="330"/>
      <c r="AB270" s="330"/>
      <c r="AC270" s="330"/>
    </row>
    <row r="271" spans="1:29" x14ac:dyDescent="0.25">
      <c r="A271" s="330"/>
      <c r="B271" s="330"/>
      <c r="C271" s="330"/>
      <c r="D271" s="330"/>
      <c r="E271" s="330"/>
      <c r="F271" s="330"/>
      <c r="G271" s="330"/>
      <c r="H271" s="330"/>
      <c r="I271" s="330"/>
      <c r="J271" s="330"/>
      <c r="K271" s="330"/>
      <c r="L271" s="330"/>
      <c r="M271" s="330"/>
      <c r="N271" s="330"/>
      <c r="O271" s="330"/>
      <c r="P271" s="330"/>
      <c r="Q271" s="330"/>
      <c r="R271" s="330"/>
      <c r="S271" s="330"/>
      <c r="T271" s="330"/>
      <c r="U271" s="330"/>
      <c r="V271" s="330"/>
      <c r="W271" s="330"/>
      <c r="X271" s="330"/>
      <c r="Y271" s="330"/>
      <c r="Z271" s="330"/>
      <c r="AA271" s="330"/>
      <c r="AB271" s="330"/>
      <c r="AC271" s="330"/>
    </row>
    <row r="272" spans="1:29" x14ac:dyDescent="0.25">
      <c r="A272" s="330"/>
      <c r="B272" s="330"/>
      <c r="C272" s="330"/>
      <c r="D272" s="330"/>
      <c r="E272" s="330"/>
      <c r="F272" s="330"/>
      <c r="G272" s="330"/>
      <c r="H272" s="330"/>
      <c r="I272" s="330"/>
      <c r="J272" s="330"/>
      <c r="K272" s="330"/>
      <c r="L272" s="330"/>
      <c r="M272" s="330"/>
      <c r="N272" s="330"/>
      <c r="O272" s="330"/>
      <c r="P272" s="330"/>
      <c r="Q272" s="330"/>
      <c r="R272" s="330"/>
      <c r="S272" s="330"/>
      <c r="T272" s="330"/>
      <c r="U272" s="330"/>
      <c r="V272" s="330"/>
      <c r="W272" s="330"/>
      <c r="X272" s="330"/>
      <c r="Y272" s="330"/>
      <c r="Z272" s="330"/>
      <c r="AA272" s="330"/>
      <c r="AB272" s="330"/>
      <c r="AC272" s="330"/>
    </row>
    <row r="273" spans="1:29" x14ac:dyDescent="0.25">
      <c r="A273" s="330"/>
      <c r="B273" s="330"/>
      <c r="C273" s="330"/>
      <c r="D273" s="330"/>
      <c r="E273" s="330"/>
      <c r="F273" s="330"/>
      <c r="G273" s="330"/>
      <c r="H273" s="330"/>
      <c r="I273" s="330"/>
      <c r="J273" s="330"/>
      <c r="K273" s="330"/>
      <c r="L273" s="330"/>
      <c r="M273" s="330"/>
      <c r="N273" s="330"/>
      <c r="O273" s="330"/>
      <c r="P273" s="330"/>
      <c r="Q273" s="330"/>
      <c r="R273" s="330"/>
      <c r="S273" s="330"/>
      <c r="T273" s="330"/>
      <c r="U273" s="330"/>
      <c r="V273" s="330"/>
      <c r="W273" s="330"/>
      <c r="X273" s="330"/>
      <c r="Y273" s="330"/>
      <c r="Z273" s="330"/>
      <c r="AA273" s="330"/>
      <c r="AB273" s="330"/>
      <c r="AC273" s="330"/>
    </row>
    <row r="274" spans="1:29" x14ac:dyDescent="0.25">
      <c r="A274" s="330"/>
      <c r="B274" s="330"/>
      <c r="C274" s="330"/>
      <c r="D274" s="330"/>
      <c r="E274" s="330"/>
      <c r="F274" s="330"/>
      <c r="G274" s="330"/>
      <c r="H274" s="330"/>
      <c r="I274" s="330"/>
      <c r="J274" s="330"/>
      <c r="K274" s="330"/>
      <c r="L274" s="330"/>
      <c r="M274" s="330"/>
      <c r="N274" s="330"/>
      <c r="O274" s="330"/>
      <c r="P274" s="330"/>
      <c r="Q274" s="330"/>
      <c r="R274" s="330"/>
      <c r="S274" s="330"/>
      <c r="T274" s="330"/>
      <c r="U274" s="330"/>
      <c r="V274" s="330"/>
      <c r="W274" s="330"/>
      <c r="X274" s="330"/>
      <c r="Y274" s="330"/>
      <c r="Z274" s="330"/>
      <c r="AA274" s="330"/>
      <c r="AB274" s="330"/>
      <c r="AC274" s="330"/>
    </row>
    <row r="275" spans="1:29" x14ac:dyDescent="0.25">
      <c r="A275" s="330"/>
      <c r="B275" s="330"/>
      <c r="C275" s="330"/>
      <c r="D275" s="330"/>
      <c r="E275" s="330"/>
      <c r="F275" s="330"/>
      <c r="G275" s="330"/>
      <c r="H275" s="330"/>
      <c r="I275" s="330"/>
      <c r="J275" s="330"/>
      <c r="K275" s="330"/>
      <c r="L275" s="330"/>
      <c r="M275" s="330"/>
      <c r="N275" s="330"/>
      <c r="O275" s="330"/>
      <c r="P275" s="330"/>
      <c r="Q275" s="330"/>
      <c r="R275" s="330"/>
      <c r="S275" s="330"/>
      <c r="T275" s="330"/>
      <c r="U275" s="330"/>
      <c r="V275" s="330"/>
      <c r="W275" s="330"/>
      <c r="X275" s="330"/>
      <c r="Y275" s="330"/>
      <c r="Z275" s="330"/>
      <c r="AA275" s="330"/>
      <c r="AB275" s="330"/>
      <c r="AC275" s="330"/>
    </row>
    <row r="276" spans="1:29" x14ac:dyDescent="0.25">
      <c r="A276" s="330"/>
      <c r="B276" s="330"/>
      <c r="C276" s="330"/>
      <c r="D276" s="330"/>
      <c r="E276" s="330"/>
      <c r="F276" s="330"/>
      <c r="G276" s="330"/>
      <c r="H276" s="330"/>
      <c r="I276" s="330"/>
      <c r="J276" s="330"/>
      <c r="K276" s="330"/>
      <c r="L276" s="330"/>
      <c r="M276" s="330"/>
      <c r="N276" s="330"/>
      <c r="O276" s="330"/>
      <c r="P276" s="330"/>
      <c r="Q276" s="330"/>
      <c r="R276" s="330"/>
      <c r="S276" s="330"/>
      <c r="T276" s="330"/>
      <c r="U276" s="330"/>
      <c r="V276" s="330"/>
      <c r="W276" s="330"/>
      <c r="X276" s="330"/>
      <c r="Y276" s="330"/>
      <c r="Z276" s="330"/>
      <c r="AA276" s="330"/>
      <c r="AB276" s="330"/>
      <c r="AC276" s="330"/>
    </row>
    <row r="277" spans="1:29" x14ac:dyDescent="0.25">
      <c r="A277" s="330"/>
      <c r="B277" s="330"/>
      <c r="C277" s="330"/>
      <c r="D277" s="330"/>
      <c r="E277" s="330"/>
      <c r="F277" s="330"/>
      <c r="G277" s="330"/>
      <c r="H277" s="330"/>
      <c r="I277" s="330"/>
      <c r="J277" s="330"/>
      <c r="K277" s="330"/>
      <c r="L277" s="330"/>
      <c r="M277" s="330"/>
      <c r="N277" s="330"/>
      <c r="O277" s="330"/>
      <c r="P277" s="330"/>
      <c r="Q277" s="330"/>
      <c r="R277" s="330"/>
      <c r="S277" s="330"/>
      <c r="T277" s="330"/>
      <c r="U277" s="330"/>
      <c r="V277" s="330"/>
      <c r="W277" s="330"/>
      <c r="X277" s="330"/>
      <c r="Y277" s="330"/>
      <c r="Z277" s="330"/>
      <c r="AA277" s="330"/>
      <c r="AB277" s="330"/>
      <c r="AC277" s="330"/>
    </row>
    <row r="278" spans="1:29" x14ac:dyDescent="0.25">
      <c r="A278" s="330"/>
      <c r="B278" s="330"/>
      <c r="C278" s="330"/>
      <c r="D278" s="330"/>
      <c r="E278" s="330"/>
      <c r="F278" s="330"/>
      <c r="G278" s="330"/>
      <c r="H278" s="330"/>
      <c r="I278" s="330"/>
      <c r="J278" s="330"/>
      <c r="K278" s="330"/>
      <c r="L278" s="330"/>
      <c r="M278" s="330"/>
      <c r="N278" s="330"/>
      <c r="O278" s="330"/>
      <c r="P278" s="330"/>
      <c r="Q278" s="330"/>
      <c r="R278" s="330"/>
      <c r="S278" s="330"/>
      <c r="T278" s="330"/>
      <c r="U278" s="330"/>
      <c r="V278" s="330"/>
      <c r="W278" s="330"/>
      <c r="X278" s="330"/>
      <c r="Y278" s="330"/>
      <c r="Z278" s="330"/>
      <c r="AA278" s="330"/>
      <c r="AB278" s="330"/>
      <c r="AC278" s="330"/>
    </row>
    <row r="279" spans="1:29" x14ac:dyDescent="0.25">
      <c r="A279" s="330"/>
      <c r="B279" s="330"/>
      <c r="C279" s="330"/>
      <c r="D279" s="330"/>
      <c r="E279" s="330"/>
      <c r="F279" s="330"/>
      <c r="G279" s="330"/>
      <c r="H279" s="330"/>
      <c r="I279" s="330"/>
      <c r="J279" s="330"/>
      <c r="K279" s="330"/>
      <c r="L279" s="330"/>
      <c r="M279" s="330"/>
      <c r="N279" s="330"/>
      <c r="O279" s="330"/>
      <c r="P279" s="330"/>
      <c r="Q279" s="330"/>
      <c r="R279" s="330"/>
      <c r="S279" s="330"/>
      <c r="T279" s="330"/>
      <c r="U279" s="330"/>
      <c r="V279" s="330"/>
      <c r="W279" s="330"/>
      <c r="X279" s="330"/>
      <c r="Y279" s="330"/>
      <c r="Z279" s="330"/>
      <c r="AA279" s="330"/>
      <c r="AB279" s="330"/>
      <c r="AC279" s="330"/>
    </row>
    <row r="280" spans="1:29" x14ac:dyDescent="0.25">
      <c r="A280" s="330"/>
      <c r="B280" s="330"/>
      <c r="C280" s="330"/>
      <c r="D280" s="330"/>
      <c r="E280" s="330"/>
      <c r="F280" s="330"/>
      <c r="G280" s="330"/>
      <c r="H280" s="330"/>
      <c r="I280" s="330"/>
      <c r="J280" s="330"/>
      <c r="K280" s="330"/>
      <c r="L280" s="330"/>
      <c r="M280" s="330"/>
      <c r="N280" s="330"/>
      <c r="O280" s="330"/>
      <c r="P280" s="330"/>
      <c r="Q280" s="330"/>
      <c r="R280" s="330"/>
      <c r="S280" s="330"/>
      <c r="T280" s="330"/>
      <c r="U280" s="330"/>
      <c r="V280" s="330"/>
      <c r="W280" s="330"/>
      <c r="X280" s="330"/>
      <c r="Y280" s="330"/>
      <c r="Z280" s="330"/>
      <c r="AA280" s="330"/>
      <c r="AB280" s="330"/>
      <c r="AC280" s="330"/>
    </row>
    <row r="281" spans="1:29" x14ac:dyDescent="0.25">
      <c r="A281" s="330"/>
      <c r="B281" s="330"/>
      <c r="C281" s="330"/>
      <c r="D281" s="330"/>
      <c r="E281" s="330"/>
      <c r="F281" s="330"/>
      <c r="G281" s="330"/>
      <c r="H281" s="330"/>
      <c r="I281" s="330"/>
      <c r="J281" s="330"/>
      <c r="K281" s="330"/>
      <c r="L281" s="330"/>
      <c r="M281" s="330"/>
      <c r="N281" s="330"/>
      <c r="O281" s="330"/>
      <c r="P281" s="330"/>
      <c r="Q281" s="330"/>
      <c r="R281" s="330"/>
      <c r="S281" s="330"/>
      <c r="T281" s="330"/>
      <c r="U281" s="330"/>
      <c r="V281" s="330"/>
      <c r="W281" s="330"/>
      <c r="X281" s="330"/>
      <c r="Y281" s="330"/>
      <c r="Z281" s="330"/>
      <c r="AA281" s="330"/>
      <c r="AB281" s="330"/>
      <c r="AC281" s="330"/>
    </row>
    <row r="282" spans="1:29" x14ac:dyDescent="0.25">
      <c r="A282" s="330"/>
      <c r="B282" s="330"/>
      <c r="C282" s="330"/>
      <c r="D282" s="330"/>
      <c r="E282" s="330"/>
      <c r="F282" s="330"/>
      <c r="G282" s="330"/>
      <c r="H282" s="330"/>
      <c r="I282" s="330"/>
      <c r="J282" s="330"/>
      <c r="K282" s="330"/>
      <c r="L282" s="330"/>
      <c r="M282" s="330"/>
      <c r="N282" s="330"/>
      <c r="O282" s="330"/>
      <c r="P282" s="330"/>
      <c r="Q282" s="330"/>
      <c r="R282" s="330"/>
      <c r="S282" s="330"/>
      <c r="T282" s="330"/>
      <c r="U282" s="330"/>
      <c r="V282" s="330"/>
      <c r="W282" s="330"/>
      <c r="X282" s="330"/>
      <c r="Y282" s="330"/>
      <c r="Z282" s="330"/>
      <c r="AA282" s="330"/>
      <c r="AB282" s="330"/>
      <c r="AC282" s="330"/>
    </row>
    <row r="283" spans="1:29" x14ac:dyDescent="0.25">
      <c r="A283" s="330"/>
      <c r="B283" s="330"/>
      <c r="C283" s="330"/>
      <c r="D283" s="330"/>
      <c r="E283" s="330"/>
      <c r="F283" s="330"/>
      <c r="G283" s="330"/>
      <c r="H283" s="330"/>
      <c r="I283" s="330"/>
      <c r="J283" s="330"/>
      <c r="K283" s="330"/>
      <c r="L283" s="330"/>
      <c r="M283" s="330"/>
      <c r="N283" s="330"/>
      <c r="O283" s="330"/>
      <c r="P283" s="330"/>
      <c r="Q283" s="330"/>
      <c r="R283" s="330"/>
      <c r="S283" s="330"/>
      <c r="T283" s="330"/>
      <c r="U283" s="330"/>
      <c r="V283" s="330"/>
      <c r="W283" s="330"/>
      <c r="X283" s="330"/>
      <c r="Y283" s="330"/>
      <c r="Z283" s="330"/>
      <c r="AA283" s="330"/>
      <c r="AB283" s="330"/>
      <c r="AC283" s="330"/>
    </row>
    <row r="284" spans="1:29" x14ac:dyDescent="0.25">
      <c r="A284" s="330"/>
      <c r="B284" s="330"/>
      <c r="C284" s="330"/>
      <c r="D284" s="330"/>
      <c r="E284" s="330"/>
      <c r="F284" s="330"/>
      <c r="G284" s="330"/>
      <c r="H284" s="330"/>
      <c r="I284" s="330"/>
      <c r="J284" s="330"/>
      <c r="K284" s="330"/>
      <c r="L284" s="330"/>
      <c r="M284" s="330"/>
      <c r="N284" s="330"/>
      <c r="O284" s="330"/>
      <c r="P284" s="330"/>
      <c r="Q284" s="330"/>
      <c r="R284" s="330"/>
      <c r="S284" s="330"/>
      <c r="T284" s="330"/>
      <c r="U284" s="330"/>
      <c r="V284" s="330"/>
      <c r="W284" s="330"/>
      <c r="X284" s="330"/>
      <c r="Y284" s="330"/>
      <c r="Z284" s="330"/>
      <c r="AA284" s="330"/>
      <c r="AB284" s="330"/>
      <c r="AC284" s="330"/>
    </row>
    <row r="285" spans="1:29" x14ac:dyDescent="0.25">
      <c r="A285" s="330"/>
      <c r="B285" s="330"/>
      <c r="C285" s="330"/>
      <c r="D285" s="330"/>
      <c r="E285" s="330"/>
      <c r="F285" s="330"/>
      <c r="G285" s="330"/>
      <c r="H285" s="330"/>
      <c r="I285" s="330"/>
      <c r="J285" s="330"/>
      <c r="K285" s="330"/>
      <c r="L285" s="330"/>
      <c r="M285" s="330"/>
      <c r="N285" s="330"/>
      <c r="O285" s="330"/>
      <c r="P285" s="330"/>
      <c r="Q285" s="330"/>
      <c r="R285" s="330"/>
      <c r="S285" s="330"/>
      <c r="T285" s="330"/>
      <c r="U285" s="330"/>
      <c r="V285" s="330"/>
      <c r="W285" s="330"/>
      <c r="X285" s="330"/>
      <c r="Y285" s="330"/>
      <c r="Z285" s="330"/>
      <c r="AA285" s="330"/>
      <c r="AB285" s="330"/>
      <c r="AC285" s="330"/>
    </row>
    <row r="286" spans="1:29" x14ac:dyDescent="0.25">
      <c r="A286" s="330"/>
      <c r="B286" s="330"/>
      <c r="C286" s="330"/>
      <c r="D286" s="330"/>
      <c r="E286" s="330"/>
      <c r="F286" s="330"/>
      <c r="G286" s="330"/>
      <c r="H286" s="330"/>
      <c r="I286" s="330"/>
      <c r="J286" s="330"/>
      <c r="K286" s="330"/>
      <c r="L286" s="330"/>
      <c r="M286" s="330"/>
      <c r="N286" s="330"/>
      <c r="O286" s="330"/>
      <c r="P286" s="330"/>
      <c r="Q286" s="330"/>
      <c r="R286" s="330"/>
      <c r="S286" s="330"/>
      <c r="T286" s="330"/>
      <c r="U286" s="330"/>
      <c r="V286" s="330"/>
      <c r="W286" s="330"/>
      <c r="X286" s="330"/>
      <c r="Y286" s="330"/>
      <c r="Z286" s="330"/>
      <c r="AA286" s="330"/>
      <c r="AB286" s="330"/>
      <c r="AC286" s="330"/>
    </row>
    <row r="287" spans="1:29" x14ac:dyDescent="0.25">
      <c r="A287" s="330"/>
      <c r="B287" s="330"/>
      <c r="C287" s="330"/>
      <c r="D287" s="330"/>
      <c r="E287" s="330"/>
      <c r="F287" s="330"/>
      <c r="G287" s="330"/>
      <c r="H287" s="330"/>
      <c r="I287" s="330"/>
      <c r="J287" s="330"/>
      <c r="K287" s="330"/>
      <c r="L287" s="330"/>
      <c r="M287" s="330"/>
      <c r="N287" s="330"/>
      <c r="O287" s="330"/>
      <c r="P287" s="330"/>
      <c r="Q287" s="330"/>
      <c r="R287" s="330"/>
      <c r="S287" s="330"/>
      <c r="T287" s="330"/>
      <c r="U287" s="330"/>
      <c r="V287" s="330"/>
      <c r="W287" s="330"/>
      <c r="X287" s="330"/>
      <c r="Y287" s="330"/>
      <c r="Z287" s="330"/>
      <c r="AA287" s="330"/>
      <c r="AB287" s="330"/>
      <c r="AC287" s="330"/>
    </row>
    <row r="288" spans="1:29" x14ac:dyDescent="0.25">
      <c r="A288" s="330"/>
      <c r="B288" s="330"/>
      <c r="C288" s="330"/>
      <c r="D288" s="330"/>
      <c r="E288" s="330"/>
      <c r="F288" s="330"/>
      <c r="G288" s="330"/>
      <c r="H288" s="330"/>
      <c r="I288" s="330"/>
      <c r="J288" s="330"/>
      <c r="K288" s="330"/>
      <c r="L288" s="330"/>
      <c r="M288" s="330"/>
      <c r="N288" s="330"/>
      <c r="O288" s="330"/>
      <c r="P288" s="330"/>
      <c r="Q288" s="330"/>
      <c r="R288" s="330"/>
      <c r="S288" s="330"/>
      <c r="T288" s="330"/>
      <c r="U288" s="330"/>
      <c r="V288" s="330"/>
      <c r="W288" s="330"/>
      <c r="X288" s="330"/>
      <c r="Y288" s="330"/>
      <c r="Z288" s="330"/>
      <c r="AA288" s="330"/>
      <c r="AB288" s="330"/>
      <c r="AC288" s="330"/>
    </row>
    <row r="289" spans="1:29" x14ac:dyDescent="0.25">
      <c r="A289" s="330"/>
      <c r="B289" s="330"/>
      <c r="C289" s="330"/>
      <c r="D289" s="330"/>
      <c r="E289" s="330"/>
      <c r="F289" s="330"/>
      <c r="G289" s="330"/>
      <c r="H289" s="330"/>
      <c r="I289" s="330"/>
      <c r="J289" s="330"/>
      <c r="K289" s="330"/>
      <c r="L289" s="330"/>
      <c r="M289" s="330"/>
      <c r="N289" s="330"/>
      <c r="O289" s="330"/>
      <c r="P289" s="330"/>
      <c r="Q289" s="330"/>
      <c r="R289" s="330"/>
      <c r="S289" s="330"/>
      <c r="T289" s="330"/>
      <c r="U289" s="330"/>
      <c r="V289" s="330"/>
      <c r="W289" s="330"/>
      <c r="X289" s="330"/>
      <c r="Y289" s="330"/>
      <c r="Z289" s="330"/>
      <c r="AA289" s="330"/>
      <c r="AB289" s="330"/>
      <c r="AC289" s="330"/>
    </row>
    <row r="290" spans="1:29" x14ac:dyDescent="0.25">
      <c r="A290" s="330"/>
      <c r="B290" s="330"/>
      <c r="C290" s="330"/>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30"/>
      <c r="AA290" s="330"/>
      <c r="AB290" s="330"/>
      <c r="AC290" s="330"/>
    </row>
    <row r="291" spans="1:29" x14ac:dyDescent="0.25">
      <c r="A291" s="330"/>
      <c r="B291" s="330"/>
      <c r="C291" s="330"/>
      <c r="D291" s="330"/>
      <c r="E291" s="330"/>
      <c r="F291" s="330"/>
      <c r="G291" s="330"/>
      <c r="H291" s="330"/>
      <c r="I291" s="330"/>
      <c r="J291" s="330"/>
      <c r="K291" s="330"/>
      <c r="L291" s="330"/>
      <c r="M291" s="330"/>
      <c r="N291" s="330"/>
      <c r="O291" s="330"/>
      <c r="P291" s="330"/>
      <c r="Q291" s="330"/>
      <c r="R291" s="330"/>
      <c r="S291" s="330"/>
      <c r="T291" s="330"/>
      <c r="U291" s="330"/>
      <c r="V291" s="330"/>
      <c r="W291" s="330"/>
      <c r="X291" s="330"/>
      <c r="Y291" s="330"/>
      <c r="Z291" s="330"/>
      <c r="AA291" s="330"/>
      <c r="AB291" s="330"/>
      <c r="AC291" s="330"/>
    </row>
    <row r="292" spans="1:29" x14ac:dyDescent="0.25">
      <c r="A292" s="330"/>
      <c r="B292" s="330"/>
      <c r="C292" s="330"/>
      <c r="D292" s="330"/>
      <c r="E292" s="330"/>
      <c r="F292" s="330"/>
      <c r="G292" s="330"/>
      <c r="H292" s="330"/>
      <c r="I292" s="330"/>
      <c r="J292" s="330"/>
      <c r="K292" s="330"/>
      <c r="L292" s="330"/>
      <c r="M292" s="330"/>
      <c r="N292" s="330"/>
      <c r="O292" s="330"/>
      <c r="P292" s="330"/>
      <c r="Q292" s="330"/>
      <c r="R292" s="330"/>
      <c r="S292" s="330"/>
      <c r="T292" s="330"/>
      <c r="U292" s="330"/>
      <c r="V292" s="330"/>
      <c r="W292" s="330"/>
      <c r="X292" s="330"/>
      <c r="Y292" s="330"/>
      <c r="Z292" s="330"/>
      <c r="AA292" s="330"/>
      <c r="AB292" s="330"/>
      <c r="AC292" s="330"/>
    </row>
    <row r="293" spans="1:29" x14ac:dyDescent="0.25">
      <c r="A293" s="330"/>
      <c r="B293" s="330"/>
      <c r="C293" s="330"/>
      <c r="D293" s="330"/>
      <c r="E293" s="330"/>
      <c r="F293" s="330"/>
      <c r="G293" s="330"/>
      <c r="H293" s="330"/>
      <c r="I293" s="330"/>
      <c r="J293" s="330"/>
      <c r="K293" s="330"/>
      <c r="L293" s="330"/>
      <c r="M293" s="330"/>
      <c r="N293" s="330"/>
      <c r="O293" s="330"/>
      <c r="P293" s="330"/>
      <c r="Q293" s="330"/>
      <c r="R293" s="330"/>
      <c r="S293" s="330"/>
      <c r="T293" s="330"/>
      <c r="U293" s="330"/>
      <c r="V293" s="330"/>
      <c r="W293" s="330"/>
      <c r="X293" s="330"/>
      <c r="Y293" s="330"/>
      <c r="Z293" s="330"/>
      <c r="AA293" s="330"/>
      <c r="AB293" s="330"/>
      <c r="AC293" s="330"/>
    </row>
    <row r="294" spans="1:29" x14ac:dyDescent="0.25">
      <c r="A294" s="330"/>
      <c r="B294" s="330"/>
      <c r="C294" s="330"/>
      <c r="D294" s="330"/>
      <c r="E294" s="330"/>
      <c r="F294" s="330"/>
      <c r="G294" s="330"/>
      <c r="H294" s="330"/>
      <c r="I294" s="330"/>
      <c r="J294" s="330"/>
      <c r="K294" s="330"/>
      <c r="L294" s="330"/>
      <c r="M294" s="330"/>
      <c r="N294" s="330"/>
      <c r="O294" s="330"/>
      <c r="P294" s="330"/>
      <c r="Q294" s="330"/>
      <c r="R294" s="330"/>
      <c r="S294" s="330"/>
      <c r="T294" s="330"/>
      <c r="U294" s="330"/>
      <c r="V294" s="330"/>
      <c r="W294" s="330"/>
      <c r="X294" s="330"/>
      <c r="Y294" s="330"/>
      <c r="Z294" s="330"/>
      <c r="AA294" s="330"/>
      <c r="AB294" s="330"/>
      <c r="AC294" s="330"/>
    </row>
    <row r="295" spans="1:29" x14ac:dyDescent="0.25">
      <c r="A295" s="330"/>
      <c r="B295" s="330"/>
      <c r="C295" s="330"/>
      <c r="D295" s="330"/>
      <c r="E295" s="330"/>
      <c r="F295" s="330"/>
      <c r="G295" s="330"/>
      <c r="H295" s="330"/>
      <c r="I295" s="330"/>
      <c r="J295" s="330"/>
      <c r="K295" s="330"/>
      <c r="L295" s="330"/>
      <c r="M295" s="330"/>
      <c r="N295" s="330"/>
      <c r="O295" s="330"/>
      <c r="P295" s="330"/>
      <c r="Q295" s="330"/>
      <c r="R295" s="330"/>
      <c r="S295" s="330"/>
      <c r="T295" s="330"/>
      <c r="U295" s="330"/>
      <c r="V295" s="330"/>
      <c r="W295" s="330"/>
      <c r="X295" s="330"/>
      <c r="Y295" s="330"/>
      <c r="Z295" s="330"/>
      <c r="AA295" s="330"/>
      <c r="AB295" s="330"/>
      <c r="AC295" s="330"/>
    </row>
    <row r="296" spans="1:29" x14ac:dyDescent="0.25">
      <c r="A296" s="330"/>
      <c r="B296" s="330"/>
      <c r="C296" s="330"/>
      <c r="D296" s="330"/>
      <c r="E296" s="330"/>
      <c r="F296" s="330"/>
      <c r="G296" s="330"/>
      <c r="H296" s="330"/>
      <c r="I296" s="330"/>
      <c r="J296" s="330"/>
      <c r="K296" s="330"/>
      <c r="L296" s="330"/>
      <c r="M296" s="330"/>
      <c r="N296" s="330"/>
      <c r="O296" s="330"/>
      <c r="P296" s="330"/>
      <c r="Q296" s="330"/>
      <c r="R296" s="330"/>
      <c r="S296" s="330"/>
      <c r="T296" s="330"/>
      <c r="U296" s="330"/>
      <c r="V296" s="330"/>
      <c r="W296" s="330"/>
      <c r="X296" s="330"/>
      <c r="Y296" s="330"/>
      <c r="Z296" s="330"/>
      <c r="AA296" s="330"/>
      <c r="AB296" s="330"/>
      <c r="AC296" s="330"/>
    </row>
    <row r="297" spans="1:29" x14ac:dyDescent="0.25">
      <c r="A297" s="330"/>
      <c r="B297" s="330"/>
      <c r="C297" s="330"/>
      <c r="D297" s="330"/>
      <c r="E297" s="330"/>
      <c r="F297" s="330"/>
      <c r="G297" s="330"/>
      <c r="H297" s="330"/>
      <c r="I297" s="330"/>
      <c r="J297" s="330"/>
      <c r="K297" s="330"/>
      <c r="L297" s="330"/>
      <c r="M297" s="330"/>
      <c r="N297" s="330"/>
      <c r="O297" s="330"/>
      <c r="P297" s="330"/>
      <c r="Q297" s="330"/>
      <c r="R297" s="330"/>
      <c r="S297" s="330"/>
      <c r="T297" s="330"/>
      <c r="U297" s="330"/>
      <c r="V297" s="330"/>
      <c r="W297" s="330"/>
      <c r="X297" s="330"/>
      <c r="Y297" s="330"/>
      <c r="Z297" s="330"/>
      <c r="AA297" s="330"/>
      <c r="AB297" s="330"/>
      <c r="AC297" s="330"/>
    </row>
    <row r="298" spans="1:29" x14ac:dyDescent="0.25">
      <c r="A298" s="330"/>
      <c r="B298" s="330"/>
      <c r="C298" s="330"/>
      <c r="D298" s="330"/>
      <c r="E298" s="330"/>
      <c r="F298" s="330"/>
      <c r="G298" s="330"/>
      <c r="H298" s="330"/>
      <c r="I298" s="330"/>
      <c r="J298" s="330"/>
      <c r="K298" s="330"/>
      <c r="L298" s="330"/>
      <c r="M298" s="330"/>
      <c r="N298" s="330"/>
      <c r="O298" s="330"/>
      <c r="P298" s="330"/>
      <c r="Q298" s="330"/>
      <c r="R298" s="330"/>
      <c r="S298" s="330"/>
      <c r="T298" s="330"/>
      <c r="U298" s="330"/>
      <c r="V298" s="330"/>
      <c r="W298" s="330"/>
      <c r="X298" s="330"/>
      <c r="Y298" s="330"/>
      <c r="Z298" s="330"/>
      <c r="AA298" s="330"/>
      <c r="AB298" s="330"/>
      <c r="AC298" s="330"/>
    </row>
    <row r="299" spans="1:29" x14ac:dyDescent="0.25">
      <c r="A299" s="330"/>
      <c r="B299" s="330"/>
      <c r="C299" s="330"/>
      <c r="D299" s="330"/>
      <c r="E299" s="330"/>
      <c r="F299" s="330"/>
      <c r="G299" s="330"/>
      <c r="H299" s="330"/>
      <c r="I299" s="330"/>
      <c r="J299" s="330"/>
      <c r="K299" s="330"/>
      <c r="L299" s="330"/>
      <c r="M299" s="330"/>
      <c r="N299" s="330"/>
      <c r="O299" s="330"/>
      <c r="P299" s="330"/>
      <c r="Q299" s="330"/>
      <c r="R299" s="330"/>
      <c r="S299" s="330"/>
      <c r="T299" s="330"/>
      <c r="U299" s="330"/>
      <c r="V299" s="330"/>
      <c r="W299" s="330"/>
      <c r="X299" s="330"/>
      <c r="Y299" s="330"/>
      <c r="Z299" s="330"/>
      <c r="AA299" s="330"/>
      <c r="AB299" s="330"/>
      <c r="AC299" s="330"/>
    </row>
    <row r="300" spans="1:29" x14ac:dyDescent="0.25">
      <c r="A300" s="330"/>
      <c r="B300" s="330"/>
      <c r="C300" s="330"/>
      <c r="D300" s="330"/>
      <c r="E300" s="330"/>
      <c r="F300" s="330"/>
      <c r="G300" s="330"/>
      <c r="H300" s="330"/>
      <c r="I300" s="330"/>
      <c r="J300" s="330"/>
      <c r="K300" s="330"/>
      <c r="L300" s="330"/>
      <c r="M300" s="330"/>
      <c r="N300" s="330"/>
      <c r="O300" s="330"/>
      <c r="P300" s="330"/>
      <c r="Q300" s="330"/>
      <c r="R300" s="330"/>
      <c r="S300" s="330"/>
      <c r="T300" s="330"/>
      <c r="U300" s="330"/>
      <c r="V300" s="330"/>
      <c r="W300" s="330"/>
      <c r="X300" s="330"/>
      <c r="Y300" s="330"/>
      <c r="Z300" s="330"/>
      <c r="AA300" s="330"/>
      <c r="AB300" s="330"/>
      <c r="AC300" s="330"/>
    </row>
    <row r="301" spans="1:29" x14ac:dyDescent="0.25">
      <c r="A301" s="330"/>
      <c r="B301" s="330"/>
      <c r="C301" s="330"/>
      <c r="D301" s="330"/>
      <c r="E301" s="330"/>
      <c r="F301" s="330"/>
      <c r="G301" s="330"/>
      <c r="H301" s="330"/>
      <c r="I301" s="330"/>
      <c r="J301" s="330"/>
      <c r="K301" s="330"/>
      <c r="L301" s="330"/>
      <c r="M301" s="330"/>
      <c r="N301" s="330"/>
      <c r="O301" s="330"/>
      <c r="P301" s="330"/>
      <c r="Q301" s="330"/>
      <c r="R301" s="330"/>
      <c r="S301" s="330"/>
      <c r="T301" s="330"/>
      <c r="U301" s="330"/>
      <c r="V301" s="330"/>
      <c r="W301" s="330"/>
      <c r="X301" s="330"/>
      <c r="Y301" s="330"/>
      <c r="Z301" s="330"/>
      <c r="AA301" s="330"/>
      <c r="AB301" s="330"/>
      <c r="AC301" s="330"/>
    </row>
    <row r="302" spans="1:29" x14ac:dyDescent="0.25">
      <c r="A302" s="330"/>
      <c r="B302" s="330"/>
      <c r="C302" s="330"/>
      <c r="D302" s="330"/>
      <c r="E302" s="330"/>
      <c r="F302" s="330"/>
      <c r="G302" s="330"/>
      <c r="H302" s="330"/>
      <c r="I302" s="330"/>
      <c r="J302" s="330"/>
      <c r="K302" s="330"/>
      <c r="L302" s="330"/>
      <c r="M302" s="330"/>
      <c r="N302" s="330"/>
      <c r="O302" s="330"/>
      <c r="P302" s="330"/>
      <c r="Q302" s="330"/>
      <c r="R302" s="330"/>
      <c r="S302" s="330"/>
      <c r="T302" s="330"/>
      <c r="U302" s="330"/>
      <c r="V302" s="330"/>
      <c r="W302" s="330"/>
      <c r="X302" s="330"/>
      <c r="Y302" s="330"/>
      <c r="Z302" s="330"/>
      <c r="AA302" s="330"/>
      <c r="AB302" s="330"/>
      <c r="AC302" s="330"/>
    </row>
    <row r="303" spans="1:29" x14ac:dyDescent="0.25">
      <c r="A303" s="330"/>
      <c r="B303" s="330"/>
      <c r="C303" s="330"/>
      <c r="D303" s="330"/>
      <c r="E303" s="330"/>
      <c r="F303" s="330"/>
      <c r="G303" s="330"/>
      <c r="H303" s="330"/>
      <c r="I303" s="330"/>
      <c r="J303" s="330"/>
      <c r="K303" s="330"/>
      <c r="L303" s="330"/>
      <c r="M303" s="330"/>
      <c r="N303" s="330"/>
      <c r="O303" s="330"/>
      <c r="P303" s="330"/>
      <c r="Q303" s="330"/>
      <c r="R303" s="330"/>
      <c r="S303" s="330"/>
      <c r="T303" s="330"/>
      <c r="U303" s="330"/>
      <c r="V303" s="330"/>
      <c r="W303" s="330"/>
      <c r="X303" s="330"/>
      <c r="Y303" s="330"/>
      <c r="Z303" s="330"/>
      <c r="AA303" s="330"/>
      <c r="AB303" s="330"/>
      <c r="AC303" s="330"/>
    </row>
    <row r="304" spans="1:29" x14ac:dyDescent="0.25">
      <c r="A304" s="330"/>
      <c r="B304" s="330"/>
      <c r="C304" s="330"/>
      <c r="D304" s="330"/>
      <c r="E304" s="330"/>
      <c r="F304" s="330"/>
      <c r="G304" s="330"/>
      <c r="H304" s="330"/>
      <c r="I304" s="330"/>
      <c r="J304" s="330"/>
      <c r="K304" s="330"/>
      <c r="L304" s="330"/>
      <c r="M304" s="330"/>
      <c r="N304" s="330"/>
      <c r="O304" s="330"/>
      <c r="P304" s="330"/>
      <c r="Q304" s="330"/>
      <c r="R304" s="330"/>
      <c r="S304" s="330"/>
      <c r="T304" s="330"/>
      <c r="U304" s="330"/>
      <c r="V304" s="330"/>
      <c r="W304" s="330"/>
      <c r="X304" s="330"/>
      <c r="Y304" s="330"/>
      <c r="Z304" s="330"/>
      <c r="AA304" s="330"/>
      <c r="AB304" s="330"/>
      <c r="AC304" s="330"/>
    </row>
    <row r="305" spans="1:29" x14ac:dyDescent="0.25">
      <c r="A305" s="330"/>
      <c r="B305" s="330"/>
      <c r="C305" s="330"/>
      <c r="D305" s="330"/>
      <c r="E305" s="330"/>
      <c r="F305" s="330"/>
      <c r="G305" s="330"/>
      <c r="H305" s="330"/>
      <c r="I305" s="330"/>
      <c r="J305" s="330"/>
      <c r="K305" s="330"/>
      <c r="L305" s="330"/>
      <c r="M305" s="330"/>
      <c r="N305" s="330"/>
      <c r="O305" s="330"/>
      <c r="P305" s="330"/>
      <c r="Q305" s="330"/>
      <c r="R305" s="330"/>
      <c r="S305" s="330"/>
      <c r="T305" s="330"/>
      <c r="U305" s="330"/>
      <c r="V305" s="330"/>
      <c r="W305" s="330"/>
      <c r="X305" s="330"/>
      <c r="Y305" s="330"/>
      <c r="Z305" s="330"/>
      <c r="AA305" s="330"/>
      <c r="AB305" s="330"/>
      <c r="AC305" s="330"/>
    </row>
    <row r="306" spans="1:29" x14ac:dyDescent="0.25">
      <c r="A306" s="330"/>
      <c r="B306" s="330"/>
      <c r="C306" s="330"/>
      <c r="D306" s="330"/>
      <c r="E306" s="330"/>
      <c r="F306" s="330"/>
      <c r="G306" s="330"/>
      <c r="H306" s="330"/>
      <c r="I306" s="330"/>
      <c r="J306" s="330"/>
      <c r="K306" s="330"/>
      <c r="L306" s="330"/>
      <c r="M306" s="330"/>
      <c r="N306" s="330"/>
      <c r="O306" s="330"/>
      <c r="P306" s="330"/>
      <c r="Q306" s="330"/>
      <c r="R306" s="330"/>
      <c r="S306" s="330"/>
      <c r="T306" s="330"/>
      <c r="U306" s="330"/>
      <c r="V306" s="330"/>
      <c r="W306" s="330"/>
      <c r="X306" s="330"/>
      <c r="Y306" s="330"/>
      <c r="Z306" s="330"/>
      <c r="AA306" s="330"/>
      <c r="AB306" s="330"/>
      <c r="AC306" s="330"/>
    </row>
    <row r="307" spans="1:29" x14ac:dyDescent="0.25">
      <c r="A307" s="330"/>
      <c r="B307" s="330"/>
      <c r="C307" s="330"/>
      <c r="D307" s="330"/>
      <c r="E307" s="330"/>
      <c r="F307" s="330"/>
      <c r="G307" s="330"/>
      <c r="H307" s="330"/>
      <c r="I307" s="330"/>
      <c r="J307" s="330"/>
      <c r="K307" s="330"/>
      <c r="L307" s="330"/>
      <c r="M307" s="330"/>
      <c r="N307" s="330"/>
      <c r="O307" s="330"/>
      <c r="P307" s="330"/>
      <c r="Q307" s="330"/>
      <c r="R307" s="330"/>
      <c r="S307" s="330"/>
      <c r="T307" s="330"/>
      <c r="U307" s="330"/>
      <c r="V307" s="330"/>
      <c r="W307" s="330"/>
      <c r="X307" s="330"/>
      <c r="Y307" s="330"/>
      <c r="Z307" s="330"/>
      <c r="AA307" s="330"/>
      <c r="AB307" s="330"/>
      <c r="AC307" s="330"/>
    </row>
    <row r="308" spans="1:29" x14ac:dyDescent="0.25">
      <c r="A308" s="330"/>
      <c r="B308" s="330"/>
      <c r="C308" s="330"/>
      <c r="D308" s="330"/>
      <c r="E308" s="330"/>
      <c r="F308" s="330"/>
      <c r="G308" s="330"/>
      <c r="H308" s="330"/>
      <c r="I308" s="330"/>
      <c r="J308" s="330"/>
      <c r="K308" s="330"/>
      <c r="L308" s="330"/>
      <c r="M308" s="330"/>
      <c r="N308" s="330"/>
      <c r="O308" s="330"/>
      <c r="P308" s="330"/>
      <c r="Q308" s="330"/>
      <c r="R308" s="330"/>
      <c r="S308" s="330"/>
      <c r="T308" s="330"/>
      <c r="U308" s="330"/>
      <c r="V308" s="330"/>
      <c r="W308" s="330"/>
      <c r="X308" s="330"/>
      <c r="Y308" s="330"/>
      <c r="Z308" s="330"/>
      <c r="AA308" s="330"/>
      <c r="AB308" s="330"/>
      <c r="AC308" s="330"/>
    </row>
    <row r="309" spans="1:29" x14ac:dyDescent="0.25">
      <c r="A309" s="330"/>
      <c r="B309" s="330"/>
      <c r="C309" s="330"/>
      <c r="D309" s="330"/>
      <c r="E309" s="330"/>
      <c r="F309" s="330"/>
      <c r="G309" s="330"/>
      <c r="H309" s="330"/>
      <c r="I309" s="330"/>
      <c r="J309" s="330"/>
      <c r="K309" s="330"/>
      <c r="L309" s="330"/>
      <c r="M309" s="330"/>
      <c r="N309" s="330"/>
      <c r="O309" s="330"/>
      <c r="P309" s="330"/>
      <c r="Q309" s="330"/>
      <c r="R309" s="330"/>
      <c r="S309" s="330"/>
      <c r="T309" s="330"/>
      <c r="U309" s="330"/>
      <c r="V309" s="330"/>
      <c r="W309" s="330"/>
      <c r="X309" s="330"/>
      <c r="Y309" s="330"/>
      <c r="Z309" s="330"/>
      <c r="AA309" s="330"/>
      <c r="AB309" s="330"/>
      <c r="AC309" s="330"/>
    </row>
    <row r="310" spans="1:29" x14ac:dyDescent="0.25">
      <c r="A310" s="330"/>
      <c r="B310" s="330"/>
      <c r="C310" s="330"/>
      <c r="D310" s="330"/>
      <c r="E310" s="330"/>
      <c r="F310" s="330"/>
      <c r="G310" s="330"/>
      <c r="H310" s="330"/>
      <c r="I310" s="330"/>
      <c r="J310" s="330"/>
      <c r="K310" s="330"/>
      <c r="L310" s="330"/>
      <c r="M310" s="330"/>
      <c r="N310" s="330"/>
      <c r="O310" s="330"/>
      <c r="P310" s="330"/>
      <c r="Q310" s="330"/>
      <c r="R310" s="330"/>
      <c r="S310" s="330"/>
      <c r="T310" s="330"/>
      <c r="U310" s="330"/>
      <c r="V310" s="330"/>
      <c r="W310" s="330"/>
      <c r="X310" s="330"/>
      <c r="Y310" s="330"/>
      <c r="Z310" s="330"/>
      <c r="AA310" s="330"/>
      <c r="AB310" s="330"/>
      <c r="AC310" s="330"/>
    </row>
    <row r="311" spans="1:29" x14ac:dyDescent="0.25">
      <c r="A311" s="330"/>
      <c r="B311" s="330"/>
      <c r="C311" s="330"/>
      <c r="D311" s="330"/>
      <c r="E311" s="330"/>
      <c r="F311" s="330"/>
      <c r="G311" s="330"/>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row>
    <row r="312" spans="1:29" x14ac:dyDescent="0.25">
      <c r="A312" s="330"/>
      <c r="B312" s="330"/>
      <c r="C312" s="330"/>
      <c r="D312" s="330"/>
      <c r="E312" s="330"/>
      <c r="F312" s="330"/>
      <c r="G312" s="330"/>
      <c r="H312" s="330"/>
      <c r="I312" s="330"/>
      <c r="J312" s="330"/>
      <c r="K312" s="330"/>
      <c r="L312" s="330"/>
      <c r="M312" s="330"/>
      <c r="N312" s="330"/>
      <c r="O312" s="330"/>
      <c r="P312" s="330"/>
      <c r="Q312" s="330"/>
      <c r="R312" s="330"/>
      <c r="S312" s="330"/>
      <c r="T312" s="330"/>
      <c r="U312" s="330"/>
      <c r="V312" s="330"/>
      <c r="W312" s="330"/>
      <c r="X312" s="330"/>
      <c r="Y312" s="330"/>
      <c r="Z312" s="330"/>
      <c r="AA312" s="330"/>
      <c r="AB312" s="330"/>
      <c r="AC312" s="330"/>
    </row>
    <row r="313" spans="1:29" x14ac:dyDescent="0.25">
      <c r="A313" s="330"/>
      <c r="B313" s="330"/>
      <c r="C313" s="330"/>
      <c r="D313" s="330"/>
      <c r="E313" s="330"/>
      <c r="F313" s="330"/>
      <c r="G313" s="330"/>
      <c r="H313" s="330"/>
      <c r="I313" s="330"/>
      <c r="J313" s="330"/>
      <c r="K313" s="330"/>
      <c r="L313" s="330"/>
      <c r="M313" s="330"/>
      <c r="N313" s="330"/>
      <c r="O313" s="330"/>
      <c r="P313" s="330"/>
      <c r="Q313" s="330"/>
      <c r="R313" s="330"/>
      <c r="S313" s="330"/>
      <c r="T313" s="330"/>
      <c r="U313" s="330"/>
      <c r="V313" s="330"/>
      <c r="W313" s="330"/>
      <c r="X313" s="330"/>
      <c r="Y313" s="330"/>
      <c r="Z313" s="330"/>
      <c r="AA313" s="330"/>
      <c r="AB313" s="330"/>
      <c r="AC313" s="330"/>
    </row>
    <row r="314" spans="1:29" x14ac:dyDescent="0.25">
      <c r="A314" s="330"/>
      <c r="B314" s="330"/>
      <c r="C314" s="330"/>
      <c r="D314" s="330"/>
      <c r="E314" s="330"/>
      <c r="F314" s="330"/>
      <c r="G314" s="330"/>
      <c r="H314" s="330"/>
      <c r="I314" s="330"/>
      <c r="J314" s="330"/>
      <c r="K314" s="330"/>
      <c r="L314" s="330"/>
      <c r="M314" s="330"/>
      <c r="N314" s="330"/>
      <c r="O314" s="330"/>
      <c r="P314" s="330"/>
      <c r="Q314" s="330"/>
      <c r="R314" s="330"/>
      <c r="S314" s="330"/>
      <c r="T314" s="330"/>
      <c r="U314" s="330"/>
      <c r="V314" s="330"/>
      <c r="W314" s="330"/>
      <c r="X314" s="330"/>
      <c r="Y314" s="330"/>
      <c r="Z314" s="330"/>
      <c r="AA314" s="330"/>
      <c r="AB314" s="330"/>
      <c r="AC314" s="330"/>
    </row>
    <row r="315" spans="1:29" x14ac:dyDescent="0.25">
      <c r="A315" s="330"/>
      <c r="B315" s="330"/>
      <c r="C315" s="330"/>
      <c r="D315" s="330"/>
      <c r="E315" s="330"/>
      <c r="F315" s="330"/>
      <c r="G315" s="330"/>
      <c r="H315" s="330"/>
      <c r="I315" s="330"/>
      <c r="J315" s="330"/>
      <c r="K315" s="330"/>
      <c r="L315" s="330"/>
      <c r="M315" s="330"/>
      <c r="N315" s="330"/>
      <c r="O315" s="330"/>
      <c r="P315" s="330"/>
      <c r="Q315" s="330"/>
      <c r="R315" s="330"/>
      <c r="S315" s="330"/>
      <c r="T315" s="330"/>
      <c r="U315" s="330"/>
      <c r="V315" s="330"/>
      <c r="W315" s="330"/>
      <c r="X315" s="330"/>
      <c r="Y315" s="330"/>
      <c r="Z315" s="330"/>
      <c r="AA315" s="330"/>
      <c r="AB315" s="330"/>
      <c r="AC315" s="330"/>
    </row>
    <row r="316" spans="1:29" x14ac:dyDescent="0.25">
      <c r="A316" s="330"/>
      <c r="B316" s="330"/>
      <c r="C316" s="330"/>
      <c r="D316" s="330"/>
      <c r="E316" s="330"/>
      <c r="F316" s="330"/>
      <c r="G316" s="330"/>
      <c r="H316" s="330"/>
      <c r="I316" s="330"/>
      <c r="J316" s="330"/>
      <c r="K316" s="330"/>
      <c r="L316" s="330"/>
      <c r="M316" s="330"/>
      <c r="N316" s="330"/>
      <c r="O316" s="330"/>
      <c r="P316" s="330"/>
      <c r="Q316" s="330"/>
      <c r="R316" s="330"/>
      <c r="S316" s="330"/>
      <c r="T316" s="330"/>
      <c r="U316" s="330"/>
      <c r="V316" s="330"/>
      <c r="W316" s="330"/>
      <c r="X316" s="330"/>
      <c r="Y316" s="330"/>
      <c r="Z316" s="330"/>
      <c r="AA316" s="330"/>
      <c r="AB316" s="330"/>
      <c r="AC316" s="330"/>
    </row>
    <row r="317" spans="1:29" x14ac:dyDescent="0.25">
      <c r="A317" s="330"/>
      <c r="B317" s="330"/>
      <c r="C317" s="330"/>
      <c r="D317" s="330"/>
      <c r="E317" s="330"/>
      <c r="F317" s="330"/>
      <c r="G317" s="330"/>
      <c r="H317" s="330"/>
      <c r="I317" s="330"/>
      <c r="J317" s="330"/>
      <c r="K317" s="330"/>
      <c r="L317" s="330"/>
      <c r="M317" s="330"/>
      <c r="N317" s="330"/>
      <c r="O317" s="330"/>
      <c r="P317" s="330"/>
      <c r="Q317" s="330"/>
      <c r="R317" s="330"/>
      <c r="S317" s="330"/>
      <c r="T317" s="330"/>
      <c r="U317" s="330"/>
      <c r="V317" s="330"/>
      <c r="W317" s="330"/>
      <c r="X317" s="330"/>
      <c r="Y317" s="330"/>
      <c r="Z317" s="330"/>
      <c r="AA317" s="330"/>
      <c r="AB317" s="330"/>
      <c r="AC317" s="330"/>
    </row>
    <row r="318" spans="1:29" x14ac:dyDescent="0.25">
      <c r="A318" s="330"/>
      <c r="B318" s="330"/>
      <c r="C318" s="330"/>
      <c r="D318" s="330"/>
      <c r="E318" s="330"/>
      <c r="F318" s="330"/>
      <c r="G318" s="330"/>
      <c r="H318" s="330"/>
      <c r="I318" s="330"/>
      <c r="J318" s="330"/>
      <c r="K318" s="330"/>
      <c r="L318" s="330"/>
      <c r="M318" s="330"/>
      <c r="N318" s="330"/>
      <c r="O318" s="330"/>
      <c r="P318" s="330"/>
      <c r="Q318" s="330"/>
      <c r="R318" s="330"/>
      <c r="S318" s="330"/>
      <c r="T318" s="330"/>
      <c r="U318" s="330"/>
      <c r="V318" s="330"/>
      <c r="W318" s="330"/>
      <c r="X318" s="330"/>
      <c r="Y318" s="330"/>
      <c r="Z318" s="330"/>
      <c r="AA318" s="330"/>
      <c r="AB318" s="330"/>
      <c r="AC318" s="330"/>
    </row>
    <row r="319" spans="1:29" x14ac:dyDescent="0.25">
      <c r="A319" s="330"/>
      <c r="B319" s="330"/>
      <c r="C319" s="330"/>
      <c r="D319" s="330"/>
      <c r="E319" s="330"/>
      <c r="F319" s="330"/>
      <c r="G319" s="330"/>
      <c r="H319" s="330"/>
      <c r="I319" s="330"/>
      <c r="J319" s="330"/>
      <c r="K319" s="330"/>
      <c r="L319" s="330"/>
      <c r="M319" s="330"/>
      <c r="N319" s="330"/>
      <c r="O319" s="330"/>
      <c r="P319" s="330"/>
      <c r="Q319" s="330"/>
      <c r="R319" s="330"/>
      <c r="S319" s="330"/>
      <c r="T319" s="330"/>
      <c r="U319" s="330"/>
      <c r="V319" s="330"/>
      <c r="W319" s="330"/>
      <c r="X319" s="330"/>
      <c r="Y319" s="330"/>
      <c r="Z319" s="330"/>
      <c r="AA319" s="330"/>
      <c r="AB319" s="330"/>
      <c r="AC319" s="330"/>
    </row>
    <row r="320" spans="1:29" x14ac:dyDescent="0.25">
      <c r="A320" s="330"/>
      <c r="B320" s="330"/>
      <c r="C320" s="330"/>
      <c r="D320" s="330"/>
      <c r="E320" s="330"/>
      <c r="F320" s="330"/>
      <c r="G320" s="330"/>
      <c r="H320" s="330"/>
      <c r="I320" s="330"/>
      <c r="J320" s="330"/>
      <c r="K320" s="330"/>
      <c r="L320" s="330"/>
      <c r="M320" s="330"/>
      <c r="N320" s="330"/>
      <c r="O320" s="330"/>
      <c r="P320" s="330"/>
      <c r="Q320" s="330"/>
      <c r="R320" s="330"/>
      <c r="S320" s="330"/>
      <c r="T320" s="330"/>
      <c r="U320" s="330"/>
      <c r="V320" s="330"/>
      <c r="W320" s="330"/>
      <c r="X320" s="330"/>
      <c r="Y320" s="330"/>
      <c r="Z320" s="330"/>
      <c r="AA320" s="330"/>
      <c r="AB320" s="330"/>
      <c r="AC320" s="330"/>
    </row>
    <row r="321" spans="1:29" x14ac:dyDescent="0.25">
      <c r="A321" s="330"/>
      <c r="B321" s="330"/>
      <c r="C321" s="330"/>
      <c r="D321" s="330"/>
      <c r="E321" s="330"/>
      <c r="F321" s="330"/>
      <c r="G321" s="330"/>
      <c r="H321" s="330"/>
      <c r="I321" s="330"/>
      <c r="J321" s="330"/>
      <c r="K321" s="330"/>
      <c r="L321" s="330"/>
      <c r="M321" s="330"/>
      <c r="N321" s="330"/>
      <c r="O321" s="330"/>
      <c r="P321" s="330"/>
      <c r="Q321" s="330"/>
      <c r="R321" s="330"/>
      <c r="S321" s="330"/>
      <c r="T321" s="330"/>
      <c r="U321" s="330"/>
      <c r="V321" s="330"/>
      <c r="W321" s="330"/>
      <c r="X321" s="330"/>
      <c r="Y321" s="330"/>
      <c r="Z321" s="330"/>
      <c r="AA321" s="330"/>
      <c r="AB321" s="330"/>
      <c r="AC321" s="330"/>
    </row>
    <row r="322" spans="1:29" x14ac:dyDescent="0.25">
      <c r="A322" s="330"/>
      <c r="B322" s="330"/>
      <c r="C322" s="330"/>
      <c r="D322" s="330"/>
      <c r="E322" s="330"/>
      <c r="F322" s="330"/>
      <c r="G322" s="330"/>
      <c r="H322" s="330"/>
      <c r="I322" s="330"/>
      <c r="J322" s="330"/>
      <c r="K322" s="330"/>
      <c r="L322" s="330"/>
      <c r="M322" s="330"/>
      <c r="N322" s="330"/>
      <c r="O322" s="330"/>
      <c r="P322" s="330"/>
      <c r="Q322" s="330"/>
      <c r="R322" s="330"/>
      <c r="S322" s="330"/>
      <c r="T322" s="330"/>
      <c r="U322" s="330"/>
      <c r="V322" s="330"/>
      <c r="W322" s="330"/>
      <c r="X322" s="330"/>
      <c r="Y322" s="330"/>
      <c r="Z322" s="330"/>
      <c r="AA322" s="330"/>
      <c r="AB322" s="330"/>
      <c r="AC322" s="330"/>
    </row>
    <row r="323" spans="1:29" x14ac:dyDescent="0.25">
      <c r="A323" s="330"/>
      <c r="B323" s="330"/>
      <c r="C323" s="330"/>
      <c r="D323" s="330"/>
      <c r="E323" s="330"/>
      <c r="F323" s="330"/>
      <c r="G323" s="330"/>
      <c r="H323" s="330"/>
      <c r="I323" s="330"/>
      <c r="J323" s="330"/>
      <c r="K323" s="330"/>
      <c r="L323" s="330"/>
      <c r="M323" s="330"/>
      <c r="N323" s="330"/>
      <c r="O323" s="330"/>
      <c r="P323" s="330"/>
      <c r="Q323" s="330"/>
      <c r="R323" s="330"/>
      <c r="S323" s="330"/>
      <c r="T323" s="330"/>
      <c r="U323" s="330"/>
      <c r="V323" s="330"/>
      <c r="W323" s="330"/>
      <c r="X323" s="330"/>
      <c r="Y323" s="330"/>
      <c r="Z323" s="330"/>
      <c r="AA323" s="330"/>
      <c r="AB323" s="330"/>
      <c r="AC323" s="330"/>
    </row>
    <row r="324" spans="1:29" x14ac:dyDescent="0.25">
      <c r="A324" s="330"/>
      <c r="B324" s="330"/>
      <c r="C324" s="330"/>
      <c r="D324" s="330"/>
      <c r="E324" s="330"/>
      <c r="F324" s="330"/>
      <c r="G324" s="330"/>
      <c r="H324" s="330"/>
      <c r="I324" s="330"/>
      <c r="J324" s="330"/>
      <c r="K324" s="330"/>
      <c r="L324" s="330"/>
      <c r="M324" s="330"/>
      <c r="N324" s="330"/>
      <c r="O324" s="330"/>
      <c r="P324" s="330"/>
      <c r="Q324" s="330"/>
      <c r="R324" s="330"/>
      <c r="S324" s="330"/>
      <c r="T324" s="330"/>
      <c r="U324" s="330"/>
      <c r="V324" s="330"/>
      <c r="W324" s="330"/>
      <c r="X324" s="330"/>
      <c r="Y324" s="330"/>
      <c r="Z324" s="330"/>
      <c r="AA324" s="330"/>
      <c r="AB324" s="330"/>
      <c r="AC324" s="330"/>
    </row>
    <row r="325" spans="1:29" x14ac:dyDescent="0.25">
      <c r="A325" s="330"/>
      <c r="B325" s="330"/>
      <c r="C325" s="330"/>
      <c r="D325" s="330"/>
      <c r="E325" s="330"/>
      <c r="F325" s="330"/>
      <c r="G325" s="330"/>
      <c r="H325" s="330"/>
      <c r="I325" s="330"/>
      <c r="J325" s="330"/>
      <c r="K325" s="330"/>
      <c r="L325" s="330"/>
      <c r="M325" s="330"/>
      <c r="N325" s="330"/>
      <c r="O325" s="330"/>
      <c r="P325" s="330"/>
      <c r="Q325" s="330"/>
      <c r="R325" s="330"/>
      <c r="S325" s="330"/>
      <c r="T325" s="330"/>
      <c r="U325" s="330"/>
      <c r="V325" s="330"/>
      <c r="W325" s="330"/>
      <c r="X325" s="330"/>
      <c r="Y325" s="330"/>
      <c r="Z325" s="330"/>
      <c r="AA325" s="330"/>
      <c r="AB325" s="330"/>
      <c r="AC325" s="330"/>
    </row>
    <row r="326" spans="1:29" x14ac:dyDescent="0.25">
      <c r="A326" s="330"/>
      <c r="B326" s="330"/>
      <c r="C326" s="330"/>
      <c r="D326" s="330"/>
      <c r="E326" s="330"/>
      <c r="F326" s="330"/>
      <c r="G326" s="330"/>
      <c r="H326" s="330"/>
      <c r="I326" s="330"/>
      <c r="J326" s="330"/>
      <c r="K326" s="330"/>
      <c r="L326" s="330"/>
      <c r="M326" s="330"/>
      <c r="N326" s="330"/>
      <c r="O326" s="330"/>
      <c r="P326" s="330"/>
      <c r="Q326" s="330"/>
      <c r="R326" s="330"/>
      <c r="S326" s="330"/>
      <c r="T326" s="330"/>
      <c r="U326" s="330"/>
      <c r="V326" s="330"/>
      <c r="W326" s="330"/>
      <c r="X326" s="330"/>
      <c r="Y326" s="330"/>
      <c r="Z326" s="330"/>
      <c r="AA326" s="330"/>
      <c r="AB326" s="330"/>
      <c r="AC326" s="330"/>
    </row>
    <row r="327" spans="1:29" x14ac:dyDescent="0.25">
      <c r="A327" s="330"/>
      <c r="B327" s="330"/>
      <c r="C327" s="330"/>
      <c r="D327" s="330"/>
      <c r="E327" s="330"/>
      <c r="F327" s="330"/>
      <c r="G327" s="330"/>
      <c r="H327" s="330"/>
      <c r="I327" s="330"/>
      <c r="J327" s="330"/>
      <c r="K327" s="330"/>
      <c r="L327" s="330"/>
      <c r="M327" s="330"/>
      <c r="N327" s="330"/>
      <c r="O327" s="330"/>
      <c r="P327" s="330"/>
      <c r="Q327" s="330"/>
      <c r="R327" s="330"/>
      <c r="S327" s="330"/>
      <c r="T327" s="330"/>
      <c r="U327" s="330"/>
      <c r="V327" s="330"/>
      <c r="W327" s="330"/>
      <c r="X327" s="330"/>
      <c r="Y327" s="330"/>
      <c r="Z327" s="330"/>
      <c r="AA327" s="330"/>
      <c r="AB327" s="330"/>
      <c r="AC327" s="330"/>
    </row>
    <row r="328" spans="1:29" x14ac:dyDescent="0.25">
      <c r="A328" s="330"/>
      <c r="B328" s="330"/>
      <c r="C328" s="330"/>
      <c r="D328" s="330"/>
      <c r="E328" s="330"/>
      <c r="F328" s="330"/>
      <c r="G328" s="330"/>
      <c r="H328" s="330"/>
      <c r="I328" s="330"/>
      <c r="J328" s="330"/>
      <c r="K328" s="330"/>
      <c r="L328" s="330"/>
      <c r="M328" s="330"/>
      <c r="N328" s="330"/>
      <c r="O328" s="330"/>
      <c r="P328" s="330"/>
      <c r="Q328" s="330"/>
      <c r="R328" s="330"/>
      <c r="S328" s="330"/>
      <c r="T328" s="330"/>
      <c r="U328" s="330"/>
      <c r="V328" s="330"/>
      <c r="W328" s="330"/>
      <c r="X328" s="330"/>
      <c r="Y328" s="330"/>
      <c r="Z328" s="330"/>
      <c r="AA328" s="330"/>
      <c r="AB328" s="330"/>
      <c r="AC328" s="330"/>
    </row>
    <row r="329" spans="1:29" x14ac:dyDescent="0.25">
      <c r="A329" s="330"/>
      <c r="B329" s="330"/>
      <c r="C329" s="330"/>
      <c r="D329" s="330"/>
      <c r="E329" s="330"/>
      <c r="F329" s="330"/>
      <c r="G329" s="330"/>
      <c r="H329" s="330"/>
      <c r="I329" s="330"/>
      <c r="J329" s="330"/>
      <c r="K329" s="330"/>
      <c r="L329" s="330"/>
      <c r="M329" s="330"/>
      <c r="N329" s="330"/>
      <c r="O329" s="330"/>
      <c r="P329" s="330"/>
      <c r="Q329" s="330"/>
      <c r="R329" s="330"/>
      <c r="S329" s="330"/>
      <c r="T329" s="330"/>
      <c r="U329" s="330"/>
      <c r="V329" s="330"/>
      <c r="W329" s="330"/>
      <c r="X329" s="330"/>
      <c r="Y329" s="330"/>
      <c r="Z329" s="330"/>
      <c r="AA329" s="330"/>
      <c r="AB329" s="330"/>
      <c r="AC329" s="330"/>
    </row>
    <row r="330" spans="1:29" x14ac:dyDescent="0.25">
      <c r="A330" s="330"/>
      <c r="B330" s="330"/>
      <c r="C330" s="330"/>
      <c r="D330" s="330"/>
      <c r="E330" s="330"/>
      <c r="F330" s="330"/>
      <c r="G330" s="330"/>
      <c r="H330" s="330"/>
      <c r="I330" s="330"/>
      <c r="J330" s="330"/>
      <c r="K330" s="330"/>
      <c r="L330" s="330"/>
      <c r="M330" s="330"/>
      <c r="N330" s="330"/>
      <c r="O330" s="330"/>
      <c r="P330" s="330"/>
      <c r="Q330" s="330"/>
      <c r="R330" s="330"/>
      <c r="S330" s="330"/>
      <c r="T330" s="330"/>
      <c r="U330" s="330"/>
      <c r="V330" s="330"/>
      <c r="W330" s="330"/>
      <c r="X330" s="330"/>
      <c r="Y330" s="330"/>
      <c r="Z330" s="330"/>
      <c r="AA330" s="330"/>
      <c r="AB330" s="330"/>
      <c r="AC330" s="330"/>
    </row>
    <row r="331" spans="1:29" x14ac:dyDescent="0.25">
      <c r="A331" s="330"/>
      <c r="B331" s="330"/>
      <c r="C331" s="330"/>
      <c r="D331" s="330"/>
      <c r="E331" s="330"/>
      <c r="F331" s="330"/>
      <c r="G331" s="330"/>
      <c r="H331" s="330"/>
      <c r="I331" s="330"/>
      <c r="J331" s="330"/>
      <c r="K331" s="330"/>
      <c r="L331" s="330"/>
      <c r="M331" s="330"/>
      <c r="N331" s="330"/>
      <c r="O331" s="330"/>
      <c r="P331" s="330"/>
      <c r="Q331" s="330"/>
      <c r="R331" s="330"/>
      <c r="S331" s="330"/>
      <c r="T331" s="330"/>
      <c r="U331" s="330"/>
      <c r="V331" s="330"/>
      <c r="W331" s="330"/>
      <c r="X331" s="330"/>
      <c r="Y331" s="330"/>
      <c r="Z331" s="330"/>
      <c r="AA331" s="330"/>
      <c r="AB331" s="330"/>
      <c r="AC331" s="330"/>
    </row>
    <row r="332" spans="1:29" x14ac:dyDescent="0.25">
      <c r="A332" s="330"/>
      <c r="B332" s="330"/>
      <c r="C332" s="330"/>
      <c r="D332" s="330"/>
      <c r="E332" s="330"/>
      <c r="F332" s="330"/>
      <c r="G332" s="330"/>
      <c r="H332" s="330"/>
      <c r="I332" s="330"/>
      <c r="J332" s="330"/>
      <c r="K332" s="330"/>
      <c r="L332" s="330"/>
      <c r="M332" s="330"/>
      <c r="N332" s="330"/>
      <c r="O332" s="330"/>
      <c r="P332" s="330"/>
      <c r="Q332" s="330"/>
      <c r="R332" s="330"/>
      <c r="S332" s="330"/>
      <c r="T332" s="330"/>
      <c r="U332" s="330"/>
      <c r="V332" s="330"/>
      <c r="W332" s="330"/>
      <c r="X332" s="330"/>
      <c r="Y332" s="330"/>
      <c r="Z332" s="330"/>
      <c r="AA332" s="330"/>
      <c r="AB332" s="330"/>
      <c r="AC332" s="330"/>
    </row>
    <row r="333" spans="1:29" x14ac:dyDescent="0.25">
      <c r="A333" s="330"/>
      <c r="B333" s="330"/>
      <c r="C333" s="330"/>
      <c r="D333" s="330"/>
      <c r="E333" s="330"/>
      <c r="F333" s="330"/>
      <c r="G333" s="330"/>
      <c r="H333" s="330"/>
      <c r="I333" s="330"/>
      <c r="J333" s="330"/>
      <c r="K333" s="330"/>
      <c r="L333" s="330"/>
      <c r="M333" s="330"/>
      <c r="N333" s="330"/>
      <c r="O333" s="330"/>
      <c r="P333" s="330"/>
      <c r="Q333" s="330"/>
      <c r="R333" s="330"/>
      <c r="S333" s="330"/>
      <c r="T333" s="330"/>
      <c r="U333" s="330"/>
      <c r="V333" s="330"/>
      <c r="W333" s="330"/>
      <c r="X333" s="330"/>
      <c r="Y333" s="330"/>
      <c r="Z333" s="330"/>
      <c r="AA333" s="330"/>
      <c r="AB333" s="330"/>
      <c r="AC333" s="330"/>
    </row>
    <row r="334" spans="1:29" x14ac:dyDescent="0.25">
      <c r="A334" s="330"/>
      <c r="B334" s="330"/>
      <c r="C334" s="330"/>
      <c r="D334" s="330"/>
      <c r="E334" s="330"/>
      <c r="F334" s="330"/>
      <c r="G334" s="330"/>
      <c r="H334" s="330"/>
      <c r="I334" s="330"/>
      <c r="J334" s="330"/>
      <c r="K334" s="330"/>
      <c r="L334" s="330"/>
      <c r="M334" s="330"/>
      <c r="N334" s="330"/>
      <c r="O334" s="330"/>
      <c r="P334" s="330"/>
      <c r="Q334" s="330"/>
      <c r="R334" s="330"/>
      <c r="S334" s="330"/>
      <c r="T334" s="330"/>
      <c r="U334" s="330"/>
      <c r="V334" s="330"/>
      <c r="W334" s="330"/>
      <c r="X334" s="330"/>
      <c r="Y334" s="330"/>
      <c r="Z334" s="330"/>
      <c r="AA334" s="330"/>
      <c r="AB334" s="330"/>
      <c r="AC334" s="330"/>
    </row>
    <row r="335" spans="1:29" x14ac:dyDescent="0.25">
      <c r="A335" s="330"/>
      <c r="B335" s="330"/>
      <c r="C335" s="330"/>
      <c r="D335" s="330"/>
      <c r="E335" s="330"/>
      <c r="F335" s="330"/>
      <c r="G335" s="330"/>
      <c r="H335" s="330"/>
      <c r="I335" s="330"/>
      <c r="J335" s="330"/>
      <c r="K335" s="330"/>
      <c r="L335" s="330"/>
      <c r="M335" s="330"/>
      <c r="N335" s="330"/>
      <c r="O335" s="330"/>
      <c r="P335" s="330"/>
      <c r="Q335" s="330"/>
      <c r="R335" s="330"/>
      <c r="S335" s="330"/>
      <c r="T335" s="330"/>
      <c r="U335" s="330"/>
      <c r="V335" s="330"/>
      <c r="W335" s="330"/>
      <c r="X335" s="330"/>
      <c r="Y335" s="330"/>
      <c r="Z335" s="330"/>
      <c r="AA335" s="330"/>
      <c r="AB335" s="330"/>
      <c r="AC335" s="330"/>
    </row>
    <row r="336" spans="1:29" x14ac:dyDescent="0.25">
      <c r="A336" s="330"/>
      <c r="B336" s="330"/>
      <c r="C336" s="330"/>
      <c r="D336" s="330"/>
      <c r="E336" s="330"/>
      <c r="F336" s="330"/>
      <c r="G336" s="330"/>
      <c r="H336" s="330"/>
      <c r="I336" s="330"/>
      <c r="J336" s="330"/>
      <c r="K336" s="330"/>
      <c r="L336" s="330"/>
      <c r="M336" s="330"/>
      <c r="N336" s="330"/>
      <c r="O336" s="330"/>
      <c r="P336" s="330"/>
      <c r="Q336" s="330"/>
      <c r="R336" s="330"/>
      <c r="S336" s="330"/>
      <c r="T336" s="330"/>
      <c r="U336" s="330"/>
      <c r="V336" s="330"/>
      <c r="W336" s="330"/>
      <c r="X336" s="330"/>
      <c r="Y336" s="330"/>
      <c r="Z336" s="330"/>
      <c r="AA336" s="330"/>
      <c r="AB336" s="330"/>
      <c r="AC336" s="330"/>
    </row>
    <row r="337" spans="1:29" x14ac:dyDescent="0.25">
      <c r="A337" s="330"/>
      <c r="B337" s="330"/>
      <c r="C337" s="330"/>
      <c r="D337" s="330"/>
      <c r="E337" s="330"/>
      <c r="F337" s="330"/>
      <c r="G337" s="330"/>
      <c r="H337" s="330"/>
      <c r="I337" s="330"/>
      <c r="J337" s="330"/>
      <c r="K337" s="330"/>
      <c r="L337" s="330"/>
      <c r="M337" s="330"/>
      <c r="N337" s="330"/>
      <c r="O337" s="330"/>
      <c r="P337" s="330"/>
      <c r="Q337" s="330"/>
      <c r="R337" s="330"/>
      <c r="S337" s="330"/>
      <c r="T337" s="330"/>
      <c r="U337" s="330"/>
      <c r="V337" s="330"/>
      <c r="W337" s="330"/>
      <c r="X337" s="330"/>
      <c r="Y337" s="330"/>
      <c r="Z337" s="330"/>
      <c r="AA337" s="330"/>
      <c r="AB337" s="330"/>
      <c r="AC337" s="330"/>
    </row>
    <row r="338" spans="1:29" x14ac:dyDescent="0.25">
      <c r="A338" s="330"/>
      <c r="B338" s="330"/>
      <c r="C338" s="330"/>
      <c r="D338" s="330"/>
      <c r="E338" s="330"/>
      <c r="F338" s="330"/>
      <c r="G338" s="330"/>
      <c r="H338" s="330"/>
      <c r="I338" s="330"/>
      <c r="J338" s="330"/>
      <c r="K338" s="330"/>
      <c r="L338" s="330"/>
      <c r="M338" s="330"/>
      <c r="N338" s="330"/>
      <c r="O338" s="330"/>
      <c r="P338" s="330"/>
      <c r="Q338" s="330"/>
      <c r="R338" s="330"/>
      <c r="S338" s="330"/>
      <c r="T338" s="330"/>
      <c r="U338" s="330"/>
      <c r="V338" s="330"/>
      <c r="W338" s="330"/>
      <c r="X338" s="330"/>
      <c r="Y338" s="330"/>
      <c r="Z338" s="330"/>
      <c r="AA338" s="330"/>
      <c r="AB338" s="330"/>
      <c r="AC338" s="330"/>
    </row>
    <row r="339" spans="1:29" x14ac:dyDescent="0.25">
      <c r="A339" s="330"/>
      <c r="B339" s="330"/>
      <c r="C339" s="330"/>
      <c r="D339" s="330"/>
      <c r="E339" s="330"/>
      <c r="F339" s="330"/>
      <c r="G339" s="330"/>
      <c r="H339" s="330"/>
      <c r="I339" s="330"/>
      <c r="J339" s="330"/>
      <c r="K339" s="330"/>
      <c r="L339" s="330"/>
      <c r="M339" s="330"/>
      <c r="N339" s="330"/>
      <c r="O339" s="330"/>
      <c r="P339" s="330"/>
      <c r="Q339" s="330"/>
      <c r="R339" s="330"/>
      <c r="S339" s="330"/>
      <c r="T339" s="330"/>
      <c r="U339" s="330"/>
      <c r="V339" s="330"/>
      <c r="W339" s="330"/>
      <c r="X339" s="330"/>
      <c r="Y339" s="330"/>
      <c r="Z339" s="330"/>
      <c r="AA339" s="330"/>
      <c r="AB339" s="330"/>
      <c r="AC339" s="330"/>
    </row>
    <row r="340" spans="1:29" x14ac:dyDescent="0.25">
      <c r="A340" s="330"/>
      <c r="B340" s="330"/>
      <c r="C340" s="330"/>
      <c r="D340" s="330"/>
      <c r="E340" s="330"/>
      <c r="F340" s="330"/>
      <c r="G340" s="330"/>
      <c r="H340" s="330"/>
      <c r="I340" s="330"/>
      <c r="J340" s="330"/>
      <c r="K340" s="330"/>
      <c r="L340" s="330"/>
      <c r="M340" s="330"/>
      <c r="N340" s="330"/>
      <c r="O340" s="330"/>
      <c r="P340" s="330"/>
      <c r="Q340" s="330"/>
      <c r="R340" s="330"/>
      <c r="S340" s="330"/>
      <c r="T340" s="330"/>
      <c r="U340" s="330"/>
      <c r="V340" s="330"/>
      <c r="W340" s="330"/>
      <c r="X340" s="330"/>
      <c r="Y340" s="330"/>
      <c r="Z340" s="330"/>
      <c r="AA340" s="330"/>
      <c r="AB340" s="330"/>
      <c r="AC340" s="330"/>
    </row>
    <row r="341" spans="1:29" x14ac:dyDescent="0.25">
      <c r="A341" s="330"/>
      <c r="B341" s="330"/>
      <c r="C341" s="330"/>
      <c r="D341" s="330"/>
      <c r="E341" s="330"/>
      <c r="F341" s="330"/>
      <c r="G341" s="330"/>
      <c r="H341" s="330"/>
      <c r="I341" s="330"/>
      <c r="J341" s="330"/>
      <c r="K341" s="330"/>
      <c r="L341" s="330"/>
      <c r="M341" s="330"/>
      <c r="N341" s="330"/>
      <c r="O341" s="330"/>
      <c r="P341" s="330"/>
      <c r="Q341" s="330"/>
      <c r="R341" s="330"/>
      <c r="S341" s="330"/>
      <c r="T341" s="330"/>
      <c r="U341" s="330"/>
      <c r="V341" s="330"/>
      <c r="W341" s="330"/>
      <c r="X341" s="330"/>
      <c r="Y341" s="330"/>
      <c r="Z341" s="330"/>
      <c r="AA341" s="330"/>
      <c r="AB341" s="330"/>
      <c r="AC341" s="330"/>
    </row>
    <row r="342" spans="1:29" x14ac:dyDescent="0.25">
      <c r="A342" s="330"/>
      <c r="B342" s="330"/>
      <c r="C342" s="330"/>
      <c r="D342" s="330"/>
      <c r="E342" s="330"/>
      <c r="F342" s="330"/>
      <c r="G342" s="330"/>
      <c r="H342" s="330"/>
      <c r="I342" s="330"/>
      <c r="J342" s="330"/>
      <c r="K342" s="330"/>
      <c r="L342" s="330"/>
      <c r="M342" s="330"/>
      <c r="N342" s="330"/>
      <c r="O342" s="330"/>
      <c r="P342" s="330"/>
      <c r="Q342" s="330"/>
      <c r="R342" s="330"/>
      <c r="S342" s="330"/>
      <c r="T342" s="330"/>
      <c r="U342" s="330"/>
      <c r="V342" s="330"/>
      <c r="W342" s="330"/>
      <c r="X342" s="330"/>
      <c r="Y342" s="330"/>
      <c r="Z342" s="330"/>
      <c r="AA342" s="330"/>
      <c r="AB342" s="330"/>
      <c r="AC342" s="330"/>
    </row>
    <row r="343" spans="1:29" x14ac:dyDescent="0.25">
      <c r="A343" s="330"/>
      <c r="B343" s="330"/>
      <c r="C343" s="330"/>
      <c r="D343" s="330"/>
      <c r="E343" s="330"/>
      <c r="F343" s="330"/>
      <c r="G343" s="330"/>
      <c r="H343" s="330"/>
      <c r="I343" s="330"/>
      <c r="J343" s="330"/>
      <c r="K343" s="330"/>
      <c r="L343" s="330"/>
      <c r="M343" s="330"/>
      <c r="N343" s="330"/>
      <c r="O343" s="330"/>
      <c r="P343" s="330"/>
      <c r="Q343" s="330"/>
      <c r="R343" s="330"/>
      <c r="S343" s="330"/>
      <c r="T343" s="330"/>
      <c r="U343" s="330"/>
      <c r="V343" s="330"/>
      <c r="W343" s="330"/>
      <c r="X343" s="330"/>
      <c r="Y343" s="330"/>
      <c r="Z343" s="330"/>
      <c r="AA343" s="330"/>
      <c r="AB343" s="330"/>
      <c r="AC343" s="330"/>
    </row>
    <row r="344" spans="1:29" x14ac:dyDescent="0.25">
      <c r="A344" s="330"/>
      <c r="B344" s="330"/>
      <c r="C344" s="330"/>
      <c r="D344" s="330"/>
      <c r="E344" s="330"/>
      <c r="F344" s="330"/>
      <c r="G344" s="330"/>
      <c r="H344" s="330"/>
      <c r="I344" s="330"/>
      <c r="J344" s="330"/>
      <c r="K344" s="330"/>
      <c r="L344" s="330"/>
      <c r="M344" s="330"/>
      <c r="N344" s="330"/>
      <c r="O344" s="330"/>
      <c r="P344" s="330"/>
      <c r="Q344" s="330"/>
      <c r="R344" s="330"/>
      <c r="S344" s="330"/>
      <c r="T344" s="330"/>
      <c r="U344" s="330"/>
      <c r="V344" s="330"/>
      <c r="W344" s="330"/>
      <c r="X344" s="330"/>
      <c r="Y344" s="330"/>
      <c r="Z344" s="330"/>
      <c r="AA344" s="330"/>
      <c r="AB344" s="330"/>
      <c r="AC344" s="330"/>
    </row>
    <row r="345" spans="1:29" x14ac:dyDescent="0.25">
      <c r="A345" s="330"/>
      <c r="B345" s="330"/>
      <c r="C345" s="330"/>
      <c r="D345" s="330"/>
      <c r="E345" s="330"/>
      <c r="F345" s="330"/>
      <c r="G345" s="330"/>
      <c r="H345" s="330"/>
      <c r="I345" s="330"/>
      <c r="J345" s="330"/>
      <c r="K345" s="330"/>
      <c r="L345" s="330"/>
      <c r="M345" s="330"/>
      <c r="N345" s="330"/>
      <c r="O345" s="330"/>
      <c r="P345" s="330"/>
      <c r="Q345" s="330"/>
      <c r="R345" s="330"/>
      <c r="S345" s="330"/>
      <c r="T345" s="330"/>
      <c r="U345" s="330"/>
      <c r="V345" s="330"/>
      <c r="W345" s="330"/>
      <c r="X345" s="330"/>
      <c r="Y345" s="330"/>
      <c r="Z345" s="330"/>
      <c r="AA345" s="330"/>
      <c r="AB345" s="330"/>
      <c r="AC345" s="330"/>
    </row>
    <row r="346" spans="1:29" x14ac:dyDescent="0.25">
      <c r="A346" s="330"/>
      <c r="B346" s="330"/>
      <c r="C346" s="330"/>
      <c r="D346" s="330"/>
      <c r="E346" s="330"/>
      <c r="F346" s="330"/>
      <c r="G346" s="330"/>
      <c r="H346" s="330"/>
      <c r="I346" s="330"/>
      <c r="J346" s="330"/>
      <c r="K346" s="330"/>
      <c r="L346" s="330"/>
      <c r="M346" s="330"/>
      <c r="N346" s="330"/>
      <c r="O346" s="330"/>
      <c r="P346" s="330"/>
      <c r="Q346" s="330"/>
      <c r="R346" s="330"/>
      <c r="S346" s="330"/>
      <c r="T346" s="330"/>
      <c r="U346" s="330"/>
      <c r="V346" s="330"/>
      <c r="W346" s="330"/>
      <c r="X346" s="330"/>
      <c r="Y346" s="330"/>
      <c r="Z346" s="330"/>
      <c r="AA346" s="330"/>
      <c r="AB346" s="330"/>
      <c r="AC346" s="330"/>
    </row>
    <row r="347" spans="1:29" x14ac:dyDescent="0.25">
      <c r="A347" s="330"/>
      <c r="B347" s="330"/>
      <c r="C347" s="330"/>
      <c r="D347" s="330"/>
      <c r="E347" s="330"/>
      <c r="F347" s="330"/>
      <c r="G347" s="330"/>
      <c r="H347" s="330"/>
      <c r="I347" s="330"/>
      <c r="J347" s="330"/>
      <c r="K347" s="330"/>
      <c r="L347" s="330"/>
      <c r="M347" s="330"/>
      <c r="N347" s="330"/>
      <c r="O347" s="330"/>
      <c r="P347" s="330"/>
      <c r="Q347" s="330"/>
      <c r="R347" s="330"/>
      <c r="S347" s="330"/>
      <c r="T347" s="330"/>
      <c r="U347" s="330"/>
      <c r="V347" s="330"/>
      <c r="W347" s="330"/>
      <c r="X347" s="330"/>
      <c r="Y347" s="330"/>
      <c r="Z347" s="330"/>
      <c r="AA347" s="330"/>
      <c r="AB347" s="330"/>
      <c r="AC347" s="330"/>
    </row>
    <row r="348" spans="1:29" x14ac:dyDescent="0.25">
      <c r="A348" s="330"/>
      <c r="B348" s="330"/>
      <c r="C348" s="330"/>
      <c r="D348" s="330"/>
      <c r="E348" s="330"/>
      <c r="F348" s="330"/>
      <c r="G348" s="330"/>
      <c r="H348" s="330"/>
      <c r="I348" s="330"/>
      <c r="J348" s="330"/>
      <c r="K348" s="330"/>
      <c r="L348" s="330"/>
      <c r="M348" s="330"/>
      <c r="N348" s="330"/>
      <c r="O348" s="330"/>
      <c r="P348" s="330"/>
      <c r="Q348" s="330"/>
      <c r="R348" s="330"/>
      <c r="S348" s="330"/>
      <c r="T348" s="330"/>
      <c r="U348" s="330"/>
      <c r="V348" s="330"/>
      <c r="W348" s="330"/>
      <c r="X348" s="330"/>
      <c r="Y348" s="330"/>
      <c r="Z348" s="330"/>
      <c r="AA348" s="330"/>
      <c r="AB348" s="330"/>
      <c r="AC348" s="330"/>
    </row>
    <row r="349" spans="1:29" x14ac:dyDescent="0.25">
      <c r="A349" s="330"/>
      <c r="B349" s="330"/>
      <c r="C349" s="330"/>
      <c r="D349" s="330"/>
      <c r="E349" s="330"/>
      <c r="F349" s="330"/>
      <c r="G349" s="330"/>
      <c r="H349" s="330"/>
      <c r="I349" s="330"/>
      <c r="J349" s="330"/>
      <c r="K349" s="330"/>
      <c r="L349" s="330"/>
      <c r="M349" s="330"/>
      <c r="N349" s="330"/>
      <c r="O349" s="330"/>
      <c r="P349" s="330"/>
      <c r="Q349" s="330"/>
      <c r="R349" s="330"/>
      <c r="S349" s="330"/>
      <c r="T349" s="330"/>
      <c r="U349" s="330"/>
      <c r="V349" s="330"/>
      <c r="W349" s="330"/>
      <c r="X349" s="330"/>
      <c r="Y349" s="330"/>
      <c r="Z349" s="330"/>
      <c r="AA349" s="330"/>
      <c r="AB349" s="330"/>
      <c r="AC349" s="330"/>
    </row>
    <row r="350" spans="1:29" x14ac:dyDescent="0.25">
      <c r="A350" s="330"/>
      <c r="B350" s="330"/>
      <c r="C350" s="330"/>
      <c r="D350" s="330"/>
      <c r="E350" s="330"/>
      <c r="F350" s="330"/>
      <c r="G350" s="330"/>
      <c r="H350" s="330"/>
      <c r="I350" s="330"/>
      <c r="J350" s="330"/>
      <c r="K350" s="330"/>
      <c r="L350" s="330"/>
      <c r="M350" s="330"/>
      <c r="N350" s="330"/>
      <c r="O350" s="330"/>
      <c r="P350" s="330"/>
      <c r="Q350" s="330"/>
      <c r="R350" s="330"/>
      <c r="S350" s="330"/>
      <c r="T350" s="330"/>
      <c r="U350" s="330"/>
      <c r="V350" s="330"/>
      <c r="W350" s="330"/>
      <c r="X350" s="330"/>
      <c r="Y350" s="330"/>
      <c r="Z350" s="330"/>
      <c r="AA350" s="330"/>
      <c r="AB350" s="330"/>
      <c r="AC350" s="330"/>
    </row>
    <row r="351" spans="1:29" x14ac:dyDescent="0.25">
      <c r="A351" s="330"/>
      <c r="B351" s="330"/>
      <c r="C351" s="330"/>
      <c r="D351" s="330"/>
      <c r="E351" s="330"/>
      <c r="F351" s="330"/>
      <c r="G351" s="330"/>
      <c r="H351" s="330"/>
      <c r="I351" s="330"/>
      <c r="J351" s="330"/>
      <c r="K351" s="330"/>
      <c r="L351" s="330"/>
      <c r="M351" s="330"/>
      <c r="N351" s="330"/>
      <c r="O351" s="330"/>
      <c r="P351" s="330"/>
      <c r="Q351" s="330"/>
      <c r="R351" s="330"/>
      <c r="S351" s="330"/>
      <c r="T351" s="330"/>
      <c r="U351" s="330"/>
      <c r="V351" s="330"/>
      <c r="W351" s="330"/>
      <c r="X351" s="330"/>
      <c r="Y351" s="330"/>
      <c r="Z351" s="330"/>
      <c r="AA351" s="330"/>
      <c r="AB351" s="330"/>
      <c r="AC351" s="330"/>
    </row>
    <row r="352" spans="1:29" x14ac:dyDescent="0.25">
      <c r="A352" s="330"/>
      <c r="B352" s="330"/>
      <c r="C352" s="330"/>
      <c r="D352" s="330"/>
      <c r="E352" s="330"/>
      <c r="F352" s="330"/>
      <c r="G352" s="330"/>
      <c r="H352" s="330"/>
      <c r="I352" s="330"/>
      <c r="J352" s="330"/>
      <c r="K352" s="330"/>
      <c r="L352" s="330"/>
      <c r="M352" s="330"/>
      <c r="N352" s="330"/>
      <c r="O352" s="330"/>
      <c r="P352" s="330"/>
      <c r="Q352" s="330"/>
      <c r="R352" s="330"/>
      <c r="S352" s="330"/>
      <c r="T352" s="330"/>
      <c r="U352" s="330"/>
      <c r="V352" s="330"/>
      <c r="W352" s="330"/>
      <c r="X352" s="330"/>
      <c r="Y352" s="330"/>
      <c r="Z352" s="330"/>
      <c r="AA352" s="330"/>
      <c r="AB352" s="330"/>
      <c r="AC352" s="330"/>
    </row>
    <row r="353" spans="1:29" x14ac:dyDescent="0.25">
      <c r="A353" s="330"/>
      <c r="B353" s="330"/>
      <c r="C353" s="330"/>
      <c r="D353" s="330"/>
      <c r="E353" s="330"/>
      <c r="F353" s="330"/>
      <c r="G353" s="330"/>
      <c r="H353" s="330"/>
      <c r="I353" s="330"/>
      <c r="J353" s="330"/>
      <c r="K353" s="330"/>
      <c r="L353" s="330"/>
      <c r="M353" s="330"/>
      <c r="N353" s="330"/>
      <c r="O353" s="330"/>
      <c r="P353" s="330"/>
      <c r="Q353" s="330"/>
      <c r="R353" s="330"/>
      <c r="S353" s="330"/>
      <c r="T353" s="330"/>
      <c r="U353" s="330"/>
      <c r="V353" s="330"/>
      <c r="W353" s="330"/>
      <c r="X353" s="330"/>
      <c r="Y353" s="330"/>
      <c r="Z353" s="330"/>
      <c r="AA353" s="330"/>
      <c r="AB353" s="330"/>
      <c r="AC353" s="330"/>
    </row>
    <row r="354" spans="1:29" x14ac:dyDescent="0.25">
      <c r="A354" s="330"/>
      <c r="B354" s="330"/>
      <c r="C354" s="330"/>
      <c r="D354" s="330"/>
      <c r="E354" s="330"/>
      <c r="F354" s="330"/>
      <c r="G354" s="330"/>
      <c r="H354" s="330"/>
      <c r="I354" s="330"/>
      <c r="J354" s="330"/>
      <c r="K354" s="330"/>
      <c r="L354" s="330"/>
      <c r="M354" s="330"/>
      <c r="N354" s="330"/>
      <c r="O354" s="330"/>
      <c r="P354" s="330"/>
      <c r="Q354" s="330"/>
      <c r="R354" s="330"/>
      <c r="S354" s="330"/>
      <c r="T354" s="330"/>
      <c r="U354" s="330"/>
      <c r="V354" s="330"/>
      <c r="W354" s="330"/>
      <c r="X354" s="330"/>
      <c r="Y354" s="330"/>
      <c r="Z354" s="330"/>
      <c r="AA354" s="330"/>
      <c r="AB354" s="330"/>
      <c r="AC354" s="330"/>
    </row>
    <row r="355" spans="1:29" x14ac:dyDescent="0.25">
      <c r="A355" s="330"/>
      <c r="B355" s="330"/>
      <c r="C355" s="330"/>
      <c r="D355" s="330"/>
      <c r="E355" s="330"/>
      <c r="F355" s="330"/>
      <c r="G355" s="330"/>
      <c r="H355" s="330"/>
      <c r="I355" s="330"/>
      <c r="J355" s="330"/>
      <c r="K355" s="330"/>
      <c r="L355" s="330"/>
      <c r="M355" s="330"/>
      <c r="N355" s="330"/>
      <c r="O355" s="330"/>
      <c r="P355" s="330"/>
      <c r="Q355" s="330"/>
      <c r="R355" s="330"/>
      <c r="S355" s="330"/>
      <c r="T355" s="330"/>
      <c r="U355" s="330"/>
      <c r="V355" s="330"/>
      <c r="W355" s="330"/>
      <c r="X355" s="330"/>
      <c r="Y355" s="330"/>
      <c r="Z355" s="330"/>
      <c r="AA355" s="330"/>
      <c r="AB355" s="330"/>
      <c r="AC355" s="330"/>
    </row>
    <row r="356" spans="1:29" x14ac:dyDescent="0.25">
      <c r="A356" s="330"/>
      <c r="B356" s="330"/>
      <c r="C356" s="330"/>
      <c r="D356" s="330"/>
      <c r="E356" s="330"/>
      <c r="F356" s="330"/>
      <c r="G356" s="330"/>
      <c r="H356" s="330"/>
      <c r="I356" s="330"/>
      <c r="J356" s="330"/>
      <c r="K356" s="330"/>
      <c r="L356" s="330"/>
      <c r="M356" s="330"/>
      <c r="N356" s="330"/>
      <c r="O356" s="330"/>
      <c r="P356" s="330"/>
      <c r="Q356" s="330"/>
      <c r="R356" s="330"/>
      <c r="S356" s="330"/>
      <c r="T356" s="330"/>
      <c r="U356" s="330"/>
      <c r="V356" s="330"/>
      <c r="W356" s="330"/>
      <c r="X356" s="330"/>
      <c r="Y356" s="330"/>
      <c r="Z356" s="330"/>
      <c r="AA356" s="330"/>
      <c r="AB356" s="330"/>
      <c r="AC356" s="330"/>
    </row>
    <row r="357" spans="1:29" x14ac:dyDescent="0.25">
      <c r="A357" s="330"/>
      <c r="B357" s="330"/>
      <c r="C357" s="330"/>
      <c r="D357" s="330"/>
      <c r="E357" s="330"/>
      <c r="F357" s="330"/>
      <c r="G357" s="330"/>
      <c r="H357" s="330"/>
      <c r="I357" s="330"/>
      <c r="J357" s="330"/>
      <c r="K357" s="330"/>
      <c r="L357" s="330"/>
      <c r="M357" s="330"/>
      <c r="N357" s="330"/>
      <c r="O357" s="330"/>
      <c r="P357" s="330"/>
      <c r="Q357" s="330"/>
      <c r="R357" s="330"/>
      <c r="S357" s="330"/>
      <c r="T357" s="330"/>
      <c r="U357" s="330"/>
      <c r="V357" s="330"/>
      <c r="W357" s="330"/>
      <c r="X357" s="330"/>
      <c r="Y357" s="330"/>
      <c r="Z357" s="330"/>
      <c r="AA357" s="330"/>
      <c r="AB357" s="330"/>
      <c r="AC357" s="330"/>
    </row>
    <row r="358" spans="1:29" x14ac:dyDescent="0.25">
      <c r="A358" s="330"/>
      <c r="B358" s="330"/>
      <c r="C358" s="330"/>
      <c r="D358" s="330"/>
      <c r="E358" s="330"/>
      <c r="F358" s="330"/>
      <c r="G358" s="330"/>
      <c r="H358" s="330"/>
      <c r="I358" s="330"/>
      <c r="J358" s="330"/>
      <c r="K358" s="330"/>
      <c r="L358" s="330"/>
      <c r="M358" s="330"/>
      <c r="N358" s="330"/>
      <c r="O358" s="330"/>
      <c r="P358" s="330"/>
      <c r="Q358" s="330"/>
      <c r="R358" s="330"/>
      <c r="S358" s="330"/>
      <c r="T358" s="330"/>
      <c r="U358" s="330"/>
      <c r="V358" s="330"/>
      <c r="W358" s="330"/>
      <c r="X358" s="330"/>
      <c r="Y358" s="330"/>
      <c r="Z358" s="330"/>
      <c r="AA358" s="330"/>
      <c r="AB358" s="330"/>
      <c r="AC358" s="330"/>
    </row>
    <row r="359" spans="1:29" x14ac:dyDescent="0.25">
      <c r="A359" s="330"/>
      <c r="B359" s="330"/>
      <c r="C359" s="330"/>
      <c r="D359" s="330"/>
      <c r="E359" s="330"/>
      <c r="F359" s="330"/>
      <c r="G359" s="330"/>
      <c r="H359" s="330"/>
      <c r="I359" s="330"/>
      <c r="J359" s="330"/>
      <c r="K359" s="330"/>
      <c r="L359" s="330"/>
      <c r="M359" s="330"/>
      <c r="N359" s="330"/>
      <c r="O359" s="330"/>
      <c r="P359" s="330"/>
      <c r="Q359" s="330"/>
      <c r="R359" s="330"/>
      <c r="S359" s="330"/>
      <c r="T359" s="330"/>
      <c r="U359" s="330"/>
      <c r="V359" s="330"/>
      <c r="W359" s="330"/>
      <c r="X359" s="330"/>
      <c r="Y359" s="330"/>
      <c r="Z359" s="330"/>
      <c r="AA359" s="330"/>
      <c r="AB359" s="330"/>
      <c r="AC359" s="330"/>
    </row>
    <row r="360" spans="1:29" x14ac:dyDescent="0.25">
      <c r="A360" s="330"/>
      <c r="B360" s="330"/>
      <c r="C360" s="330"/>
      <c r="D360" s="330"/>
      <c r="E360" s="330"/>
      <c r="F360" s="330"/>
      <c r="G360" s="330"/>
      <c r="H360" s="330"/>
      <c r="I360" s="330"/>
      <c r="J360" s="330"/>
      <c r="K360" s="330"/>
      <c r="L360" s="330"/>
      <c r="M360" s="330"/>
      <c r="N360" s="330"/>
      <c r="O360" s="330"/>
      <c r="P360" s="330"/>
      <c r="Q360" s="330"/>
      <c r="R360" s="330"/>
      <c r="S360" s="330"/>
      <c r="T360" s="330"/>
      <c r="U360" s="330"/>
      <c r="V360" s="330"/>
      <c r="W360" s="330"/>
      <c r="X360" s="330"/>
      <c r="Y360" s="330"/>
      <c r="Z360" s="330"/>
      <c r="AA360" s="330"/>
      <c r="AB360" s="330"/>
      <c r="AC360" s="330"/>
    </row>
    <row r="361" spans="1:29" x14ac:dyDescent="0.25">
      <c r="A361" s="330"/>
      <c r="B361" s="330"/>
      <c r="C361" s="330"/>
      <c r="D361" s="330"/>
      <c r="E361" s="330"/>
      <c r="F361" s="330"/>
      <c r="G361" s="330"/>
      <c r="H361" s="330"/>
      <c r="I361" s="330"/>
      <c r="J361" s="330"/>
      <c r="K361" s="330"/>
      <c r="L361" s="330"/>
      <c r="M361" s="330"/>
      <c r="N361" s="330"/>
      <c r="O361" s="330"/>
      <c r="P361" s="330"/>
      <c r="Q361" s="330"/>
      <c r="R361" s="330"/>
      <c r="S361" s="330"/>
      <c r="T361" s="330"/>
      <c r="U361" s="330"/>
      <c r="V361" s="330"/>
      <c r="W361" s="330"/>
      <c r="X361" s="330"/>
      <c r="Y361" s="330"/>
      <c r="Z361" s="330"/>
      <c r="AA361" s="330"/>
      <c r="AB361" s="330"/>
      <c r="AC361" s="330"/>
    </row>
    <row r="362" spans="1:29" x14ac:dyDescent="0.25">
      <c r="A362" s="330"/>
      <c r="B362" s="330"/>
      <c r="C362" s="330"/>
      <c r="D362" s="330"/>
      <c r="E362" s="330"/>
      <c r="F362" s="330"/>
      <c r="G362" s="330"/>
      <c r="H362" s="330"/>
      <c r="I362" s="330"/>
      <c r="J362" s="330"/>
      <c r="K362" s="330"/>
      <c r="L362" s="330"/>
      <c r="M362" s="330"/>
      <c r="N362" s="330"/>
      <c r="O362" s="330"/>
      <c r="P362" s="330"/>
      <c r="Q362" s="330"/>
      <c r="R362" s="330"/>
      <c r="S362" s="330"/>
      <c r="T362" s="330"/>
      <c r="U362" s="330"/>
      <c r="V362" s="330"/>
      <c r="W362" s="330"/>
      <c r="X362" s="330"/>
      <c r="Y362" s="330"/>
      <c r="Z362" s="330"/>
      <c r="AA362" s="330"/>
      <c r="AB362" s="330"/>
      <c r="AC362" s="330"/>
    </row>
    <row r="363" spans="1:29" x14ac:dyDescent="0.25">
      <c r="A363" s="330"/>
      <c r="B363" s="330"/>
      <c r="C363" s="330"/>
      <c r="D363" s="330"/>
      <c r="E363" s="330"/>
      <c r="F363" s="330"/>
      <c r="G363" s="330"/>
      <c r="H363" s="330"/>
      <c r="I363" s="330"/>
      <c r="J363" s="330"/>
      <c r="K363" s="330"/>
      <c r="L363" s="330"/>
      <c r="M363" s="330"/>
      <c r="N363" s="330"/>
      <c r="O363" s="330"/>
      <c r="P363" s="330"/>
      <c r="Q363" s="330"/>
      <c r="R363" s="330"/>
      <c r="S363" s="330"/>
      <c r="T363" s="330"/>
      <c r="U363" s="330"/>
      <c r="V363" s="330"/>
      <c r="W363" s="330"/>
      <c r="X363" s="330"/>
      <c r="Y363" s="330"/>
      <c r="Z363" s="330"/>
      <c r="AA363" s="330"/>
      <c r="AB363" s="330"/>
      <c r="AC363" s="330"/>
    </row>
    <row r="364" spans="1:29" x14ac:dyDescent="0.25">
      <c r="A364" s="330"/>
      <c r="B364" s="330"/>
      <c r="C364" s="330"/>
      <c r="D364" s="330"/>
      <c r="E364" s="330"/>
      <c r="F364" s="330"/>
      <c r="G364" s="330"/>
      <c r="H364" s="330"/>
      <c r="I364" s="330"/>
      <c r="J364" s="330"/>
      <c r="K364" s="330"/>
      <c r="L364" s="330"/>
      <c r="M364" s="330"/>
      <c r="N364" s="330"/>
      <c r="O364" s="330"/>
      <c r="P364" s="330"/>
      <c r="Q364" s="330"/>
      <c r="R364" s="330"/>
      <c r="S364" s="330"/>
      <c r="T364" s="330"/>
      <c r="U364" s="330"/>
      <c r="V364" s="330"/>
      <c r="W364" s="330"/>
      <c r="X364" s="330"/>
      <c r="Y364" s="330"/>
      <c r="Z364" s="330"/>
      <c r="AA364" s="330"/>
      <c r="AB364" s="330"/>
      <c r="AC364" s="330"/>
    </row>
    <row r="365" spans="1:29" x14ac:dyDescent="0.25">
      <c r="A365" s="330"/>
      <c r="B365" s="330"/>
      <c r="C365" s="330"/>
      <c r="D365" s="330"/>
      <c r="E365" s="330"/>
      <c r="F365" s="330"/>
      <c r="G365" s="330"/>
      <c r="H365" s="330"/>
      <c r="I365" s="330"/>
      <c r="J365" s="330"/>
      <c r="K365" s="330"/>
      <c r="L365" s="330"/>
      <c r="M365" s="330"/>
      <c r="N365" s="330"/>
      <c r="O365" s="330"/>
      <c r="P365" s="330"/>
      <c r="Q365" s="330"/>
      <c r="R365" s="330"/>
      <c r="S365" s="330"/>
      <c r="T365" s="330"/>
      <c r="U365" s="330"/>
      <c r="V365" s="330"/>
      <c r="W365" s="330"/>
      <c r="X365" s="330"/>
      <c r="Y365" s="330"/>
      <c r="Z365" s="330"/>
      <c r="AA365" s="330"/>
      <c r="AB365" s="330"/>
      <c r="AC365" s="330"/>
    </row>
    <row r="366" spans="1:29" x14ac:dyDescent="0.25">
      <c r="A366" s="330"/>
      <c r="B366" s="330"/>
      <c r="C366" s="330"/>
      <c r="D366" s="330"/>
      <c r="E366" s="330"/>
      <c r="F366" s="330"/>
      <c r="G366" s="330"/>
      <c r="H366" s="330"/>
      <c r="I366" s="330"/>
      <c r="J366" s="330"/>
      <c r="K366" s="330"/>
      <c r="L366" s="330"/>
      <c r="M366" s="330"/>
      <c r="N366" s="330"/>
      <c r="O366" s="330"/>
      <c r="P366" s="330"/>
      <c r="Q366" s="330"/>
      <c r="R366" s="330"/>
      <c r="S366" s="330"/>
      <c r="T366" s="330"/>
      <c r="U366" s="330"/>
      <c r="V366" s="330"/>
      <c r="W366" s="330"/>
      <c r="X366" s="330"/>
      <c r="Y366" s="330"/>
      <c r="Z366" s="330"/>
      <c r="AA366" s="330"/>
      <c r="AB366" s="330"/>
      <c r="AC366" s="330"/>
    </row>
    <row r="367" spans="1:29" x14ac:dyDescent="0.25">
      <c r="A367" s="330"/>
      <c r="B367" s="330"/>
      <c r="C367" s="330"/>
      <c r="D367" s="330"/>
      <c r="E367" s="330"/>
      <c r="F367" s="330"/>
      <c r="G367" s="330"/>
      <c r="H367" s="330"/>
      <c r="I367" s="330"/>
      <c r="J367" s="330"/>
      <c r="K367" s="330"/>
      <c r="L367" s="330"/>
      <c r="M367" s="330"/>
      <c r="N367" s="330"/>
      <c r="O367" s="330"/>
      <c r="P367" s="330"/>
      <c r="Q367" s="330"/>
      <c r="R367" s="330"/>
      <c r="S367" s="330"/>
      <c r="T367" s="330"/>
      <c r="U367" s="330"/>
      <c r="V367" s="330"/>
      <c r="W367" s="330"/>
      <c r="X367" s="330"/>
      <c r="Y367" s="330"/>
      <c r="Z367" s="330"/>
      <c r="AA367" s="330"/>
      <c r="AB367" s="330"/>
      <c r="AC367" s="330"/>
    </row>
    <row r="368" spans="1:29" x14ac:dyDescent="0.25">
      <c r="A368" s="330"/>
      <c r="B368" s="330"/>
      <c r="C368" s="330"/>
      <c r="D368" s="330"/>
      <c r="E368" s="330"/>
      <c r="F368" s="330"/>
      <c r="G368" s="330"/>
      <c r="H368" s="330"/>
      <c r="I368" s="330"/>
      <c r="J368" s="330"/>
      <c r="K368" s="330"/>
      <c r="L368" s="330"/>
      <c r="M368" s="330"/>
      <c r="N368" s="330"/>
      <c r="O368" s="330"/>
      <c r="P368" s="330"/>
      <c r="Q368" s="330"/>
      <c r="R368" s="330"/>
      <c r="S368" s="330"/>
      <c r="T368" s="330"/>
      <c r="U368" s="330"/>
      <c r="V368" s="330"/>
      <c r="W368" s="330"/>
      <c r="X368" s="330"/>
      <c r="Y368" s="330"/>
      <c r="Z368" s="330"/>
      <c r="AA368" s="330"/>
      <c r="AB368" s="330"/>
      <c r="AC368" s="330"/>
    </row>
    <row r="369" spans="1:29" x14ac:dyDescent="0.25">
      <c r="A369" s="330"/>
      <c r="B369" s="330"/>
      <c r="C369" s="330"/>
      <c r="D369" s="330"/>
      <c r="E369" s="330"/>
      <c r="F369" s="330"/>
      <c r="G369" s="330"/>
      <c r="H369" s="330"/>
      <c r="I369" s="330"/>
      <c r="J369" s="330"/>
      <c r="K369" s="330"/>
      <c r="L369" s="330"/>
      <c r="M369" s="330"/>
      <c r="N369" s="330"/>
      <c r="O369" s="330"/>
      <c r="P369" s="330"/>
      <c r="Q369" s="330"/>
      <c r="R369" s="330"/>
      <c r="S369" s="330"/>
      <c r="T369" s="330"/>
      <c r="U369" s="330"/>
      <c r="V369" s="330"/>
      <c r="W369" s="330"/>
      <c r="X369" s="330"/>
      <c r="Y369" s="330"/>
      <c r="Z369" s="330"/>
      <c r="AA369" s="330"/>
      <c r="AB369" s="330"/>
      <c r="AC369" s="330"/>
    </row>
    <row r="370" spans="1:29" x14ac:dyDescent="0.25">
      <c r="A370" s="330"/>
      <c r="B370" s="330"/>
      <c r="C370" s="330"/>
      <c r="D370" s="330"/>
      <c r="E370" s="330"/>
      <c r="F370" s="330"/>
      <c r="G370" s="330"/>
      <c r="H370" s="330"/>
      <c r="I370" s="330"/>
      <c r="J370" s="330"/>
      <c r="K370" s="330"/>
      <c r="L370" s="330"/>
      <c r="M370" s="330"/>
      <c r="N370" s="330"/>
      <c r="O370" s="330"/>
      <c r="P370" s="330"/>
      <c r="Q370" s="330"/>
      <c r="R370" s="330"/>
      <c r="S370" s="330"/>
      <c r="T370" s="330"/>
      <c r="U370" s="330"/>
      <c r="V370" s="330"/>
      <c r="W370" s="330"/>
      <c r="X370" s="330"/>
      <c r="Y370" s="330"/>
      <c r="Z370" s="330"/>
      <c r="AA370" s="330"/>
      <c r="AB370" s="330"/>
      <c r="AC370" s="330"/>
    </row>
    <row r="371" spans="1:29" x14ac:dyDescent="0.25">
      <c r="A371" s="330"/>
      <c r="B371" s="330"/>
      <c r="C371" s="330"/>
      <c r="D371" s="330"/>
      <c r="E371" s="330"/>
      <c r="F371" s="330"/>
      <c r="G371" s="330"/>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row>
    <row r="372" spans="1:29" x14ac:dyDescent="0.25">
      <c r="A372" s="330"/>
      <c r="B372" s="330"/>
      <c r="C372" s="330"/>
      <c r="D372" s="330"/>
      <c r="E372" s="330"/>
      <c r="F372" s="330"/>
      <c r="G372" s="330"/>
      <c r="H372" s="330"/>
      <c r="I372" s="330"/>
      <c r="J372" s="330"/>
      <c r="K372" s="330"/>
      <c r="L372" s="330"/>
      <c r="M372" s="330"/>
      <c r="N372" s="330"/>
      <c r="O372" s="330"/>
      <c r="P372" s="330"/>
      <c r="Q372" s="330"/>
      <c r="R372" s="330"/>
      <c r="S372" s="330"/>
      <c r="T372" s="330"/>
      <c r="U372" s="330"/>
      <c r="V372" s="330"/>
      <c r="W372" s="330"/>
      <c r="X372" s="330"/>
      <c r="Y372" s="330"/>
      <c r="Z372" s="330"/>
      <c r="AA372" s="330"/>
      <c r="AB372" s="330"/>
      <c r="AC372" s="330"/>
    </row>
    <row r="373" spans="1:29" x14ac:dyDescent="0.25">
      <c r="A373" s="330"/>
      <c r="B373" s="330"/>
      <c r="C373" s="330"/>
      <c r="D373" s="330"/>
      <c r="E373" s="330"/>
      <c r="F373" s="330"/>
      <c r="G373" s="330"/>
      <c r="H373" s="330"/>
      <c r="I373" s="330"/>
      <c r="J373" s="330"/>
      <c r="K373" s="330"/>
      <c r="L373" s="330"/>
      <c r="M373" s="330"/>
      <c r="N373" s="330"/>
      <c r="O373" s="330"/>
      <c r="P373" s="330"/>
      <c r="Q373" s="330"/>
      <c r="R373" s="330"/>
      <c r="S373" s="330"/>
      <c r="T373" s="330"/>
      <c r="U373" s="330"/>
      <c r="V373" s="330"/>
      <c r="W373" s="330"/>
      <c r="X373" s="330"/>
      <c r="Y373" s="330"/>
      <c r="Z373" s="330"/>
      <c r="AA373" s="330"/>
      <c r="AB373" s="330"/>
      <c r="AC373" s="330"/>
    </row>
    <row r="374" spans="1:29" x14ac:dyDescent="0.25">
      <c r="A374" s="330"/>
      <c r="B374" s="330"/>
      <c r="C374" s="330"/>
      <c r="D374" s="330"/>
      <c r="E374" s="330"/>
      <c r="F374" s="330"/>
      <c r="G374" s="330"/>
      <c r="H374" s="330"/>
      <c r="I374" s="330"/>
      <c r="J374" s="330"/>
      <c r="K374" s="330"/>
      <c r="L374" s="330"/>
      <c r="M374" s="330"/>
      <c r="N374" s="330"/>
      <c r="O374" s="330"/>
      <c r="P374" s="330"/>
      <c r="Q374" s="330"/>
      <c r="R374" s="330"/>
      <c r="S374" s="330"/>
      <c r="T374" s="330"/>
      <c r="U374" s="330"/>
      <c r="V374" s="330"/>
      <c r="W374" s="330"/>
      <c r="X374" s="330"/>
      <c r="Y374" s="330"/>
      <c r="Z374" s="330"/>
      <c r="AA374" s="330"/>
      <c r="AB374" s="330"/>
      <c r="AC374" s="330"/>
    </row>
    <row r="375" spans="1:29" x14ac:dyDescent="0.25">
      <c r="A375" s="330"/>
      <c r="B375" s="330"/>
      <c r="C375" s="330"/>
      <c r="D375" s="330"/>
      <c r="E375" s="330"/>
      <c r="F375" s="330"/>
      <c r="G375" s="330"/>
      <c r="H375" s="330"/>
      <c r="I375" s="330"/>
      <c r="J375" s="330"/>
      <c r="K375" s="330"/>
      <c r="L375" s="330"/>
      <c r="M375" s="330"/>
      <c r="N375" s="330"/>
      <c r="O375" s="330"/>
      <c r="P375" s="330"/>
      <c r="Q375" s="330"/>
      <c r="R375" s="330"/>
      <c r="S375" s="330"/>
      <c r="T375" s="330"/>
      <c r="U375" s="330"/>
      <c r="V375" s="330"/>
      <c r="W375" s="330"/>
      <c r="X375" s="330"/>
      <c r="Y375" s="330"/>
      <c r="Z375" s="330"/>
      <c r="AA375" s="330"/>
      <c r="AB375" s="330"/>
      <c r="AC375" s="330"/>
    </row>
    <row r="376" spans="1:29" x14ac:dyDescent="0.25">
      <c r="A376" s="330"/>
      <c r="B376" s="330"/>
      <c r="C376" s="330"/>
      <c r="D376" s="330"/>
      <c r="E376" s="330"/>
      <c r="F376" s="330"/>
      <c r="G376" s="330"/>
      <c r="H376" s="330"/>
      <c r="I376" s="330"/>
      <c r="J376" s="330"/>
      <c r="K376" s="330"/>
      <c r="L376" s="330"/>
      <c r="M376" s="330"/>
      <c r="N376" s="330"/>
      <c r="O376" s="330"/>
      <c r="P376" s="330"/>
      <c r="Q376" s="330"/>
      <c r="R376" s="330"/>
      <c r="S376" s="330"/>
      <c r="T376" s="330"/>
      <c r="U376" s="330"/>
      <c r="V376" s="330"/>
      <c r="W376" s="330"/>
      <c r="X376" s="330"/>
      <c r="Y376" s="330"/>
      <c r="Z376" s="330"/>
      <c r="AA376" s="330"/>
      <c r="AB376" s="330"/>
      <c r="AC376" s="330"/>
    </row>
    <row r="377" spans="1:29" x14ac:dyDescent="0.25">
      <c r="A377" s="330"/>
      <c r="B377" s="330"/>
      <c r="C377" s="330"/>
      <c r="D377" s="330"/>
      <c r="E377" s="330"/>
      <c r="F377" s="330"/>
      <c r="G377" s="330"/>
      <c r="H377" s="330"/>
      <c r="I377" s="330"/>
      <c r="J377" s="330"/>
      <c r="K377" s="330"/>
      <c r="L377" s="330"/>
      <c r="M377" s="330"/>
      <c r="N377" s="330"/>
      <c r="O377" s="330"/>
      <c r="P377" s="330"/>
      <c r="Q377" s="330"/>
      <c r="R377" s="330"/>
      <c r="S377" s="330"/>
      <c r="T377" s="330"/>
      <c r="U377" s="330"/>
      <c r="V377" s="330"/>
      <c r="W377" s="330"/>
      <c r="X377" s="330"/>
      <c r="Y377" s="330"/>
      <c r="Z377" s="330"/>
      <c r="AA377" s="330"/>
      <c r="AB377" s="330"/>
      <c r="AC377" s="330"/>
    </row>
    <row r="378" spans="1:29" x14ac:dyDescent="0.25">
      <c r="A378" s="330"/>
      <c r="B378" s="330"/>
      <c r="C378" s="330"/>
      <c r="D378" s="330"/>
      <c r="E378" s="330"/>
      <c r="F378" s="330"/>
      <c r="G378" s="330"/>
      <c r="H378" s="330"/>
      <c r="I378" s="330"/>
      <c r="J378" s="330"/>
      <c r="K378" s="330"/>
      <c r="L378" s="330"/>
      <c r="M378" s="330"/>
      <c r="N378" s="330"/>
      <c r="O378" s="330"/>
      <c r="P378" s="330"/>
      <c r="Q378" s="330"/>
      <c r="R378" s="330"/>
      <c r="S378" s="330"/>
      <c r="T378" s="330"/>
      <c r="U378" s="330"/>
      <c r="V378" s="330"/>
      <c r="W378" s="330"/>
      <c r="X378" s="330"/>
      <c r="Y378" s="330"/>
      <c r="Z378" s="330"/>
      <c r="AA378" s="330"/>
      <c r="AB378" s="330"/>
      <c r="AC378" s="330"/>
    </row>
    <row r="379" spans="1:29" x14ac:dyDescent="0.25">
      <c r="A379" s="330"/>
      <c r="B379" s="330"/>
      <c r="C379" s="330"/>
      <c r="D379" s="330"/>
      <c r="E379" s="330"/>
      <c r="F379" s="330"/>
      <c r="G379" s="330"/>
      <c r="H379" s="330"/>
      <c r="I379" s="330"/>
      <c r="J379" s="330"/>
      <c r="K379" s="330"/>
      <c r="L379" s="330"/>
      <c r="M379" s="330"/>
      <c r="N379" s="330"/>
      <c r="O379" s="330"/>
      <c r="P379" s="330"/>
      <c r="Q379" s="330"/>
      <c r="R379" s="330"/>
      <c r="S379" s="330"/>
      <c r="T379" s="330"/>
      <c r="U379" s="330"/>
      <c r="V379" s="330"/>
      <c r="W379" s="330"/>
      <c r="X379" s="330"/>
      <c r="Y379" s="330"/>
      <c r="Z379" s="330"/>
      <c r="AA379" s="330"/>
      <c r="AB379" s="330"/>
      <c r="AC379" s="330"/>
    </row>
    <row r="380" spans="1:29" x14ac:dyDescent="0.25">
      <c r="A380" s="330"/>
      <c r="B380" s="330"/>
      <c r="C380" s="330"/>
      <c r="D380" s="330"/>
      <c r="E380" s="330"/>
      <c r="F380" s="330"/>
      <c r="G380" s="330"/>
      <c r="H380" s="330"/>
      <c r="I380" s="330"/>
      <c r="J380" s="330"/>
      <c r="K380" s="330"/>
      <c r="L380" s="330"/>
      <c r="M380" s="330"/>
      <c r="N380" s="330"/>
      <c r="O380" s="330"/>
      <c r="P380" s="330"/>
      <c r="Q380" s="330"/>
      <c r="R380" s="330"/>
      <c r="S380" s="330"/>
      <c r="T380" s="330"/>
      <c r="U380" s="330"/>
      <c r="V380" s="330"/>
      <c r="W380" s="330"/>
      <c r="X380" s="330"/>
      <c r="Y380" s="330"/>
      <c r="Z380" s="330"/>
      <c r="AA380" s="330"/>
      <c r="AB380" s="330"/>
      <c r="AC380" s="330"/>
    </row>
    <row r="381" spans="1:29" x14ac:dyDescent="0.25">
      <c r="A381" s="330"/>
      <c r="B381" s="330"/>
      <c r="C381" s="330"/>
      <c r="D381" s="330"/>
      <c r="E381" s="330"/>
      <c r="F381" s="330"/>
      <c r="G381" s="330"/>
      <c r="H381" s="330"/>
      <c r="I381" s="330"/>
      <c r="J381" s="330"/>
      <c r="K381" s="330"/>
      <c r="L381" s="330"/>
      <c r="M381" s="330"/>
      <c r="N381" s="330"/>
      <c r="O381" s="330"/>
      <c r="P381" s="330"/>
      <c r="Q381" s="330"/>
      <c r="R381" s="330"/>
      <c r="S381" s="330"/>
      <c r="T381" s="330"/>
      <c r="U381" s="330"/>
      <c r="V381" s="330"/>
      <c r="W381" s="330"/>
      <c r="X381" s="330"/>
      <c r="Y381" s="330"/>
      <c r="Z381" s="330"/>
      <c r="AA381" s="330"/>
      <c r="AB381" s="330"/>
      <c r="AC381" s="330"/>
    </row>
    <row r="382" spans="1:29" x14ac:dyDescent="0.25">
      <c r="A382" s="330"/>
      <c r="B382" s="330"/>
      <c r="C382" s="330"/>
      <c r="D382" s="330"/>
      <c r="E382" s="330"/>
      <c r="F382" s="330"/>
      <c r="G382" s="330"/>
      <c r="H382" s="330"/>
      <c r="I382" s="330"/>
      <c r="J382" s="330"/>
      <c r="K382" s="330"/>
      <c r="L382" s="330"/>
      <c r="M382" s="330"/>
      <c r="N382" s="330"/>
      <c r="O382" s="330"/>
      <c r="P382" s="330"/>
      <c r="Q382" s="330"/>
      <c r="R382" s="330"/>
      <c r="S382" s="330"/>
      <c r="T382" s="330"/>
      <c r="U382" s="330"/>
      <c r="V382" s="330"/>
      <c r="W382" s="330"/>
      <c r="X382" s="330"/>
      <c r="Y382" s="330"/>
      <c r="Z382" s="330"/>
      <c r="AA382" s="330"/>
      <c r="AB382" s="330"/>
      <c r="AC382" s="330"/>
    </row>
    <row r="383" spans="1:29" x14ac:dyDescent="0.25">
      <c r="A383" s="330"/>
      <c r="B383" s="330"/>
      <c r="C383" s="330"/>
      <c r="D383" s="330"/>
      <c r="E383" s="330"/>
      <c r="F383" s="330"/>
      <c r="G383" s="330"/>
      <c r="H383" s="330"/>
      <c r="I383" s="330"/>
      <c r="J383" s="330"/>
      <c r="K383" s="330"/>
      <c r="L383" s="330"/>
      <c r="M383" s="330"/>
      <c r="N383" s="330"/>
      <c r="O383" s="330"/>
      <c r="P383" s="330"/>
      <c r="Q383" s="330"/>
      <c r="R383" s="330"/>
      <c r="S383" s="330"/>
      <c r="T383" s="330"/>
      <c r="U383" s="330"/>
      <c r="V383" s="330"/>
      <c r="W383" s="330"/>
      <c r="X383" s="330"/>
      <c r="Y383" s="330"/>
      <c r="Z383" s="330"/>
      <c r="AA383" s="330"/>
      <c r="AB383" s="330"/>
      <c r="AC383" s="330"/>
    </row>
    <row r="384" spans="1:29" x14ac:dyDescent="0.25">
      <c r="A384" s="330"/>
      <c r="B384" s="330"/>
      <c r="C384" s="330"/>
      <c r="D384" s="330"/>
      <c r="E384" s="330"/>
      <c r="F384" s="330"/>
      <c r="G384" s="330"/>
      <c r="H384" s="330"/>
      <c r="I384" s="330"/>
      <c r="J384" s="330"/>
      <c r="K384" s="330"/>
      <c r="L384" s="330"/>
      <c r="M384" s="330"/>
      <c r="N384" s="330"/>
      <c r="O384" s="330"/>
      <c r="P384" s="330"/>
      <c r="Q384" s="330"/>
      <c r="R384" s="330"/>
      <c r="S384" s="330"/>
      <c r="T384" s="330"/>
      <c r="U384" s="330"/>
      <c r="V384" s="330"/>
      <c r="W384" s="330"/>
      <c r="X384" s="330"/>
      <c r="Y384" s="330"/>
      <c r="Z384" s="330"/>
      <c r="AA384" s="330"/>
      <c r="AB384" s="330"/>
      <c r="AC384" s="330"/>
    </row>
    <row r="385" spans="1:29" x14ac:dyDescent="0.25">
      <c r="A385" s="330"/>
      <c r="B385" s="330"/>
      <c r="C385" s="330"/>
      <c r="D385" s="330"/>
      <c r="E385" s="330"/>
      <c r="F385" s="330"/>
      <c r="G385" s="330"/>
      <c r="H385" s="330"/>
      <c r="I385" s="330"/>
      <c r="J385" s="330"/>
      <c r="K385" s="330"/>
      <c r="L385" s="330"/>
      <c r="M385" s="330"/>
      <c r="N385" s="330"/>
      <c r="O385" s="330"/>
      <c r="P385" s="330"/>
      <c r="Q385" s="330"/>
      <c r="R385" s="330"/>
      <c r="S385" s="330"/>
      <c r="T385" s="330"/>
      <c r="U385" s="330"/>
      <c r="V385" s="330"/>
      <c r="W385" s="330"/>
      <c r="X385" s="330"/>
      <c r="Y385" s="330"/>
      <c r="Z385" s="330"/>
      <c r="AA385" s="330"/>
      <c r="AB385" s="330"/>
      <c r="AC385" s="330"/>
    </row>
    <row r="386" spans="1:29" x14ac:dyDescent="0.25">
      <c r="A386" s="330"/>
      <c r="B386" s="330"/>
      <c r="C386" s="330"/>
      <c r="D386" s="330"/>
      <c r="E386" s="330"/>
      <c r="F386" s="330"/>
      <c r="G386" s="330"/>
      <c r="H386" s="330"/>
      <c r="I386" s="330"/>
      <c r="J386" s="330"/>
      <c r="K386" s="330"/>
      <c r="L386" s="330"/>
      <c r="M386" s="330"/>
      <c r="N386" s="330"/>
      <c r="O386" s="330"/>
      <c r="P386" s="330"/>
      <c r="Q386" s="330"/>
      <c r="R386" s="330"/>
      <c r="S386" s="330"/>
      <c r="T386" s="330"/>
      <c r="U386" s="330"/>
      <c r="V386" s="330"/>
      <c r="W386" s="330"/>
      <c r="X386" s="330"/>
      <c r="Y386" s="330"/>
      <c r="Z386" s="330"/>
      <c r="AA386" s="330"/>
      <c r="AB386" s="330"/>
      <c r="AC386" s="330"/>
    </row>
    <row r="387" spans="1:29" x14ac:dyDescent="0.25">
      <c r="A387" s="330"/>
      <c r="B387" s="330"/>
      <c r="C387" s="330"/>
      <c r="D387" s="330"/>
      <c r="E387" s="330"/>
      <c r="F387" s="330"/>
      <c r="G387" s="330"/>
      <c r="H387" s="330"/>
      <c r="I387" s="330"/>
      <c r="J387" s="330"/>
      <c r="K387" s="330"/>
      <c r="L387" s="330"/>
      <c r="M387" s="330"/>
      <c r="N387" s="330"/>
      <c r="O387" s="330"/>
      <c r="P387" s="330"/>
      <c r="Q387" s="330"/>
      <c r="R387" s="330"/>
      <c r="S387" s="330"/>
      <c r="T387" s="330"/>
      <c r="U387" s="330"/>
      <c r="V387" s="330"/>
      <c r="W387" s="330"/>
      <c r="X387" s="330"/>
      <c r="Y387" s="330"/>
      <c r="Z387" s="330"/>
      <c r="AA387" s="330"/>
      <c r="AB387" s="330"/>
      <c r="AC387" s="330"/>
    </row>
    <row r="388" spans="1:29" x14ac:dyDescent="0.25">
      <c r="A388" s="330"/>
      <c r="B388" s="330"/>
      <c r="C388" s="330"/>
      <c r="D388" s="330"/>
      <c r="E388" s="330"/>
      <c r="F388" s="330"/>
      <c r="G388" s="330"/>
      <c r="H388" s="330"/>
      <c r="I388" s="330"/>
      <c r="J388" s="330"/>
      <c r="K388" s="330"/>
      <c r="L388" s="330"/>
      <c r="M388" s="330"/>
      <c r="N388" s="330"/>
      <c r="O388" s="330"/>
      <c r="P388" s="330"/>
      <c r="Q388" s="330"/>
      <c r="R388" s="330"/>
      <c r="S388" s="330"/>
      <c r="T388" s="330"/>
      <c r="U388" s="330"/>
      <c r="V388" s="330"/>
      <c r="W388" s="330"/>
      <c r="X388" s="330"/>
      <c r="Y388" s="330"/>
      <c r="Z388" s="330"/>
      <c r="AA388" s="330"/>
      <c r="AB388" s="330"/>
      <c r="AC388" s="330"/>
    </row>
    <row r="389" spans="1:29" x14ac:dyDescent="0.25">
      <c r="A389" s="330"/>
      <c r="B389" s="330"/>
      <c r="C389" s="330"/>
      <c r="D389" s="330"/>
      <c r="E389" s="330"/>
      <c r="F389" s="330"/>
      <c r="G389" s="330"/>
      <c r="H389" s="330"/>
      <c r="I389" s="330"/>
      <c r="J389" s="330"/>
      <c r="K389" s="330"/>
      <c r="L389" s="330"/>
      <c r="M389" s="330"/>
      <c r="N389" s="330"/>
      <c r="O389" s="330"/>
      <c r="P389" s="330"/>
      <c r="Q389" s="330"/>
      <c r="R389" s="330"/>
      <c r="S389" s="330"/>
      <c r="T389" s="330"/>
      <c r="U389" s="330"/>
      <c r="V389" s="330"/>
      <c r="W389" s="330"/>
      <c r="X389" s="330"/>
      <c r="Y389" s="330"/>
      <c r="Z389" s="330"/>
      <c r="AA389" s="330"/>
      <c r="AB389" s="330"/>
      <c r="AC389" s="330"/>
    </row>
    <row r="390" spans="1:29" x14ac:dyDescent="0.25">
      <c r="A390" s="330"/>
      <c r="B390" s="330"/>
      <c r="C390" s="330"/>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330"/>
      <c r="AA390" s="330"/>
      <c r="AB390" s="330"/>
      <c r="AC390" s="330"/>
    </row>
    <row r="391" spans="1:29" x14ac:dyDescent="0.25">
      <c r="A391" s="330"/>
      <c r="B391" s="330"/>
      <c r="C391" s="330"/>
      <c r="D391" s="330"/>
      <c r="E391" s="330"/>
      <c r="F391" s="330"/>
      <c r="G391" s="330"/>
      <c r="H391" s="330"/>
      <c r="I391" s="330"/>
      <c r="J391" s="330"/>
      <c r="K391" s="330"/>
      <c r="L391" s="330"/>
      <c r="M391" s="330"/>
      <c r="N391" s="330"/>
      <c r="O391" s="330"/>
      <c r="P391" s="330"/>
      <c r="Q391" s="330"/>
      <c r="R391" s="330"/>
      <c r="S391" s="330"/>
      <c r="T391" s="330"/>
      <c r="U391" s="330"/>
      <c r="V391" s="330"/>
      <c r="W391" s="330"/>
      <c r="X391" s="330"/>
      <c r="Y391" s="330"/>
      <c r="Z391" s="330"/>
      <c r="AA391" s="330"/>
      <c r="AB391" s="330"/>
      <c r="AC391" s="330"/>
    </row>
    <row r="392" spans="1:29" x14ac:dyDescent="0.25">
      <c r="A392" s="330"/>
      <c r="B392" s="330"/>
      <c r="C392" s="330"/>
      <c r="D392" s="330"/>
      <c r="E392" s="330"/>
      <c r="F392" s="330"/>
      <c r="G392" s="330"/>
      <c r="H392" s="330"/>
      <c r="I392" s="330"/>
      <c r="J392" s="330"/>
      <c r="K392" s="330"/>
      <c r="L392" s="330"/>
      <c r="M392" s="330"/>
      <c r="N392" s="330"/>
      <c r="O392" s="330"/>
      <c r="P392" s="330"/>
      <c r="Q392" s="330"/>
      <c r="R392" s="330"/>
      <c r="S392" s="330"/>
      <c r="T392" s="330"/>
      <c r="U392" s="330"/>
      <c r="V392" s="330"/>
      <c r="W392" s="330"/>
      <c r="X392" s="330"/>
      <c r="Y392" s="330"/>
      <c r="Z392" s="330"/>
      <c r="AA392" s="330"/>
      <c r="AB392" s="330"/>
      <c r="AC392" s="330"/>
    </row>
    <row r="393" spans="1:29" x14ac:dyDescent="0.25">
      <c r="A393" s="330"/>
      <c r="B393" s="330"/>
      <c r="C393" s="330"/>
      <c r="D393" s="330"/>
      <c r="E393" s="330"/>
      <c r="F393" s="330"/>
      <c r="G393" s="330"/>
      <c r="H393" s="330"/>
      <c r="I393" s="330"/>
      <c r="J393" s="330"/>
      <c r="K393" s="330"/>
      <c r="L393" s="330"/>
      <c r="M393" s="330"/>
      <c r="N393" s="330"/>
      <c r="O393" s="330"/>
      <c r="P393" s="330"/>
      <c r="Q393" s="330"/>
      <c r="R393" s="330"/>
      <c r="S393" s="330"/>
      <c r="T393" s="330"/>
      <c r="U393" s="330"/>
      <c r="V393" s="330"/>
      <c r="W393" s="330"/>
      <c r="X393" s="330"/>
      <c r="Y393" s="330"/>
      <c r="Z393" s="330"/>
      <c r="AA393" s="330"/>
      <c r="AB393" s="330"/>
      <c r="AC393" s="330"/>
    </row>
    <row r="394" spans="1:29" x14ac:dyDescent="0.25">
      <c r="A394" s="330"/>
      <c r="B394" s="330"/>
      <c r="C394" s="330"/>
      <c r="D394" s="330"/>
      <c r="E394" s="330"/>
      <c r="F394" s="330"/>
      <c r="G394" s="330"/>
      <c r="H394" s="330"/>
      <c r="I394" s="330"/>
      <c r="J394" s="330"/>
      <c r="K394" s="330"/>
      <c r="L394" s="330"/>
      <c r="M394" s="330"/>
      <c r="N394" s="330"/>
      <c r="O394" s="330"/>
      <c r="P394" s="330"/>
      <c r="Q394" s="330"/>
      <c r="R394" s="330"/>
      <c r="S394" s="330"/>
      <c r="T394" s="330"/>
      <c r="U394" s="330"/>
      <c r="V394" s="330"/>
      <c r="W394" s="330"/>
      <c r="X394" s="330"/>
      <c r="Y394" s="330"/>
      <c r="Z394" s="330"/>
      <c r="AA394" s="330"/>
      <c r="AB394" s="330"/>
      <c r="AC394" s="330"/>
    </row>
    <row r="395" spans="1:29" x14ac:dyDescent="0.25">
      <c r="A395" s="330"/>
      <c r="B395" s="330"/>
      <c r="C395" s="330"/>
      <c r="D395" s="330"/>
      <c r="E395" s="330"/>
      <c r="F395" s="330"/>
      <c r="G395" s="330"/>
      <c r="H395" s="330"/>
      <c r="I395" s="330"/>
      <c r="J395" s="330"/>
      <c r="K395" s="330"/>
      <c r="L395" s="330"/>
      <c r="M395" s="330"/>
      <c r="N395" s="330"/>
      <c r="O395" s="330"/>
      <c r="P395" s="330"/>
      <c r="Q395" s="330"/>
      <c r="R395" s="330"/>
      <c r="S395" s="330"/>
      <c r="T395" s="330"/>
      <c r="U395" s="330"/>
      <c r="V395" s="330"/>
      <c r="W395" s="330"/>
      <c r="X395" s="330"/>
      <c r="Y395" s="330"/>
      <c r="Z395" s="330"/>
      <c r="AA395" s="330"/>
      <c r="AB395" s="330"/>
      <c r="AC395" s="330"/>
    </row>
    <row r="396" spans="1:29" x14ac:dyDescent="0.25">
      <c r="A396" s="330"/>
      <c r="B396" s="330"/>
      <c r="C396" s="330"/>
      <c r="D396" s="330"/>
      <c r="E396" s="330"/>
      <c r="F396" s="330"/>
      <c r="G396" s="330"/>
      <c r="H396" s="330"/>
      <c r="I396" s="330"/>
      <c r="J396" s="330"/>
      <c r="K396" s="330"/>
      <c r="L396" s="330"/>
      <c r="M396" s="330"/>
      <c r="N396" s="330"/>
      <c r="O396" s="330"/>
      <c r="P396" s="330"/>
      <c r="Q396" s="330"/>
      <c r="R396" s="330"/>
      <c r="S396" s="330"/>
      <c r="T396" s="330"/>
      <c r="U396" s="330"/>
      <c r="V396" s="330"/>
      <c r="W396" s="330"/>
      <c r="X396" s="330"/>
      <c r="Y396" s="330"/>
      <c r="Z396" s="330"/>
      <c r="AA396" s="330"/>
      <c r="AB396" s="330"/>
      <c r="AC396" s="330"/>
    </row>
    <row r="397" spans="1:29" x14ac:dyDescent="0.25">
      <c r="A397" s="330"/>
      <c r="B397" s="330"/>
      <c r="C397" s="330"/>
      <c r="D397" s="330"/>
      <c r="E397" s="330"/>
      <c r="F397" s="330"/>
      <c r="G397" s="330"/>
      <c r="H397" s="330"/>
      <c r="I397" s="330"/>
      <c r="J397" s="330"/>
      <c r="K397" s="330"/>
      <c r="L397" s="330"/>
      <c r="M397" s="330"/>
      <c r="N397" s="330"/>
      <c r="O397" s="330"/>
      <c r="P397" s="330"/>
      <c r="Q397" s="330"/>
      <c r="R397" s="330"/>
      <c r="S397" s="330"/>
      <c r="T397" s="330"/>
      <c r="U397" s="330"/>
      <c r="V397" s="330"/>
      <c r="W397" s="330"/>
      <c r="X397" s="330"/>
      <c r="Y397" s="330"/>
      <c r="Z397" s="330"/>
      <c r="AA397" s="330"/>
      <c r="AB397" s="330"/>
      <c r="AC397" s="330"/>
    </row>
    <row r="398" spans="1:29" x14ac:dyDescent="0.25">
      <c r="A398" s="330"/>
      <c r="B398" s="330"/>
      <c r="C398" s="330"/>
      <c r="D398" s="330"/>
      <c r="E398" s="330"/>
      <c r="F398" s="330"/>
      <c r="G398" s="330"/>
      <c r="H398" s="330"/>
      <c r="I398" s="330"/>
      <c r="J398" s="330"/>
      <c r="K398" s="330"/>
      <c r="L398" s="330"/>
      <c r="M398" s="330"/>
      <c r="N398" s="330"/>
      <c r="O398" s="330"/>
      <c r="P398" s="330"/>
      <c r="Q398" s="330"/>
      <c r="R398" s="330"/>
      <c r="S398" s="330"/>
      <c r="T398" s="330"/>
      <c r="U398" s="330"/>
      <c r="V398" s="330"/>
      <c r="W398" s="330"/>
      <c r="X398" s="330"/>
      <c r="Y398" s="330"/>
      <c r="Z398" s="330"/>
      <c r="AA398" s="330"/>
      <c r="AB398" s="330"/>
      <c r="AC398" s="330"/>
    </row>
    <row r="399" spans="1:29" x14ac:dyDescent="0.25">
      <c r="A399" s="330"/>
      <c r="B399" s="330"/>
      <c r="C399" s="330"/>
      <c r="D399" s="330"/>
      <c r="E399" s="330"/>
      <c r="F399" s="330"/>
      <c r="G399" s="330"/>
      <c r="H399" s="330"/>
      <c r="I399" s="330"/>
      <c r="J399" s="330"/>
      <c r="K399" s="330"/>
      <c r="L399" s="330"/>
      <c r="M399" s="330"/>
      <c r="N399" s="330"/>
      <c r="O399" s="330"/>
      <c r="P399" s="330"/>
      <c r="Q399" s="330"/>
      <c r="R399" s="330"/>
      <c r="S399" s="330"/>
      <c r="T399" s="330"/>
      <c r="U399" s="330"/>
      <c r="V399" s="330"/>
      <c r="W399" s="330"/>
      <c r="X399" s="330"/>
      <c r="Y399" s="330"/>
      <c r="Z399" s="330"/>
      <c r="AA399" s="330"/>
      <c r="AB399" s="330"/>
      <c r="AC399" s="330"/>
    </row>
    <row r="400" spans="1:29" x14ac:dyDescent="0.25">
      <c r="A400" s="330"/>
      <c r="B400" s="330"/>
      <c r="C400" s="330"/>
      <c r="D400" s="330"/>
      <c r="E400" s="330"/>
      <c r="F400" s="330"/>
      <c r="G400" s="330"/>
      <c r="H400" s="330"/>
      <c r="I400" s="330"/>
      <c r="J400" s="330"/>
      <c r="K400" s="330"/>
      <c r="L400" s="330"/>
      <c r="M400" s="330"/>
      <c r="N400" s="330"/>
      <c r="O400" s="330"/>
      <c r="P400" s="330"/>
      <c r="Q400" s="330"/>
      <c r="R400" s="330"/>
      <c r="S400" s="330"/>
      <c r="T400" s="330"/>
      <c r="U400" s="330"/>
      <c r="V400" s="330"/>
      <c r="W400" s="330"/>
      <c r="X400" s="330"/>
      <c r="Y400" s="330"/>
      <c r="Z400" s="330"/>
      <c r="AA400" s="330"/>
      <c r="AB400" s="330"/>
      <c r="AC400" s="330"/>
    </row>
    <row r="401" spans="1:29" x14ac:dyDescent="0.25">
      <c r="A401" s="330"/>
      <c r="B401" s="330"/>
      <c r="C401" s="330"/>
      <c r="D401" s="330"/>
      <c r="E401" s="330"/>
      <c r="F401" s="330"/>
      <c r="G401" s="330"/>
      <c r="H401" s="330"/>
      <c r="I401" s="330"/>
      <c r="J401" s="330"/>
      <c r="K401" s="330"/>
      <c r="L401" s="330"/>
      <c r="M401" s="330"/>
      <c r="N401" s="330"/>
      <c r="O401" s="330"/>
      <c r="P401" s="330"/>
      <c r="Q401" s="330"/>
      <c r="R401" s="330"/>
      <c r="S401" s="330"/>
      <c r="T401" s="330"/>
      <c r="U401" s="330"/>
      <c r="V401" s="330"/>
      <c r="W401" s="330"/>
      <c r="X401" s="330"/>
      <c r="Y401" s="330"/>
      <c r="Z401" s="330"/>
      <c r="AA401" s="330"/>
      <c r="AB401" s="330"/>
      <c r="AC401" s="330"/>
    </row>
    <row r="402" spans="1:29" x14ac:dyDescent="0.25">
      <c r="A402" s="330"/>
      <c r="B402" s="330"/>
      <c r="C402" s="330"/>
      <c r="D402" s="330"/>
      <c r="E402" s="330"/>
      <c r="F402" s="330"/>
      <c r="G402" s="330"/>
      <c r="H402" s="330"/>
      <c r="I402" s="330"/>
      <c r="J402" s="330"/>
      <c r="K402" s="330"/>
      <c r="L402" s="330"/>
      <c r="M402" s="330"/>
      <c r="N402" s="330"/>
      <c r="O402" s="330"/>
      <c r="P402" s="330"/>
      <c r="Q402" s="330"/>
      <c r="R402" s="330"/>
      <c r="S402" s="330"/>
      <c r="T402" s="330"/>
      <c r="U402" s="330"/>
      <c r="V402" s="330"/>
      <c r="W402" s="330"/>
      <c r="X402" s="330"/>
      <c r="Y402" s="330"/>
      <c r="Z402" s="330"/>
      <c r="AA402" s="330"/>
      <c r="AB402" s="330"/>
      <c r="AC402" s="330"/>
    </row>
    <row r="403" spans="1:29" x14ac:dyDescent="0.25">
      <c r="A403" s="330"/>
      <c r="B403" s="330"/>
      <c r="C403" s="330"/>
      <c r="D403" s="330"/>
      <c r="E403" s="330"/>
      <c r="F403" s="330"/>
      <c r="G403" s="330"/>
      <c r="H403" s="330"/>
      <c r="I403" s="330"/>
      <c r="J403" s="330"/>
      <c r="K403" s="330"/>
      <c r="L403" s="330"/>
      <c r="M403" s="330"/>
      <c r="N403" s="330"/>
      <c r="O403" s="330"/>
      <c r="P403" s="330"/>
      <c r="Q403" s="330"/>
      <c r="R403" s="330"/>
      <c r="S403" s="330"/>
      <c r="T403" s="330"/>
      <c r="U403" s="330"/>
      <c r="V403" s="330"/>
      <c r="W403" s="330"/>
      <c r="X403" s="330"/>
      <c r="Y403" s="330"/>
      <c r="Z403" s="330"/>
      <c r="AA403" s="330"/>
      <c r="AB403" s="330"/>
      <c r="AC403" s="330"/>
    </row>
    <row r="404" spans="1:29" x14ac:dyDescent="0.25">
      <c r="A404" s="330"/>
      <c r="B404" s="330"/>
      <c r="C404" s="330"/>
      <c r="D404" s="330"/>
      <c r="E404" s="330"/>
      <c r="F404" s="330"/>
      <c r="G404" s="330"/>
      <c r="H404" s="330"/>
      <c r="I404" s="330"/>
      <c r="J404" s="330"/>
      <c r="K404" s="330"/>
      <c r="L404" s="330"/>
      <c r="M404" s="330"/>
      <c r="N404" s="330"/>
      <c r="O404" s="330"/>
      <c r="P404" s="330"/>
      <c r="Q404" s="330"/>
      <c r="R404" s="330"/>
      <c r="S404" s="330"/>
      <c r="T404" s="330"/>
      <c r="U404" s="330"/>
      <c r="V404" s="330"/>
      <c r="W404" s="330"/>
      <c r="X404" s="330"/>
      <c r="Y404" s="330"/>
      <c r="Z404" s="330"/>
      <c r="AA404" s="330"/>
      <c r="AB404" s="330"/>
      <c r="AC404" s="330"/>
    </row>
    <row r="405" spans="1:29" x14ac:dyDescent="0.25">
      <c r="A405" s="330"/>
      <c r="B405" s="330"/>
      <c r="C405" s="330"/>
      <c r="D405" s="330"/>
      <c r="E405" s="330"/>
      <c r="F405" s="330"/>
      <c r="G405" s="330"/>
      <c r="H405" s="330"/>
      <c r="I405" s="330"/>
      <c r="J405" s="330"/>
      <c r="K405" s="330"/>
      <c r="L405" s="330"/>
      <c r="M405" s="330"/>
      <c r="N405" s="330"/>
      <c r="O405" s="330"/>
      <c r="P405" s="330"/>
      <c r="Q405" s="330"/>
      <c r="R405" s="330"/>
      <c r="S405" s="330"/>
      <c r="T405" s="330"/>
      <c r="U405" s="330"/>
      <c r="V405" s="330"/>
      <c r="W405" s="330"/>
      <c r="X405" s="330"/>
      <c r="Y405" s="330"/>
      <c r="Z405" s="330"/>
      <c r="AA405" s="330"/>
      <c r="AB405" s="330"/>
      <c r="AC405" s="330"/>
    </row>
    <row r="406" spans="1:29" x14ac:dyDescent="0.25">
      <c r="A406" s="330"/>
      <c r="B406" s="330"/>
      <c r="C406" s="330"/>
      <c r="D406" s="330"/>
      <c r="E406" s="330"/>
      <c r="F406" s="330"/>
      <c r="G406" s="330"/>
      <c r="H406" s="330"/>
      <c r="I406" s="330"/>
      <c r="J406" s="330"/>
      <c r="K406" s="330"/>
      <c r="L406" s="330"/>
      <c r="M406" s="330"/>
      <c r="N406" s="330"/>
      <c r="O406" s="330"/>
      <c r="P406" s="330"/>
      <c r="Q406" s="330"/>
      <c r="R406" s="330"/>
      <c r="S406" s="330"/>
      <c r="T406" s="330"/>
      <c r="U406" s="330"/>
      <c r="V406" s="330"/>
      <c r="W406" s="330"/>
      <c r="X406" s="330"/>
      <c r="Y406" s="330"/>
      <c r="Z406" s="330"/>
      <c r="AA406" s="330"/>
      <c r="AB406" s="330"/>
      <c r="AC406" s="330"/>
    </row>
    <row r="407" spans="1:29" x14ac:dyDescent="0.25">
      <c r="A407" s="330"/>
      <c r="B407" s="330"/>
      <c r="C407" s="330"/>
      <c r="D407" s="330"/>
      <c r="E407" s="330"/>
      <c r="F407" s="330"/>
      <c r="G407" s="330"/>
      <c r="H407" s="330"/>
      <c r="I407" s="330"/>
      <c r="J407" s="330"/>
      <c r="K407" s="330"/>
      <c r="L407" s="330"/>
      <c r="M407" s="330"/>
      <c r="N407" s="330"/>
      <c r="O407" s="330"/>
      <c r="P407" s="330"/>
      <c r="Q407" s="330"/>
      <c r="R407" s="330"/>
      <c r="S407" s="330"/>
      <c r="T407" s="330"/>
      <c r="U407" s="330"/>
      <c r="V407" s="330"/>
      <c r="W407" s="330"/>
      <c r="X407" s="330"/>
      <c r="Y407" s="330"/>
      <c r="Z407" s="330"/>
      <c r="AA407" s="330"/>
      <c r="AB407" s="330"/>
      <c r="AC407" s="330"/>
    </row>
    <row r="408" spans="1:29" x14ac:dyDescent="0.25">
      <c r="A408" s="330"/>
      <c r="B408" s="330"/>
      <c r="C408" s="330"/>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330"/>
      <c r="AA408" s="330"/>
      <c r="AB408" s="330"/>
      <c r="AC408" s="330"/>
    </row>
    <row r="409" spans="1:29" x14ac:dyDescent="0.25">
      <c r="A409" s="330"/>
      <c r="B409" s="330"/>
      <c r="C409" s="330"/>
      <c r="D409" s="330"/>
      <c r="E409" s="330"/>
      <c r="F409" s="330"/>
      <c r="G409" s="330"/>
      <c r="H409" s="330"/>
      <c r="I409" s="330"/>
      <c r="J409" s="330"/>
      <c r="K409" s="330"/>
      <c r="L409" s="330"/>
      <c r="M409" s="330"/>
      <c r="N409" s="330"/>
      <c r="O409" s="330"/>
      <c r="P409" s="330"/>
      <c r="Q409" s="330"/>
      <c r="R409" s="330"/>
      <c r="S409" s="330"/>
      <c r="T409" s="330"/>
      <c r="U409" s="330"/>
      <c r="V409" s="330"/>
      <c r="W409" s="330"/>
      <c r="X409" s="330"/>
      <c r="Y409" s="330"/>
      <c r="Z409" s="330"/>
      <c r="AA409" s="330"/>
      <c r="AB409" s="330"/>
      <c r="AC409" s="330"/>
    </row>
    <row r="410" spans="1:29" x14ac:dyDescent="0.25">
      <c r="A410" s="330"/>
      <c r="B410" s="330"/>
      <c r="C410" s="330"/>
      <c r="D410" s="330"/>
      <c r="E410" s="330"/>
      <c r="F410" s="330"/>
      <c r="G410" s="330"/>
      <c r="H410" s="330"/>
      <c r="I410" s="330"/>
      <c r="J410" s="330"/>
      <c r="K410" s="330"/>
      <c r="L410" s="330"/>
      <c r="M410" s="330"/>
      <c r="N410" s="330"/>
      <c r="O410" s="330"/>
      <c r="P410" s="330"/>
      <c r="Q410" s="330"/>
      <c r="R410" s="330"/>
      <c r="S410" s="330"/>
      <c r="T410" s="330"/>
      <c r="U410" s="330"/>
      <c r="V410" s="330"/>
      <c r="W410" s="330"/>
      <c r="X410" s="330"/>
      <c r="Y410" s="330"/>
      <c r="Z410" s="330"/>
      <c r="AA410" s="330"/>
      <c r="AB410" s="330"/>
      <c r="AC410" s="330"/>
    </row>
    <row r="411" spans="1:29" x14ac:dyDescent="0.25">
      <c r="A411" s="330"/>
      <c r="B411" s="330"/>
      <c r="C411" s="330"/>
      <c r="D411" s="330"/>
      <c r="E411" s="330"/>
      <c r="F411" s="330"/>
      <c r="G411" s="330"/>
      <c r="H411" s="330"/>
      <c r="I411" s="330"/>
      <c r="J411" s="330"/>
      <c r="K411" s="330"/>
      <c r="L411" s="330"/>
      <c r="M411" s="330"/>
      <c r="N411" s="330"/>
      <c r="O411" s="330"/>
      <c r="P411" s="330"/>
      <c r="Q411" s="330"/>
      <c r="R411" s="330"/>
      <c r="S411" s="330"/>
      <c r="T411" s="330"/>
      <c r="U411" s="330"/>
      <c r="V411" s="330"/>
      <c r="W411" s="330"/>
      <c r="X411" s="330"/>
      <c r="Y411" s="330"/>
      <c r="Z411" s="330"/>
      <c r="AA411" s="330"/>
      <c r="AB411" s="330"/>
      <c r="AC411" s="330"/>
    </row>
    <row r="412" spans="1:29" x14ac:dyDescent="0.25">
      <c r="A412" s="330"/>
      <c r="B412" s="330"/>
      <c r="C412" s="330"/>
      <c r="D412" s="330"/>
      <c r="E412" s="330"/>
      <c r="F412" s="330"/>
      <c r="G412" s="330"/>
      <c r="H412" s="330"/>
      <c r="I412" s="330"/>
      <c r="J412" s="330"/>
      <c r="K412" s="330"/>
      <c r="L412" s="330"/>
      <c r="M412" s="330"/>
      <c r="N412" s="330"/>
      <c r="O412" s="330"/>
      <c r="P412" s="330"/>
      <c r="Q412" s="330"/>
      <c r="R412" s="330"/>
      <c r="S412" s="330"/>
      <c r="T412" s="330"/>
      <c r="U412" s="330"/>
      <c r="V412" s="330"/>
      <c r="W412" s="330"/>
      <c r="X412" s="330"/>
      <c r="Y412" s="330"/>
      <c r="Z412" s="330"/>
      <c r="AA412" s="330"/>
      <c r="AB412" s="330"/>
      <c r="AC412" s="330"/>
    </row>
    <row r="413" spans="1:29" x14ac:dyDescent="0.25">
      <c r="A413" s="330"/>
      <c r="B413" s="330"/>
      <c r="C413" s="330"/>
      <c r="D413" s="330"/>
      <c r="E413" s="330"/>
      <c r="F413" s="330"/>
      <c r="G413" s="330"/>
      <c r="H413" s="330"/>
      <c r="I413" s="330"/>
      <c r="J413" s="330"/>
      <c r="K413" s="330"/>
      <c r="L413" s="330"/>
      <c r="M413" s="330"/>
      <c r="N413" s="330"/>
      <c r="O413" s="330"/>
      <c r="P413" s="330"/>
      <c r="Q413" s="330"/>
      <c r="R413" s="330"/>
      <c r="S413" s="330"/>
      <c r="T413" s="330"/>
      <c r="U413" s="330"/>
      <c r="V413" s="330"/>
      <c r="W413" s="330"/>
      <c r="X413" s="330"/>
      <c r="Y413" s="330"/>
      <c r="Z413" s="330"/>
      <c r="AA413" s="330"/>
      <c r="AB413" s="330"/>
      <c r="AC413" s="330"/>
    </row>
    <row r="414" spans="1:29" x14ac:dyDescent="0.25">
      <c r="A414" s="330"/>
      <c r="B414" s="330"/>
      <c r="C414" s="330"/>
      <c r="D414" s="330"/>
      <c r="E414" s="330"/>
      <c r="F414" s="330"/>
      <c r="G414" s="330"/>
      <c r="H414" s="330"/>
      <c r="I414" s="330"/>
      <c r="J414" s="330"/>
      <c r="K414" s="330"/>
      <c r="L414" s="330"/>
      <c r="M414" s="330"/>
      <c r="N414" s="330"/>
      <c r="O414" s="330"/>
      <c r="P414" s="330"/>
      <c r="Q414" s="330"/>
      <c r="R414" s="330"/>
      <c r="S414" s="330"/>
      <c r="T414" s="330"/>
      <c r="U414" s="330"/>
      <c r="V414" s="330"/>
      <c r="W414" s="330"/>
      <c r="X414" s="330"/>
      <c r="Y414" s="330"/>
      <c r="Z414" s="330"/>
      <c r="AA414" s="330"/>
      <c r="AB414" s="330"/>
      <c r="AC414" s="330"/>
    </row>
    <row r="415" spans="1:29" x14ac:dyDescent="0.25">
      <c r="A415" s="330"/>
      <c r="B415" s="330"/>
      <c r="C415" s="330"/>
      <c r="D415" s="330"/>
      <c r="E415" s="330"/>
      <c r="F415" s="330"/>
      <c r="G415" s="330"/>
      <c r="H415" s="330"/>
      <c r="I415" s="330"/>
      <c r="J415" s="330"/>
      <c r="K415" s="330"/>
      <c r="L415" s="330"/>
      <c r="M415" s="330"/>
      <c r="N415" s="330"/>
      <c r="O415" s="330"/>
      <c r="P415" s="330"/>
      <c r="Q415" s="330"/>
      <c r="R415" s="330"/>
      <c r="S415" s="330"/>
      <c r="T415" s="330"/>
      <c r="U415" s="330"/>
      <c r="V415" s="330"/>
      <c r="W415" s="330"/>
      <c r="X415" s="330"/>
      <c r="Y415" s="330"/>
      <c r="Z415" s="330"/>
      <c r="AA415" s="330"/>
      <c r="AB415" s="330"/>
      <c r="AC415" s="330"/>
    </row>
    <row r="416" spans="1:29" x14ac:dyDescent="0.25">
      <c r="A416" s="330"/>
      <c r="B416" s="330"/>
      <c r="C416" s="330"/>
      <c r="D416" s="330"/>
      <c r="E416" s="330"/>
      <c r="F416" s="330"/>
      <c r="G416" s="330"/>
      <c r="H416" s="330"/>
      <c r="I416" s="330"/>
      <c r="J416" s="330"/>
      <c r="K416" s="330"/>
      <c r="L416" s="330"/>
      <c r="M416" s="330"/>
      <c r="N416" s="330"/>
      <c r="O416" s="330"/>
      <c r="P416" s="330"/>
      <c r="Q416" s="330"/>
      <c r="R416" s="330"/>
      <c r="S416" s="330"/>
      <c r="T416" s="330"/>
      <c r="U416" s="330"/>
      <c r="V416" s="330"/>
      <c r="W416" s="330"/>
      <c r="X416" s="330"/>
      <c r="Y416" s="330"/>
      <c r="Z416" s="330"/>
      <c r="AA416" s="330"/>
      <c r="AB416" s="330"/>
      <c r="AC416" s="330"/>
    </row>
    <row r="417" spans="1:29" x14ac:dyDescent="0.25">
      <c r="A417" s="330"/>
      <c r="B417" s="330"/>
      <c r="C417" s="330"/>
      <c r="D417" s="330"/>
      <c r="E417" s="330"/>
      <c r="F417" s="330"/>
      <c r="G417" s="330"/>
      <c r="H417" s="330"/>
      <c r="I417" s="330"/>
      <c r="J417" s="330"/>
      <c r="K417" s="330"/>
      <c r="L417" s="330"/>
      <c r="M417" s="330"/>
      <c r="N417" s="330"/>
      <c r="O417" s="330"/>
      <c r="P417" s="330"/>
      <c r="Q417" s="330"/>
      <c r="R417" s="330"/>
      <c r="S417" s="330"/>
      <c r="T417" s="330"/>
      <c r="U417" s="330"/>
      <c r="V417" s="330"/>
      <c r="W417" s="330"/>
      <c r="X417" s="330"/>
      <c r="Y417" s="330"/>
      <c r="Z417" s="330"/>
      <c r="AA417" s="330"/>
      <c r="AB417" s="330"/>
      <c r="AC417" s="330"/>
    </row>
    <row r="418" spans="1:29" x14ac:dyDescent="0.25">
      <c r="A418" s="330"/>
      <c r="B418" s="330"/>
      <c r="C418" s="330"/>
      <c r="D418" s="330"/>
      <c r="E418" s="330"/>
      <c r="F418" s="330"/>
      <c r="G418" s="330"/>
      <c r="H418" s="330"/>
      <c r="I418" s="330"/>
      <c r="J418" s="330"/>
      <c r="K418" s="330"/>
      <c r="L418" s="330"/>
      <c r="M418" s="330"/>
      <c r="N418" s="330"/>
      <c r="O418" s="330"/>
      <c r="P418" s="330"/>
      <c r="Q418" s="330"/>
      <c r="R418" s="330"/>
      <c r="S418" s="330"/>
      <c r="T418" s="330"/>
      <c r="U418" s="330"/>
      <c r="V418" s="330"/>
      <c r="W418" s="330"/>
      <c r="X418" s="330"/>
      <c r="Y418" s="330"/>
      <c r="Z418" s="330"/>
      <c r="AA418" s="330"/>
      <c r="AB418" s="330"/>
      <c r="AC418" s="330"/>
    </row>
    <row r="419" spans="1:29" x14ac:dyDescent="0.25">
      <c r="A419" s="330"/>
      <c r="B419" s="330"/>
      <c r="C419" s="330"/>
      <c r="D419" s="330"/>
      <c r="E419" s="330"/>
      <c r="F419" s="330"/>
      <c r="G419" s="330"/>
      <c r="H419" s="330"/>
      <c r="I419" s="330"/>
      <c r="J419" s="330"/>
      <c r="K419" s="330"/>
      <c r="L419" s="330"/>
      <c r="M419" s="330"/>
      <c r="N419" s="330"/>
      <c r="O419" s="330"/>
      <c r="P419" s="330"/>
      <c r="Q419" s="330"/>
      <c r="R419" s="330"/>
      <c r="S419" s="330"/>
      <c r="T419" s="330"/>
      <c r="U419" s="330"/>
      <c r="V419" s="330"/>
      <c r="W419" s="330"/>
      <c r="X419" s="330"/>
      <c r="Y419" s="330"/>
      <c r="Z419" s="330"/>
      <c r="AA419" s="330"/>
      <c r="AB419" s="330"/>
      <c r="AC419" s="330"/>
    </row>
    <row r="420" spans="1:29" x14ac:dyDescent="0.25">
      <c r="A420" s="330"/>
      <c r="B420" s="330"/>
      <c r="C420" s="330"/>
      <c r="D420" s="330"/>
      <c r="E420" s="330"/>
      <c r="F420" s="330"/>
      <c r="G420" s="330"/>
      <c r="H420" s="330"/>
      <c r="I420" s="330"/>
      <c r="J420" s="330"/>
      <c r="K420" s="330"/>
      <c r="L420" s="330"/>
      <c r="M420" s="330"/>
      <c r="N420" s="330"/>
      <c r="O420" s="330"/>
      <c r="P420" s="330"/>
      <c r="Q420" s="330"/>
      <c r="R420" s="330"/>
      <c r="S420" s="330"/>
      <c r="T420" s="330"/>
      <c r="U420" s="330"/>
      <c r="V420" s="330"/>
      <c r="W420" s="330"/>
      <c r="X420" s="330"/>
      <c r="Y420" s="330"/>
      <c r="Z420" s="330"/>
      <c r="AA420" s="330"/>
      <c r="AB420" s="330"/>
      <c r="AC420" s="330"/>
    </row>
    <row r="421" spans="1:29" x14ac:dyDescent="0.25">
      <c r="A421" s="330"/>
      <c r="B421" s="330"/>
      <c r="C421" s="330"/>
      <c r="D421" s="330"/>
      <c r="E421" s="330"/>
      <c r="F421" s="330"/>
      <c r="G421" s="330"/>
      <c r="H421" s="330"/>
      <c r="I421" s="330"/>
      <c r="J421" s="330"/>
      <c r="K421" s="330"/>
      <c r="L421" s="330"/>
      <c r="M421" s="330"/>
      <c r="N421" s="330"/>
      <c r="O421" s="330"/>
      <c r="P421" s="330"/>
      <c r="Q421" s="330"/>
      <c r="R421" s="330"/>
      <c r="S421" s="330"/>
      <c r="T421" s="330"/>
      <c r="U421" s="330"/>
      <c r="V421" s="330"/>
      <c r="W421" s="330"/>
      <c r="X421" s="330"/>
      <c r="Y421" s="330"/>
      <c r="Z421" s="330"/>
      <c r="AA421" s="330"/>
      <c r="AB421" s="330"/>
      <c r="AC421" s="330"/>
    </row>
    <row r="422" spans="1:29" x14ac:dyDescent="0.25">
      <c r="A422" s="330"/>
      <c r="B422" s="330"/>
      <c r="C422" s="330"/>
      <c r="D422" s="330"/>
      <c r="E422" s="330"/>
      <c r="F422" s="330"/>
      <c r="G422" s="330"/>
      <c r="H422" s="330"/>
      <c r="I422" s="330"/>
      <c r="J422" s="330"/>
      <c r="K422" s="330"/>
      <c r="L422" s="330"/>
      <c r="M422" s="330"/>
      <c r="N422" s="330"/>
      <c r="O422" s="330"/>
      <c r="P422" s="330"/>
      <c r="Q422" s="330"/>
      <c r="R422" s="330"/>
      <c r="S422" s="330"/>
      <c r="T422" s="330"/>
      <c r="U422" s="330"/>
      <c r="V422" s="330"/>
      <c r="W422" s="330"/>
      <c r="X422" s="330"/>
      <c r="Y422" s="330"/>
      <c r="Z422" s="330"/>
      <c r="AA422" s="330"/>
      <c r="AB422" s="330"/>
      <c r="AC422" s="330"/>
    </row>
    <row r="423" spans="1:29" x14ac:dyDescent="0.25">
      <c r="A423" s="330"/>
      <c r="B423" s="330"/>
      <c r="C423" s="330"/>
      <c r="D423" s="330"/>
      <c r="E423" s="330"/>
      <c r="F423" s="330"/>
      <c r="G423" s="330"/>
      <c r="H423" s="330"/>
      <c r="I423" s="330"/>
      <c r="J423" s="330"/>
      <c r="K423" s="330"/>
      <c r="L423" s="330"/>
      <c r="M423" s="330"/>
      <c r="N423" s="330"/>
      <c r="O423" s="330"/>
      <c r="P423" s="330"/>
      <c r="Q423" s="330"/>
      <c r="R423" s="330"/>
      <c r="S423" s="330"/>
      <c r="T423" s="330"/>
      <c r="U423" s="330"/>
      <c r="V423" s="330"/>
      <c r="W423" s="330"/>
      <c r="X423" s="330"/>
      <c r="Y423" s="330"/>
      <c r="Z423" s="330"/>
      <c r="AA423" s="330"/>
      <c r="AB423" s="330"/>
      <c r="AC423" s="330"/>
    </row>
    <row r="424" spans="1:29" x14ac:dyDescent="0.25">
      <c r="A424" s="330"/>
      <c r="B424" s="330"/>
      <c r="C424" s="330"/>
      <c r="D424" s="330"/>
      <c r="E424" s="330"/>
      <c r="F424" s="330"/>
      <c r="G424" s="330"/>
      <c r="H424" s="330"/>
      <c r="I424" s="330"/>
      <c r="J424" s="330"/>
      <c r="K424" s="330"/>
      <c r="L424" s="330"/>
      <c r="M424" s="330"/>
      <c r="N424" s="330"/>
      <c r="O424" s="330"/>
      <c r="P424" s="330"/>
      <c r="Q424" s="330"/>
      <c r="R424" s="330"/>
      <c r="S424" s="330"/>
      <c r="T424" s="330"/>
      <c r="U424" s="330"/>
      <c r="V424" s="330"/>
      <c r="W424" s="330"/>
      <c r="X424" s="330"/>
      <c r="Y424" s="330"/>
      <c r="Z424" s="330"/>
      <c r="AA424" s="330"/>
      <c r="AB424" s="330"/>
      <c r="AC424" s="330"/>
    </row>
    <row r="425" spans="1:29" x14ac:dyDescent="0.25">
      <c r="A425" s="330"/>
      <c r="B425" s="330"/>
      <c r="C425" s="330"/>
      <c r="D425" s="330"/>
      <c r="E425" s="330"/>
      <c r="F425" s="330"/>
      <c r="G425" s="330"/>
      <c r="H425" s="330"/>
      <c r="I425" s="330"/>
      <c r="J425" s="330"/>
      <c r="K425" s="330"/>
      <c r="L425" s="330"/>
      <c r="M425" s="330"/>
      <c r="N425" s="330"/>
      <c r="O425" s="330"/>
      <c r="P425" s="330"/>
      <c r="Q425" s="330"/>
      <c r="R425" s="330"/>
      <c r="S425" s="330"/>
      <c r="T425" s="330"/>
      <c r="U425" s="330"/>
      <c r="V425" s="330"/>
      <c r="W425" s="330"/>
      <c r="X425" s="330"/>
      <c r="Y425" s="330"/>
      <c r="Z425" s="330"/>
      <c r="AA425" s="330"/>
      <c r="AB425" s="330"/>
      <c r="AC425" s="330"/>
    </row>
    <row r="426" spans="1:29" x14ac:dyDescent="0.25">
      <c r="A426" s="330"/>
      <c r="B426" s="330"/>
      <c r="C426" s="330"/>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30"/>
      <c r="AA426" s="330"/>
      <c r="AB426" s="330"/>
      <c r="AC426" s="330"/>
    </row>
    <row r="427" spans="1:29" x14ac:dyDescent="0.25">
      <c r="A427" s="330"/>
      <c r="B427" s="330"/>
      <c r="C427" s="330"/>
      <c r="D427" s="330"/>
      <c r="E427" s="330"/>
      <c r="F427" s="330"/>
      <c r="G427" s="330"/>
      <c r="H427" s="330"/>
      <c r="I427" s="330"/>
      <c r="J427" s="330"/>
      <c r="K427" s="330"/>
      <c r="L427" s="330"/>
      <c r="M427" s="330"/>
      <c r="N427" s="330"/>
      <c r="O427" s="330"/>
      <c r="P427" s="330"/>
      <c r="Q427" s="330"/>
      <c r="R427" s="330"/>
      <c r="S427" s="330"/>
      <c r="T427" s="330"/>
      <c r="U427" s="330"/>
      <c r="V427" s="330"/>
      <c r="W427" s="330"/>
      <c r="X427" s="330"/>
      <c r="Y427" s="330"/>
      <c r="Z427" s="330"/>
      <c r="AA427" s="330"/>
      <c r="AB427" s="330"/>
      <c r="AC427" s="330"/>
    </row>
    <row r="428" spans="1:29" x14ac:dyDescent="0.25">
      <c r="A428" s="330"/>
      <c r="B428" s="330"/>
      <c r="C428" s="330"/>
      <c r="D428" s="330"/>
      <c r="E428" s="330"/>
      <c r="F428" s="330"/>
      <c r="G428" s="330"/>
      <c r="H428" s="330"/>
      <c r="I428" s="330"/>
      <c r="J428" s="330"/>
      <c r="K428" s="330"/>
      <c r="L428" s="330"/>
      <c r="M428" s="330"/>
      <c r="N428" s="330"/>
      <c r="O428" s="330"/>
      <c r="P428" s="330"/>
      <c r="Q428" s="330"/>
      <c r="R428" s="330"/>
      <c r="S428" s="330"/>
      <c r="T428" s="330"/>
      <c r="U428" s="330"/>
      <c r="V428" s="330"/>
      <c r="W428" s="330"/>
      <c r="X428" s="330"/>
      <c r="Y428" s="330"/>
      <c r="Z428" s="330"/>
      <c r="AA428" s="330"/>
      <c r="AB428" s="330"/>
      <c r="AC428" s="330"/>
    </row>
    <row r="429" spans="1:29" x14ac:dyDescent="0.25">
      <c r="A429" s="330"/>
      <c r="B429" s="330"/>
      <c r="C429" s="330"/>
      <c r="D429" s="330"/>
      <c r="E429" s="330"/>
      <c r="F429" s="330"/>
      <c r="G429" s="330"/>
      <c r="H429" s="330"/>
      <c r="I429" s="330"/>
      <c r="J429" s="330"/>
      <c r="K429" s="330"/>
      <c r="L429" s="330"/>
      <c r="M429" s="330"/>
      <c r="N429" s="330"/>
      <c r="O429" s="330"/>
      <c r="P429" s="330"/>
      <c r="Q429" s="330"/>
      <c r="R429" s="330"/>
      <c r="S429" s="330"/>
      <c r="T429" s="330"/>
      <c r="U429" s="330"/>
      <c r="V429" s="330"/>
      <c r="W429" s="330"/>
      <c r="X429" s="330"/>
      <c r="Y429" s="330"/>
      <c r="Z429" s="330"/>
      <c r="AA429" s="330"/>
      <c r="AB429" s="330"/>
      <c r="AC429" s="330"/>
    </row>
    <row r="430" spans="1:29" x14ac:dyDescent="0.25">
      <c r="A430" s="330"/>
      <c r="B430" s="330"/>
      <c r="C430" s="330"/>
      <c r="D430" s="330"/>
      <c r="E430" s="330"/>
      <c r="F430" s="330"/>
      <c r="G430" s="330"/>
      <c r="H430" s="330"/>
      <c r="I430" s="330"/>
      <c r="J430" s="330"/>
      <c r="K430" s="330"/>
      <c r="L430" s="330"/>
      <c r="M430" s="330"/>
      <c r="N430" s="330"/>
      <c r="O430" s="330"/>
      <c r="P430" s="330"/>
      <c r="Q430" s="330"/>
      <c r="R430" s="330"/>
      <c r="S430" s="330"/>
      <c r="T430" s="330"/>
      <c r="U430" s="330"/>
      <c r="V430" s="330"/>
      <c r="W430" s="330"/>
      <c r="X430" s="330"/>
      <c r="Y430" s="330"/>
      <c r="Z430" s="330"/>
      <c r="AA430" s="330"/>
      <c r="AB430" s="330"/>
      <c r="AC430" s="330"/>
    </row>
    <row r="431" spans="1:29" x14ac:dyDescent="0.25">
      <c r="A431" s="330"/>
      <c r="B431" s="330"/>
      <c r="C431" s="330"/>
      <c r="D431" s="330"/>
      <c r="E431" s="330"/>
      <c r="F431" s="330"/>
      <c r="G431" s="330"/>
      <c r="H431" s="330"/>
      <c r="I431" s="330"/>
      <c r="J431" s="330"/>
      <c r="K431" s="330"/>
      <c r="L431" s="330"/>
      <c r="M431" s="330"/>
      <c r="N431" s="330"/>
      <c r="O431" s="330"/>
      <c r="P431" s="330"/>
      <c r="Q431" s="330"/>
      <c r="R431" s="330"/>
      <c r="S431" s="330"/>
      <c r="T431" s="330"/>
      <c r="U431" s="330"/>
      <c r="V431" s="330"/>
      <c r="W431" s="330"/>
      <c r="X431" s="330"/>
      <c r="Y431" s="330"/>
      <c r="Z431" s="330"/>
      <c r="AA431" s="330"/>
      <c r="AB431" s="330"/>
      <c r="AC431" s="330"/>
    </row>
    <row r="432" spans="1:29" x14ac:dyDescent="0.25">
      <c r="A432" s="330"/>
      <c r="B432" s="330"/>
      <c r="C432" s="330"/>
      <c r="D432" s="330"/>
      <c r="E432" s="330"/>
      <c r="F432" s="330"/>
      <c r="G432" s="330"/>
      <c r="H432" s="330"/>
      <c r="I432" s="330"/>
      <c r="J432" s="330"/>
      <c r="K432" s="330"/>
      <c r="L432" s="330"/>
      <c r="M432" s="330"/>
      <c r="N432" s="330"/>
      <c r="O432" s="330"/>
      <c r="P432" s="330"/>
      <c r="Q432" s="330"/>
      <c r="R432" s="330"/>
      <c r="S432" s="330"/>
      <c r="T432" s="330"/>
      <c r="U432" s="330"/>
      <c r="V432" s="330"/>
      <c r="W432" s="330"/>
      <c r="X432" s="330"/>
      <c r="Y432" s="330"/>
      <c r="Z432" s="330"/>
      <c r="AA432" s="330"/>
      <c r="AB432" s="330"/>
      <c r="AC432" s="330"/>
    </row>
    <row r="433" spans="1:29" x14ac:dyDescent="0.25">
      <c r="A433" s="330"/>
      <c r="B433" s="330"/>
      <c r="C433" s="330"/>
      <c r="D433" s="330"/>
      <c r="E433" s="330"/>
      <c r="F433" s="330"/>
      <c r="G433" s="330"/>
      <c r="H433" s="330"/>
      <c r="I433" s="330"/>
      <c r="J433" s="330"/>
      <c r="K433" s="330"/>
      <c r="L433" s="330"/>
      <c r="M433" s="330"/>
      <c r="N433" s="330"/>
      <c r="O433" s="330"/>
      <c r="P433" s="330"/>
      <c r="Q433" s="330"/>
      <c r="R433" s="330"/>
      <c r="S433" s="330"/>
      <c r="T433" s="330"/>
      <c r="U433" s="330"/>
      <c r="V433" s="330"/>
      <c r="W433" s="330"/>
      <c r="X433" s="330"/>
      <c r="Y433" s="330"/>
      <c r="Z433" s="330"/>
      <c r="AA433" s="330"/>
      <c r="AB433" s="330"/>
      <c r="AC433" s="330"/>
    </row>
    <row r="434" spans="1:29" x14ac:dyDescent="0.25">
      <c r="A434" s="330"/>
      <c r="B434" s="330"/>
      <c r="C434" s="330"/>
      <c r="D434" s="330"/>
      <c r="E434" s="330"/>
      <c r="F434" s="330"/>
      <c r="G434" s="330"/>
      <c r="H434" s="330"/>
      <c r="I434" s="330"/>
      <c r="J434" s="330"/>
      <c r="K434" s="330"/>
      <c r="L434" s="330"/>
      <c r="M434" s="330"/>
      <c r="N434" s="330"/>
      <c r="O434" s="330"/>
      <c r="P434" s="330"/>
      <c r="Q434" s="330"/>
      <c r="R434" s="330"/>
      <c r="S434" s="330"/>
      <c r="T434" s="330"/>
      <c r="U434" s="330"/>
      <c r="V434" s="330"/>
      <c r="W434" s="330"/>
      <c r="X434" s="330"/>
      <c r="Y434" s="330"/>
      <c r="Z434" s="330"/>
      <c r="AA434" s="330"/>
      <c r="AB434" s="330"/>
      <c r="AC434" s="330"/>
    </row>
    <row r="435" spans="1:29" x14ac:dyDescent="0.25">
      <c r="A435" s="330"/>
      <c r="B435" s="330"/>
      <c r="C435" s="330"/>
      <c r="D435" s="330"/>
      <c r="E435" s="330"/>
      <c r="F435" s="330"/>
      <c r="G435" s="330"/>
      <c r="H435" s="330"/>
      <c r="I435" s="330"/>
      <c r="J435" s="330"/>
      <c r="K435" s="330"/>
      <c r="L435" s="330"/>
      <c r="M435" s="330"/>
      <c r="N435" s="330"/>
      <c r="O435" s="330"/>
      <c r="P435" s="330"/>
      <c r="Q435" s="330"/>
      <c r="R435" s="330"/>
      <c r="S435" s="330"/>
      <c r="T435" s="330"/>
      <c r="U435" s="330"/>
      <c r="V435" s="330"/>
      <c r="W435" s="330"/>
      <c r="X435" s="330"/>
      <c r="Y435" s="330"/>
      <c r="Z435" s="330"/>
      <c r="AA435" s="330"/>
      <c r="AB435" s="330"/>
      <c r="AC435" s="330"/>
    </row>
    <row r="436" spans="1:29" x14ac:dyDescent="0.25">
      <c r="A436" s="330"/>
      <c r="B436" s="330"/>
      <c r="C436" s="330"/>
      <c r="D436" s="330"/>
      <c r="E436" s="330"/>
      <c r="F436" s="330"/>
      <c r="G436" s="330"/>
      <c r="H436" s="330"/>
      <c r="I436" s="330"/>
      <c r="J436" s="330"/>
      <c r="K436" s="330"/>
      <c r="L436" s="330"/>
      <c r="M436" s="330"/>
      <c r="N436" s="330"/>
      <c r="O436" s="330"/>
      <c r="P436" s="330"/>
      <c r="Q436" s="330"/>
      <c r="R436" s="330"/>
      <c r="S436" s="330"/>
      <c r="T436" s="330"/>
      <c r="U436" s="330"/>
      <c r="V436" s="330"/>
      <c r="W436" s="330"/>
      <c r="X436" s="330"/>
      <c r="Y436" s="330"/>
      <c r="Z436" s="330"/>
      <c r="AA436" s="330"/>
      <c r="AB436" s="330"/>
      <c r="AC436" s="330"/>
    </row>
    <row r="437" spans="1:29" x14ac:dyDescent="0.25">
      <c r="A437" s="330"/>
      <c r="B437" s="330"/>
      <c r="C437" s="330"/>
      <c r="D437" s="330"/>
      <c r="E437" s="330"/>
      <c r="F437" s="330"/>
      <c r="G437" s="330"/>
      <c r="H437" s="330"/>
      <c r="I437" s="330"/>
      <c r="J437" s="330"/>
      <c r="K437" s="330"/>
      <c r="L437" s="330"/>
      <c r="M437" s="330"/>
      <c r="N437" s="330"/>
      <c r="O437" s="330"/>
      <c r="P437" s="330"/>
      <c r="Q437" s="330"/>
      <c r="R437" s="330"/>
      <c r="S437" s="330"/>
      <c r="T437" s="330"/>
      <c r="U437" s="330"/>
      <c r="V437" s="330"/>
      <c r="W437" s="330"/>
      <c r="X437" s="330"/>
      <c r="Y437" s="330"/>
      <c r="Z437" s="330"/>
      <c r="AA437" s="330"/>
      <c r="AB437" s="330"/>
      <c r="AC437" s="330"/>
    </row>
    <row r="438" spans="1:29" x14ac:dyDescent="0.25">
      <c r="A438" s="330"/>
      <c r="B438" s="330"/>
      <c r="C438" s="330"/>
      <c r="D438" s="330"/>
      <c r="E438" s="330"/>
      <c r="F438" s="330"/>
      <c r="G438" s="330"/>
      <c r="H438" s="330"/>
      <c r="I438" s="330"/>
      <c r="J438" s="330"/>
      <c r="K438" s="330"/>
      <c r="L438" s="330"/>
      <c r="M438" s="330"/>
      <c r="N438" s="330"/>
      <c r="O438" s="330"/>
      <c r="P438" s="330"/>
      <c r="Q438" s="330"/>
      <c r="R438" s="330"/>
      <c r="S438" s="330"/>
      <c r="T438" s="330"/>
      <c r="U438" s="330"/>
      <c r="V438" s="330"/>
      <c r="W438" s="330"/>
      <c r="X438" s="330"/>
      <c r="Y438" s="330"/>
      <c r="Z438" s="330"/>
      <c r="AA438" s="330"/>
      <c r="AB438" s="330"/>
      <c r="AC438" s="330"/>
    </row>
    <row r="439" spans="1:29" x14ac:dyDescent="0.25">
      <c r="A439" s="330"/>
      <c r="B439" s="330"/>
      <c r="C439" s="330"/>
      <c r="D439" s="330"/>
      <c r="E439" s="330"/>
      <c r="F439" s="330"/>
      <c r="G439" s="330"/>
      <c r="H439" s="330"/>
      <c r="I439" s="330"/>
      <c r="J439" s="330"/>
      <c r="K439" s="330"/>
      <c r="L439" s="330"/>
      <c r="M439" s="330"/>
      <c r="N439" s="330"/>
      <c r="O439" s="330"/>
      <c r="P439" s="330"/>
      <c r="Q439" s="330"/>
      <c r="R439" s="330"/>
      <c r="S439" s="330"/>
      <c r="T439" s="330"/>
      <c r="U439" s="330"/>
      <c r="V439" s="330"/>
      <c r="W439" s="330"/>
      <c r="X439" s="330"/>
      <c r="Y439" s="330"/>
      <c r="Z439" s="330"/>
      <c r="AA439" s="330"/>
      <c r="AB439" s="330"/>
      <c r="AC439" s="330"/>
    </row>
    <row r="440" spans="1:29" x14ac:dyDescent="0.25">
      <c r="A440" s="330"/>
      <c r="B440" s="330"/>
      <c r="C440" s="330"/>
      <c r="D440" s="330"/>
      <c r="E440" s="330"/>
      <c r="F440" s="330"/>
      <c r="G440" s="330"/>
      <c r="H440" s="330"/>
      <c r="I440" s="330"/>
      <c r="J440" s="330"/>
      <c r="K440" s="330"/>
      <c r="L440" s="330"/>
      <c r="M440" s="330"/>
      <c r="N440" s="330"/>
      <c r="O440" s="330"/>
      <c r="P440" s="330"/>
      <c r="Q440" s="330"/>
      <c r="R440" s="330"/>
      <c r="S440" s="330"/>
      <c r="T440" s="330"/>
      <c r="U440" s="330"/>
      <c r="V440" s="330"/>
      <c r="W440" s="330"/>
      <c r="X440" s="330"/>
      <c r="Y440" s="330"/>
      <c r="Z440" s="330"/>
      <c r="AA440" s="330"/>
      <c r="AB440" s="330"/>
      <c r="AC440" s="330"/>
    </row>
    <row r="441" spans="1:29" x14ac:dyDescent="0.25">
      <c r="A441" s="330"/>
      <c r="B441" s="330"/>
      <c r="C441" s="330"/>
      <c r="D441" s="330"/>
      <c r="E441" s="330"/>
      <c r="F441" s="330"/>
      <c r="G441" s="330"/>
      <c r="H441" s="330"/>
      <c r="I441" s="330"/>
      <c r="J441" s="330"/>
      <c r="K441" s="330"/>
      <c r="L441" s="330"/>
      <c r="M441" s="330"/>
      <c r="N441" s="330"/>
      <c r="O441" s="330"/>
      <c r="P441" s="330"/>
      <c r="Q441" s="330"/>
      <c r="R441" s="330"/>
      <c r="S441" s="330"/>
      <c r="T441" s="330"/>
      <c r="U441" s="330"/>
      <c r="V441" s="330"/>
      <c r="W441" s="330"/>
      <c r="X441" s="330"/>
      <c r="Y441" s="330"/>
      <c r="Z441" s="330"/>
      <c r="AA441" s="330"/>
      <c r="AB441" s="330"/>
      <c r="AC441" s="330"/>
    </row>
    <row r="442" spans="1:29" x14ac:dyDescent="0.25">
      <c r="A442" s="330"/>
      <c r="B442" s="330"/>
      <c r="C442" s="330"/>
      <c r="D442" s="330"/>
      <c r="E442" s="330"/>
      <c r="F442" s="330"/>
      <c r="G442" s="330"/>
      <c r="H442" s="330"/>
      <c r="I442" s="330"/>
      <c r="J442" s="330"/>
      <c r="K442" s="330"/>
      <c r="L442" s="330"/>
      <c r="M442" s="330"/>
      <c r="N442" s="330"/>
      <c r="O442" s="330"/>
      <c r="P442" s="330"/>
      <c r="Q442" s="330"/>
      <c r="R442" s="330"/>
      <c r="S442" s="330"/>
      <c r="T442" s="330"/>
      <c r="U442" s="330"/>
      <c r="V442" s="330"/>
      <c r="W442" s="330"/>
      <c r="X442" s="330"/>
      <c r="Y442" s="330"/>
      <c r="Z442" s="330"/>
      <c r="AA442" s="330"/>
      <c r="AB442" s="330"/>
      <c r="AC442" s="330"/>
    </row>
    <row r="443" spans="1:29" x14ac:dyDescent="0.25">
      <c r="A443" s="330"/>
      <c r="B443" s="330"/>
      <c r="C443" s="330"/>
      <c r="D443" s="330"/>
      <c r="E443" s="330"/>
      <c r="F443" s="330"/>
      <c r="G443" s="330"/>
      <c r="H443" s="330"/>
      <c r="I443" s="330"/>
      <c r="J443" s="330"/>
      <c r="K443" s="330"/>
      <c r="L443" s="330"/>
      <c r="M443" s="330"/>
      <c r="N443" s="330"/>
      <c r="O443" s="330"/>
      <c r="P443" s="330"/>
      <c r="Q443" s="330"/>
      <c r="R443" s="330"/>
      <c r="S443" s="330"/>
      <c r="T443" s="330"/>
      <c r="U443" s="330"/>
      <c r="V443" s="330"/>
      <c r="W443" s="330"/>
      <c r="X443" s="330"/>
      <c r="Y443" s="330"/>
      <c r="Z443" s="330"/>
      <c r="AA443" s="330"/>
      <c r="AB443" s="330"/>
      <c r="AC443" s="330"/>
    </row>
    <row r="444" spans="1:29" x14ac:dyDescent="0.25">
      <c r="A444" s="330"/>
      <c r="B444" s="330"/>
      <c r="C444" s="330"/>
      <c r="D444" s="330"/>
      <c r="E444" s="330"/>
      <c r="F444" s="330"/>
      <c r="G444" s="330"/>
      <c r="H444" s="330"/>
      <c r="I444" s="330"/>
      <c r="J444" s="330"/>
      <c r="K444" s="330"/>
      <c r="L444" s="330"/>
      <c r="M444" s="330"/>
      <c r="N444" s="330"/>
      <c r="O444" s="330"/>
      <c r="P444" s="330"/>
      <c r="Q444" s="330"/>
      <c r="R444" s="330"/>
      <c r="S444" s="330"/>
      <c r="T444" s="330"/>
      <c r="U444" s="330"/>
      <c r="V444" s="330"/>
      <c r="W444" s="330"/>
      <c r="X444" s="330"/>
      <c r="Y444" s="330"/>
      <c r="Z444" s="330"/>
      <c r="AA444" s="330"/>
      <c r="AB444" s="330"/>
      <c r="AC444" s="330"/>
    </row>
    <row r="445" spans="1:29" x14ac:dyDescent="0.25">
      <c r="A445" s="330"/>
      <c r="B445" s="330"/>
      <c r="C445" s="330"/>
      <c r="D445" s="330"/>
      <c r="E445" s="330"/>
      <c r="F445" s="330"/>
      <c r="G445" s="330"/>
      <c r="H445" s="330"/>
      <c r="I445" s="330"/>
      <c r="J445" s="330"/>
      <c r="K445" s="330"/>
      <c r="L445" s="330"/>
      <c r="M445" s="330"/>
      <c r="N445" s="330"/>
      <c r="O445" s="330"/>
      <c r="P445" s="330"/>
      <c r="Q445" s="330"/>
      <c r="R445" s="330"/>
      <c r="S445" s="330"/>
      <c r="T445" s="330"/>
      <c r="U445" s="330"/>
      <c r="V445" s="330"/>
      <c r="W445" s="330"/>
      <c r="X445" s="330"/>
      <c r="Y445" s="330"/>
      <c r="Z445" s="330"/>
      <c r="AA445" s="330"/>
      <c r="AB445" s="330"/>
      <c r="AC445" s="330"/>
    </row>
    <row r="446" spans="1:29" x14ac:dyDescent="0.25">
      <c r="A446" s="330"/>
      <c r="B446" s="330"/>
      <c r="C446" s="330"/>
      <c r="D446" s="330"/>
      <c r="E446" s="330"/>
      <c r="F446" s="330"/>
      <c r="G446" s="330"/>
      <c r="H446" s="330"/>
      <c r="I446" s="330"/>
      <c r="J446" s="330"/>
      <c r="K446" s="330"/>
      <c r="L446" s="330"/>
      <c r="M446" s="330"/>
      <c r="N446" s="330"/>
      <c r="O446" s="330"/>
      <c r="P446" s="330"/>
      <c r="Q446" s="330"/>
      <c r="R446" s="330"/>
      <c r="S446" s="330"/>
      <c r="T446" s="330"/>
      <c r="U446" s="330"/>
      <c r="V446" s="330"/>
      <c r="W446" s="330"/>
      <c r="X446" s="330"/>
      <c r="Y446" s="330"/>
      <c r="Z446" s="330"/>
      <c r="AA446" s="330"/>
      <c r="AB446" s="330"/>
      <c r="AC446" s="330"/>
    </row>
    <row r="447" spans="1:29" x14ac:dyDescent="0.25">
      <c r="A447" s="330"/>
      <c r="B447" s="330"/>
      <c r="C447" s="330"/>
      <c r="D447" s="330"/>
      <c r="E447" s="330"/>
      <c r="F447" s="330"/>
      <c r="G447" s="330"/>
      <c r="H447" s="330"/>
      <c r="I447" s="330"/>
      <c r="J447" s="330"/>
      <c r="K447" s="330"/>
      <c r="L447" s="330"/>
      <c r="M447" s="330"/>
      <c r="N447" s="330"/>
      <c r="O447" s="330"/>
      <c r="P447" s="330"/>
      <c r="Q447" s="330"/>
      <c r="R447" s="330"/>
      <c r="S447" s="330"/>
      <c r="T447" s="330"/>
      <c r="U447" s="330"/>
      <c r="V447" s="330"/>
      <c r="W447" s="330"/>
      <c r="X447" s="330"/>
      <c r="Y447" s="330"/>
      <c r="Z447" s="330"/>
      <c r="AA447" s="330"/>
      <c r="AB447" s="330"/>
      <c r="AC447" s="330"/>
    </row>
    <row r="448" spans="1:29" x14ac:dyDescent="0.25">
      <c r="A448" s="330"/>
      <c r="B448" s="330"/>
      <c r="C448" s="330"/>
      <c r="D448" s="330"/>
      <c r="E448" s="330"/>
      <c r="F448" s="330"/>
      <c r="G448" s="330"/>
      <c r="H448" s="330"/>
      <c r="I448" s="330"/>
      <c r="J448" s="330"/>
      <c r="K448" s="330"/>
      <c r="L448" s="330"/>
      <c r="M448" s="330"/>
      <c r="N448" s="330"/>
      <c r="O448" s="330"/>
      <c r="P448" s="330"/>
      <c r="Q448" s="330"/>
      <c r="R448" s="330"/>
      <c r="S448" s="330"/>
      <c r="T448" s="330"/>
      <c r="U448" s="330"/>
      <c r="V448" s="330"/>
      <c r="W448" s="330"/>
      <c r="X448" s="330"/>
      <c r="Y448" s="330"/>
      <c r="Z448" s="330"/>
      <c r="AA448" s="330"/>
      <c r="AB448" s="330"/>
      <c r="AC448" s="330"/>
    </row>
    <row r="449" spans="1:29" x14ac:dyDescent="0.25">
      <c r="A449" s="330"/>
      <c r="B449" s="330"/>
      <c r="C449" s="330"/>
      <c r="D449" s="330"/>
      <c r="E449" s="330"/>
      <c r="F449" s="330"/>
      <c r="G449" s="330"/>
      <c r="H449" s="330"/>
      <c r="I449" s="330"/>
      <c r="J449" s="330"/>
      <c r="K449" s="330"/>
      <c r="L449" s="330"/>
      <c r="M449" s="330"/>
      <c r="N449" s="330"/>
      <c r="O449" s="330"/>
      <c r="P449" s="330"/>
      <c r="Q449" s="330"/>
      <c r="R449" s="330"/>
      <c r="S449" s="330"/>
      <c r="T449" s="330"/>
      <c r="U449" s="330"/>
      <c r="V449" s="330"/>
      <c r="W449" s="330"/>
      <c r="X449" s="330"/>
      <c r="Y449" s="330"/>
      <c r="Z449" s="330"/>
      <c r="AA449" s="330"/>
      <c r="AB449" s="330"/>
      <c r="AC449" s="330"/>
    </row>
    <row r="450" spans="1:29" x14ac:dyDescent="0.25">
      <c r="A450" s="330"/>
      <c r="B450" s="330"/>
      <c r="C450" s="330"/>
      <c r="D450" s="330"/>
      <c r="E450" s="330"/>
      <c r="F450" s="330"/>
      <c r="G450" s="330"/>
      <c r="H450" s="330"/>
      <c r="I450" s="330"/>
      <c r="J450" s="330"/>
      <c r="K450" s="330"/>
      <c r="L450" s="330"/>
      <c r="M450" s="330"/>
      <c r="N450" s="330"/>
      <c r="O450" s="330"/>
      <c r="P450" s="330"/>
      <c r="Q450" s="330"/>
      <c r="R450" s="330"/>
      <c r="S450" s="330"/>
      <c r="T450" s="330"/>
      <c r="U450" s="330"/>
      <c r="V450" s="330"/>
      <c r="W450" s="330"/>
      <c r="X450" s="330"/>
      <c r="Y450" s="330"/>
      <c r="Z450" s="330"/>
      <c r="AA450" s="330"/>
      <c r="AB450" s="330"/>
      <c r="AC450" s="330"/>
    </row>
    <row r="451" spans="1:29" x14ac:dyDescent="0.25">
      <c r="A451" s="330"/>
      <c r="B451" s="330"/>
      <c r="C451" s="330"/>
      <c r="D451" s="330"/>
      <c r="E451" s="330"/>
      <c r="F451" s="330"/>
      <c r="G451" s="330"/>
      <c r="H451" s="330"/>
      <c r="I451" s="330"/>
      <c r="J451" s="330"/>
      <c r="K451" s="330"/>
      <c r="L451" s="330"/>
      <c r="M451" s="330"/>
      <c r="N451" s="330"/>
      <c r="O451" s="330"/>
      <c r="P451" s="330"/>
      <c r="Q451" s="330"/>
      <c r="R451" s="330"/>
      <c r="S451" s="330"/>
      <c r="T451" s="330"/>
      <c r="U451" s="330"/>
      <c r="V451" s="330"/>
      <c r="W451" s="330"/>
      <c r="X451" s="330"/>
      <c r="Y451" s="330"/>
      <c r="Z451" s="330"/>
      <c r="AA451" s="330"/>
      <c r="AB451" s="330"/>
      <c r="AC451" s="330"/>
    </row>
    <row r="452" spans="1:29" x14ac:dyDescent="0.25">
      <c r="A452" s="330"/>
      <c r="B452" s="330"/>
      <c r="C452" s="330"/>
      <c r="D452" s="330"/>
      <c r="E452" s="330"/>
      <c r="F452" s="330"/>
      <c r="G452" s="330"/>
      <c r="H452" s="330"/>
      <c r="I452" s="330"/>
      <c r="J452" s="330"/>
      <c r="K452" s="330"/>
      <c r="L452" s="330"/>
      <c r="M452" s="330"/>
      <c r="N452" s="330"/>
      <c r="O452" s="330"/>
      <c r="P452" s="330"/>
      <c r="Q452" s="330"/>
      <c r="R452" s="330"/>
      <c r="S452" s="330"/>
      <c r="T452" s="330"/>
      <c r="U452" s="330"/>
      <c r="V452" s="330"/>
      <c r="W452" s="330"/>
      <c r="X452" s="330"/>
      <c r="Y452" s="330"/>
      <c r="Z452" s="330"/>
      <c r="AA452" s="330"/>
      <c r="AB452" s="330"/>
      <c r="AC452" s="330"/>
    </row>
    <row r="453" spans="1:29" x14ac:dyDescent="0.25">
      <c r="A453" s="330"/>
      <c r="B453" s="330"/>
      <c r="C453" s="330"/>
      <c r="D453" s="330"/>
      <c r="E453" s="330"/>
      <c r="F453" s="330"/>
      <c r="G453" s="330"/>
      <c r="H453" s="330"/>
      <c r="I453" s="330"/>
      <c r="J453" s="330"/>
      <c r="K453" s="330"/>
      <c r="L453" s="330"/>
      <c r="M453" s="330"/>
      <c r="N453" s="330"/>
      <c r="O453" s="330"/>
      <c r="P453" s="330"/>
      <c r="Q453" s="330"/>
      <c r="R453" s="330"/>
      <c r="S453" s="330"/>
      <c r="T453" s="330"/>
      <c r="U453" s="330"/>
      <c r="V453" s="330"/>
      <c r="W453" s="330"/>
      <c r="X453" s="330"/>
      <c r="Y453" s="330"/>
      <c r="Z453" s="330"/>
      <c r="AA453" s="330"/>
      <c r="AB453" s="330"/>
      <c r="AC453" s="330"/>
    </row>
    <row r="454" spans="1:29" x14ac:dyDescent="0.25">
      <c r="A454" s="330"/>
      <c r="B454" s="330"/>
      <c r="C454" s="330"/>
      <c r="D454" s="330"/>
      <c r="E454" s="330"/>
      <c r="F454" s="330"/>
      <c r="G454" s="330"/>
      <c r="H454" s="330"/>
      <c r="I454" s="330"/>
      <c r="J454" s="330"/>
      <c r="K454" s="330"/>
      <c r="L454" s="330"/>
      <c r="M454" s="330"/>
      <c r="N454" s="330"/>
      <c r="O454" s="330"/>
      <c r="P454" s="330"/>
      <c r="Q454" s="330"/>
      <c r="R454" s="330"/>
      <c r="S454" s="330"/>
      <c r="T454" s="330"/>
      <c r="U454" s="330"/>
      <c r="V454" s="330"/>
      <c r="W454" s="330"/>
      <c r="X454" s="330"/>
      <c r="Y454" s="330"/>
      <c r="Z454" s="330"/>
      <c r="AA454" s="330"/>
      <c r="AB454" s="330"/>
      <c r="AC454" s="330"/>
    </row>
    <row r="455" spans="1:29" x14ac:dyDescent="0.25">
      <c r="A455" s="330"/>
      <c r="B455" s="330"/>
      <c r="C455" s="330"/>
      <c r="D455" s="330"/>
      <c r="E455" s="330"/>
      <c r="F455" s="330"/>
      <c r="G455" s="330"/>
      <c r="H455" s="330"/>
      <c r="I455" s="330"/>
      <c r="J455" s="330"/>
      <c r="K455" s="330"/>
      <c r="L455" s="330"/>
      <c r="M455" s="330"/>
      <c r="N455" s="330"/>
      <c r="O455" s="330"/>
      <c r="P455" s="330"/>
      <c r="Q455" s="330"/>
      <c r="R455" s="330"/>
      <c r="S455" s="330"/>
      <c r="T455" s="330"/>
      <c r="U455" s="330"/>
      <c r="V455" s="330"/>
      <c r="W455" s="330"/>
      <c r="X455" s="330"/>
      <c r="Y455" s="330"/>
      <c r="Z455" s="330"/>
      <c r="AA455" s="330"/>
      <c r="AB455" s="330"/>
      <c r="AC455" s="330"/>
    </row>
    <row r="456" spans="1:29" x14ac:dyDescent="0.25">
      <c r="A456" s="330"/>
      <c r="B456" s="330"/>
      <c r="C456" s="330"/>
      <c r="D456" s="330"/>
      <c r="E456" s="330"/>
      <c r="F456" s="330"/>
      <c r="G456" s="330"/>
      <c r="H456" s="330"/>
      <c r="I456" s="330"/>
      <c r="J456" s="330"/>
      <c r="K456" s="330"/>
      <c r="L456" s="330"/>
      <c r="M456" s="330"/>
      <c r="N456" s="330"/>
      <c r="O456" s="330"/>
      <c r="P456" s="330"/>
      <c r="Q456" s="330"/>
      <c r="R456" s="330"/>
      <c r="S456" s="330"/>
      <c r="T456" s="330"/>
      <c r="U456" s="330"/>
      <c r="V456" s="330"/>
      <c r="W456" s="330"/>
      <c r="X456" s="330"/>
      <c r="Y456" s="330"/>
      <c r="Z456" s="330"/>
      <c r="AA456" s="330"/>
      <c r="AB456" s="330"/>
      <c r="AC456" s="330"/>
    </row>
    <row r="457" spans="1:29" x14ac:dyDescent="0.25">
      <c r="A457" s="330"/>
      <c r="B457" s="330"/>
      <c r="C457" s="330"/>
      <c r="D457" s="330"/>
      <c r="E457" s="330"/>
      <c r="F457" s="330"/>
      <c r="G457" s="330"/>
      <c r="H457" s="330"/>
      <c r="I457" s="330"/>
      <c r="J457" s="330"/>
      <c r="K457" s="330"/>
      <c r="L457" s="330"/>
      <c r="M457" s="330"/>
      <c r="N457" s="330"/>
      <c r="O457" s="330"/>
      <c r="P457" s="330"/>
      <c r="Q457" s="330"/>
      <c r="R457" s="330"/>
      <c r="S457" s="330"/>
      <c r="T457" s="330"/>
      <c r="U457" s="330"/>
      <c r="V457" s="330"/>
      <c r="W457" s="330"/>
      <c r="X457" s="330"/>
      <c r="Y457" s="330"/>
      <c r="Z457" s="330"/>
      <c r="AA457" s="330"/>
      <c r="AB457" s="330"/>
      <c r="AC457" s="330"/>
    </row>
    <row r="458" spans="1:29" x14ac:dyDescent="0.25">
      <c r="A458" s="330"/>
      <c r="B458" s="330"/>
      <c r="C458" s="330"/>
      <c r="D458" s="330"/>
      <c r="E458" s="330"/>
      <c r="F458" s="330"/>
      <c r="G458" s="330"/>
      <c r="H458" s="330"/>
      <c r="I458" s="330"/>
      <c r="J458" s="330"/>
      <c r="K458" s="330"/>
      <c r="L458" s="330"/>
      <c r="M458" s="330"/>
      <c r="N458" s="330"/>
      <c r="O458" s="330"/>
      <c r="P458" s="330"/>
      <c r="Q458" s="330"/>
      <c r="R458" s="330"/>
      <c r="S458" s="330"/>
      <c r="T458" s="330"/>
      <c r="U458" s="330"/>
      <c r="V458" s="330"/>
      <c r="W458" s="330"/>
      <c r="X458" s="330"/>
      <c r="Y458" s="330"/>
      <c r="Z458" s="330"/>
      <c r="AA458" s="330"/>
      <c r="AB458" s="330"/>
      <c r="AC458" s="330"/>
    </row>
    <row r="459" spans="1:29" x14ac:dyDescent="0.25">
      <c r="A459" s="330"/>
      <c r="B459" s="330"/>
      <c r="C459" s="330"/>
      <c r="D459" s="330"/>
      <c r="E459" s="330"/>
      <c r="F459" s="330"/>
      <c r="G459" s="330"/>
      <c r="H459" s="330"/>
      <c r="I459" s="330"/>
      <c r="J459" s="330"/>
      <c r="K459" s="330"/>
      <c r="L459" s="330"/>
      <c r="M459" s="330"/>
      <c r="N459" s="330"/>
      <c r="O459" s="330"/>
      <c r="P459" s="330"/>
      <c r="Q459" s="330"/>
      <c r="R459" s="330"/>
      <c r="S459" s="330"/>
      <c r="T459" s="330"/>
      <c r="U459" s="330"/>
      <c r="V459" s="330"/>
      <c r="W459" s="330"/>
      <c r="X459" s="330"/>
      <c r="Y459" s="330"/>
      <c r="Z459" s="330"/>
      <c r="AA459" s="330"/>
      <c r="AB459" s="330"/>
      <c r="AC459" s="330"/>
    </row>
    <row r="460" spans="1:29" x14ac:dyDescent="0.25">
      <c r="A460" s="330"/>
      <c r="B460" s="330"/>
      <c r="C460" s="330"/>
      <c r="D460" s="330"/>
      <c r="E460" s="330"/>
      <c r="F460" s="330"/>
      <c r="G460" s="330"/>
      <c r="H460" s="330"/>
      <c r="I460" s="330"/>
      <c r="J460" s="330"/>
      <c r="K460" s="330"/>
      <c r="L460" s="330"/>
      <c r="M460" s="330"/>
      <c r="N460" s="330"/>
      <c r="O460" s="330"/>
      <c r="P460" s="330"/>
      <c r="Q460" s="330"/>
      <c r="R460" s="330"/>
      <c r="S460" s="330"/>
      <c r="T460" s="330"/>
      <c r="U460" s="330"/>
      <c r="V460" s="330"/>
      <c r="W460" s="330"/>
      <c r="X460" s="330"/>
      <c r="Y460" s="330"/>
      <c r="Z460" s="330"/>
      <c r="AA460" s="330"/>
      <c r="AB460" s="330"/>
      <c r="AC460" s="330"/>
    </row>
    <row r="461" spans="1:29" x14ac:dyDescent="0.25">
      <c r="A461" s="330"/>
      <c r="B461" s="330"/>
      <c r="C461" s="330"/>
      <c r="D461" s="330"/>
      <c r="E461" s="330"/>
      <c r="F461" s="330"/>
      <c r="G461" s="330"/>
      <c r="H461" s="330"/>
      <c r="I461" s="330"/>
      <c r="J461" s="330"/>
      <c r="K461" s="330"/>
      <c r="L461" s="330"/>
      <c r="M461" s="330"/>
      <c r="N461" s="330"/>
      <c r="O461" s="330"/>
      <c r="P461" s="330"/>
      <c r="Q461" s="330"/>
      <c r="R461" s="330"/>
      <c r="S461" s="330"/>
      <c r="T461" s="330"/>
      <c r="U461" s="330"/>
      <c r="V461" s="330"/>
      <c r="W461" s="330"/>
      <c r="X461" s="330"/>
      <c r="Y461" s="330"/>
      <c r="Z461" s="330"/>
      <c r="AA461" s="330"/>
      <c r="AB461" s="330"/>
      <c r="AC461" s="330"/>
    </row>
    <row r="462" spans="1:29" x14ac:dyDescent="0.25">
      <c r="A462" s="330"/>
      <c r="B462" s="330"/>
      <c r="C462" s="330"/>
      <c r="D462" s="330"/>
      <c r="E462" s="330"/>
      <c r="F462" s="330"/>
      <c r="G462" s="330"/>
      <c r="H462" s="330"/>
      <c r="I462" s="330"/>
      <c r="J462" s="330"/>
      <c r="K462" s="330"/>
      <c r="L462" s="330"/>
      <c r="M462" s="330"/>
      <c r="N462" s="330"/>
      <c r="O462" s="330"/>
      <c r="P462" s="330"/>
      <c r="Q462" s="330"/>
      <c r="R462" s="330"/>
      <c r="S462" s="330"/>
      <c r="T462" s="330"/>
      <c r="U462" s="330"/>
      <c r="V462" s="330"/>
      <c r="W462" s="330"/>
      <c r="X462" s="330"/>
      <c r="Y462" s="330"/>
      <c r="Z462" s="330"/>
      <c r="AA462" s="330"/>
      <c r="AB462" s="330"/>
      <c r="AC462" s="330"/>
    </row>
    <row r="463" spans="1:29" x14ac:dyDescent="0.25">
      <c r="A463" s="330"/>
      <c r="B463" s="330"/>
      <c r="C463" s="330"/>
      <c r="D463" s="330"/>
      <c r="E463" s="330"/>
      <c r="F463" s="330"/>
      <c r="G463" s="330"/>
      <c r="H463" s="330"/>
      <c r="I463" s="330"/>
      <c r="J463" s="330"/>
      <c r="K463" s="330"/>
      <c r="L463" s="330"/>
      <c r="M463" s="330"/>
      <c r="N463" s="330"/>
      <c r="O463" s="330"/>
      <c r="P463" s="330"/>
      <c r="Q463" s="330"/>
      <c r="R463" s="330"/>
      <c r="S463" s="330"/>
      <c r="T463" s="330"/>
      <c r="U463" s="330"/>
      <c r="V463" s="330"/>
      <c r="W463" s="330"/>
      <c r="X463" s="330"/>
      <c r="Y463" s="330"/>
      <c r="Z463" s="330"/>
      <c r="AA463" s="330"/>
      <c r="AB463" s="330"/>
      <c r="AC463" s="330"/>
    </row>
    <row r="464" spans="1:29" x14ac:dyDescent="0.25">
      <c r="A464" s="330"/>
      <c r="B464" s="330"/>
      <c r="C464" s="330"/>
      <c r="D464" s="330"/>
      <c r="E464" s="330"/>
      <c r="F464" s="330"/>
      <c r="G464" s="330"/>
      <c r="H464" s="330"/>
      <c r="I464" s="330"/>
      <c r="J464" s="330"/>
      <c r="K464" s="330"/>
      <c r="L464" s="330"/>
      <c r="M464" s="330"/>
      <c r="N464" s="330"/>
      <c r="O464" s="330"/>
      <c r="P464" s="330"/>
      <c r="Q464" s="330"/>
      <c r="R464" s="330"/>
      <c r="S464" s="330"/>
      <c r="T464" s="330"/>
      <c r="U464" s="330"/>
      <c r="V464" s="330"/>
      <c r="W464" s="330"/>
      <c r="X464" s="330"/>
      <c r="Y464" s="330"/>
      <c r="Z464" s="330"/>
      <c r="AA464" s="330"/>
      <c r="AB464" s="330"/>
      <c r="AC464" s="330"/>
    </row>
    <row r="465" spans="1:29" x14ac:dyDescent="0.25">
      <c r="A465" s="330"/>
      <c r="B465" s="330"/>
      <c r="C465" s="330"/>
      <c r="D465" s="330"/>
      <c r="E465" s="330"/>
      <c r="F465" s="330"/>
      <c r="G465" s="330"/>
      <c r="H465" s="330"/>
      <c r="I465" s="330"/>
      <c r="J465" s="330"/>
      <c r="K465" s="330"/>
      <c r="L465" s="330"/>
      <c r="M465" s="330"/>
      <c r="N465" s="330"/>
      <c r="O465" s="330"/>
      <c r="P465" s="330"/>
      <c r="Q465" s="330"/>
      <c r="R465" s="330"/>
      <c r="S465" s="330"/>
      <c r="T465" s="330"/>
      <c r="U465" s="330"/>
      <c r="V465" s="330"/>
      <c r="W465" s="330"/>
      <c r="X465" s="330"/>
      <c r="Y465" s="330"/>
      <c r="Z465" s="330"/>
      <c r="AA465" s="330"/>
      <c r="AB465" s="330"/>
      <c r="AC465" s="330"/>
    </row>
    <row r="466" spans="1:29" x14ac:dyDescent="0.25">
      <c r="A466" s="330"/>
      <c r="B466" s="330"/>
      <c r="C466" s="330"/>
      <c r="D466" s="330"/>
      <c r="E466" s="330"/>
      <c r="F466" s="330"/>
      <c r="G466" s="330"/>
      <c r="H466" s="330"/>
      <c r="I466" s="330"/>
      <c r="J466" s="330"/>
      <c r="K466" s="330"/>
      <c r="L466" s="330"/>
      <c r="M466" s="330"/>
      <c r="N466" s="330"/>
      <c r="O466" s="330"/>
      <c r="P466" s="330"/>
      <c r="Q466" s="330"/>
      <c r="R466" s="330"/>
      <c r="S466" s="330"/>
      <c r="T466" s="330"/>
      <c r="U466" s="330"/>
      <c r="V466" s="330"/>
      <c r="W466" s="330"/>
      <c r="X466" s="330"/>
      <c r="Y466" s="330"/>
      <c r="Z466" s="330"/>
      <c r="AA466" s="330"/>
      <c r="AB466" s="330"/>
      <c r="AC466" s="330"/>
    </row>
    <row r="467" spans="1:29" x14ac:dyDescent="0.25">
      <c r="A467" s="330"/>
      <c r="B467" s="330"/>
      <c r="C467" s="330"/>
      <c r="D467" s="330"/>
      <c r="E467" s="330"/>
      <c r="F467" s="330"/>
      <c r="G467" s="330"/>
      <c r="H467" s="330"/>
      <c r="I467" s="330"/>
      <c r="J467" s="330"/>
      <c r="K467" s="330"/>
      <c r="L467" s="330"/>
      <c r="M467" s="330"/>
      <c r="N467" s="330"/>
      <c r="O467" s="330"/>
      <c r="P467" s="330"/>
      <c r="Q467" s="330"/>
      <c r="R467" s="330"/>
      <c r="S467" s="330"/>
      <c r="T467" s="330"/>
      <c r="U467" s="330"/>
      <c r="V467" s="330"/>
      <c r="W467" s="330"/>
      <c r="X467" s="330"/>
      <c r="Y467" s="330"/>
      <c r="Z467" s="330"/>
      <c r="AA467" s="330"/>
      <c r="AB467" s="330"/>
      <c r="AC467" s="330"/>
    </row>
    <row r="468" spans="1:29" x14ac:dyDescent="0.25">
      <c r="A468" s="330"/>
      <c r="B468" s="330"/>
      <c r="C468" s="330"/>
      <c r="D468" s="330"/>
      <c r="E468" s="330"/>
      <c r="F468" s="330"/>
      <c r="G468" s="330"/>
      <c r="H468" s="330"/>
      <c r="I468" s="330"/>
      <c r="J468" s="330"/>
      <c r="K468" s="330"/>
      <c r="L468" s="330"/>
      <c r="M468" s="330"/>
      <c r="N468" s="330"/>
      <c r="O468" s="330"/>
      <c r="P468" s="330"/>
      <c r="Q468" s="330"/>
      <c r="R468" s="330"/>
      <c r="S468" s="330"/>
      <c r="T468" s="330"/>
      <c r="U468" s="330"/>
      <c r="V468" s="330"/>
      <c r="W468" s="330"/>
      <c r="X468" s="330"/>
      <c r="Y468" s="330"/>
      <c r="Z468" s="330"/>
      <c r="AA468" s="330"/>
      <c r="AB468" s="330"/>
      <c r="AC468" s="330"/>
    </row>
    <row r="469" spans="1:29" x14ac:dyDescent="0.25">
      <c r="A469" s="330"/>
      <c r="B469" s="330"/>
      <c r="C469" s="330"/>
      <c r="D469" s="330"/>
      <c r="E469" s="330"/>
      <c r="F469" s="330"/>
      <c r="G469" s="330"/>
      <c r="H469" s="330"/>
      <c r="I469" s="330"/>
      <c r="J469" s="330"/>
      <c r="K469" s="330"/>
      <c r="L469" s="330"/>
      <c r="M469" s="330"/>
      <c r="N469" s="330"/>
      <c r="O469" s="330"/>
      <c r="P469" s="330"/>
      <c r="Q469" s="330"/>
      <c r="R469" s="330"/>
      <c r="S469" s="330"/>
      <c r="T469" s="330"/>
      <c r="U469" s="330"/>
      <c r="V469" s="330"/>
      <c r="W469" s="330"/>
      <c r="X469" s="330"/>
      <c r="Y469" s="330"/>
      <c r="Z469" s="330"/>
      <c r="AA469" s="330"/>
      <c r="AB469" s="330"/>
      <c r="AC469" s="330"/>
    </row>
    <row r="470" spans="1:29" x14ac:dyDescent="0.25">
      <c r="A470" s="330"/>
      <c r="B470" s="330"/>
      <c r="C470" s="330"/>
      <c r="D470" s="330"/>
      <c r="E470" s="330"/>
      <c r="F470" s="330"/>
      <c r="G470" s="330"/>
      <c r="H470" s="330"/>
      <c r="I470" s="330"/>
      <c r="J470" s="330"/>
      <c r="K470" s="330"/>
      <c r="L470" s="330"/>
      <c r="M470" s="330"/>
      <c r="N470" s="330"/>
      <c r="O470" s="330"/>
      <c r="P470" s="330"/>
      <c r="Q470" s="330"/>
      <c r="R470" s="330"/>
      <c r="S470" s="330"/>
      <c r="T470" s="330"/>
      <c r="U470" s="330"/>
      <c r="V470" s="330"/>
      <c r="W470" s="330"/>
      <c r="X470" s="330"/>
      <c r="Y470" s="330"/>
      <c r="Z470" s="330"/>
      <c r="AA470" s="330"/>
      <c r="AB470" s="330"/>
      <c r="AC470" s="330"/>
    </row>
    <row r="471" spans="1:29" x14ac:dyDescent="0.25">
      <c r="A471" s="330"/>
      <c r="B471" s="330"/>
      <c r="C471" s="330"/>
      <c r="D471" s="330"/>
      <c r="E471" s="330"/>
      <c r="F471" s="330"/>
      <c r="G471" s="330"/>
      <c r="H471" s="330"/>
      <c r="I471" s="330"/>
      <c r="J471" s="330"/>
      <c r="K471" s="330"/>
      <c r="L471" s="330"/>
      <c r="M471" s="330"/>
      <c r="N471" s="330"/>
      <c r="O471" s="330"/>
      <c r="P471" s="330"/>
      <c r="Q471" s="330"/>
      <c r="R471" s="330"/>
      <c r="S471" s="330"/>
      <c r="T471" s="330"/>
      <c r="U471" s="330"/>
      <c r="V471" s="330"/>
      <c r="W471" s="330"/>
      <c r="X471" s="330"/>
      <c r="Y471" s="330"/>
      <c r="Z471" s="330"/>
      <c r="AA471" s="330"/>
      <c r="AB471" s="330"/>
      <c r="AC471" s="330"/>
    </row>
    <row r="472" spans="1:29" x14ac:dyDescent="0.25">
      <c r="A472" s="330"/>
      <c r="B472" s="330"/>
      <c r="C472" s="330"/>
      <c r="D472" s="330"/>
      <c r="E472" s="330"/>
      <c r="F472" s="330"/>
      <c r="G472" s="330"/>
      <c r="H472" s="330"/>
      <c r="I472" s="330"/>
      <c r="J472" s="330"/>
      <c r="K472" s="330"/>
      <c r="L472" s="330"/>
      <c r="M472" s="330"/>
      <c r="N472" s="330"/>
      <c r="O472" s="330"/>
      <c r="P472" s="330"/>
      <c r="Q472" s="330"/>
      <c r="R472" s="330"/>
      <c r="S472" s="330"/>
      <c r="T472" s="330"/>
      <c r="U472" s="330"/>
      <c r="V472" s="330"/>
      <c r="W472" s="330"/>
      <c r="X472" s="330"/>
      <c r="Y472" s="330"/>
      <c r="Z472" s="330"/>
      <c r="AA472" s="330"/>
      <c r="AB472" s="330"/>
      <c r="AC472" s="330"/>
    </row>
    <row r="473" spans="1:29" x14ac:dyDescent="0.25">
      <c r="A473" s="330"/>
      <c r="B473" s="330"/>
      <c r="C473" s="330"/>
      <c r="D473" s="330"/>
      <c r="E473" s="330"/>
      <c r="F473" s="330"/>
      <c r="G473" s="330"/>
      <c r="H473" s="330"/>
      <c r="I473" s="330"/>
      <c r="J473" s="330"/>
      <c r="K473" s="330"/>
      <c r="L473" s="330"/>
      <c r="M473" s="330"/>
      <c r="N473" s="330"/>
      <c r="O473" s="330"/>
      <c r="P473" s="330"/>
      <c r="Q473" s="330"/>
      <c r="R473" s="330"/>
      <c r="S473" s="330"/>
      <c r="T473" s="330"/>
      <c r="U473" s="330"/>
      <c r="V473" s="330"/>
      <c r="W473" s="330"/>
      <c r="X473" s="330"/>
      <c r="Y473" s="330"/>
      <c r="Z473" s="330"/>
      <c r="AA473" s="330"/>
      <c r="AB473" s="330"/>
      <c r="AC473" s="330"/>
    </row>
    <row r="474" spans="1:29" x14ac:dyDescent="0.25">
      <c r="A474" s="330"/>
      <c r="B474" s="330"/>
      <c r="C474" s="330"/>
      <c r="D474" s="330"/>
      <c r="E474" s="330"/>
      <c r="F474" s="330"/>
      <c r="G474" s="330"/>
      <c r="H474" s="330"/>
      <c r="I474" s="330"/>
      <c r="J474" s="330"/>
      <c r="K474" s="330"/>
      <c r="L474" s="330"/>
      <c r="M474" s="330"/>
      <c r="N474" s="330"/>
      <c r="O474" s="330"/>
      <c r="P474" s="330"/>
      <c r="Q474" s="330"/>
      <c r="R474" s="330"/>
      <c r="S474" s="330"/>
      <c r="T474" s="330"/>
      <c r="U474" s="330"/>
      <c r="V474" s="330"/>
      <c r="W474" s="330"/>
      <c r="X474" s="330"/>
      <c r="Y474" s="330"/>
      <c r="Z474" s="330"/>
      <c r="AA474" s="330"/>
      <c r="AB474" s="330"/>
      <c r="AC474" s="330"/>
    </row>
    <row r="475" spans="1:29" x14ac:dyDescent="0.25">
      <c r="A475" s="330"/>
      <c r="B475" s="330"/>
      <c r="C475" s="330"/>
      <c r="D475" s="330"/>
      <c r="E475" s="330"/>
      <c r="F475" s="330"/>
      <c r="G475" s="330"/>
      <c r="H475" s="330"/>
      <c r="I475" s="330"/>
      <c r="J475" s="330"/>
      <c r="K475" s="330"/>
      <c r="L475" s="330"/>
      <c r="M475" s="330"/>
      <c r="N475" s="330"/>
      <c r="O475" s="330"/>
      <c r="P475" s="330"/>
      <c r="Q475" s="330"/>
      <c r="R475" s="330"/>
      <c r="S475" s="330"/>
      <c r="T475" s="330"/>
      <c r="U475" s="330"/>
      <c r="V475" s="330"/>
      <c r="W475" s="330"/>
      <c r="X475" s="330"/>
      <c r="Y475" s="330"/>
      <c r="Z475" s="330"/>
      <c r="AA475" s="330"/>
      <c r="AB475" s="330"/>
      <c r="AC475" s="330"/>
    </row>
    <row r="476" spans="1:29" x14ac:dyDescent="0.25">
      <c r="A476" s="330"/>
      <c r="B476" s="330"/>
      <c r="C476" s="330"/>
      <c r="D476" s="330"/>
      <c r="E476" s="330"/>
      <c r="F476" s="330"/>
      <c r="G476" s="330"/>
      <c r="H476" s="330"/>
      <c r="I476" s="330"/>
      <c r="J476" s="330"/>
      <c r="K476" s="330"/>
      <c r="L476" s="330"/>
      <c r="M476" s="330"/>
      <c r="N476" s="330"/>
      <c r="O476" s="330"/>
      <c r="P476" s="330"/>
      <c r="Q476" s="330"/>
      <c r="R476" s="330"/>
      <c r="S476" s="330"/>
      <c r="T476" s="330"/>
      <c r="U476" s="330"/>
      <c r="V476" s="330"/>
      <c r="W476" s="330"/>
      <c r="X476" s="330"/>
      <c r="Y476" s="330"/>
      <c r="Z476" s="330"/>
      <c r="AA476" s="330"/>
      <c r="AB476" s="330"/>
      <c r="AC476" s="330"/>
    </row>
    <row r="477" spans="1:29" x14ac:dyDescent="0.25">
      <c r="A477" s="330"/>
      <c r="B477" s="330"/>
      <c r="C477" s="330"/>
      <c r="D477" s="330"/>
      <c r="E477" s="330"/>
      <c r="F477" s="330"/>
      <c r="G477" s="330"/>
      <c r="H477" s="330"/>
      <c r="I477" s="330"/>
      <c r="J477" s="330"/>
      <c r="K477" s="330"/>
      <c r="L477" s="330"/>
      <c r="M477" s="330"/>
      <c r="N477" s="330"/>
      <c r="O477" s="330"/>
      <c r="P477" s="330"/>
      <c r="Q477" s="330"/>
      <c r="R477" s="330"/>
      <c r="S477" s="330"/>
      <c r="T477" s="330"/>
      <c r="U477" s="330"/>
      <c r="V477" s="330"/>
      <c r="W477" s="330"/>
      <c r="X477" s="330"/>
      <c r="Y477" s="330"/>
      <c r="Z477" s="330"/>
      <c r="AA477" s="330"/>
      <c r="AB477" s="330"/>
      <c r="AC477" s="330"/>
    </row>
    <row r="478" spans="1:29" x14ac:dyDescent="0.25">
      <c r="A478" s="330"/>
      <c r="B478" s="330"/>
      <c r="C478" s="330"/>
      <c r="D478" s="330"/>
      <c r="E478" s="330"/>
      <c r="F478" s="330"/>
      <c r="G478" s="330"/>
      <c r="H478" s="330"/>
      <c r="I478" s="330"/>
      <c r="J478" s="330"/>
      <c r="K478" s="330"/>
      <c r="L478" s="330"/>
      <c r="M478" s="330"/>
      <c r="N478" s="330"/>
      <c r="O478" s="330"/>
      <c r="P478" s="330"/>
      <c r="Q478" s="330"/>
      <c r="R478" s="330"/>
      <c r="S478" s="330"/>
      <c r="T478" s="330"/>
      <c r="U478" s="330"/>
      <c r="V478" s="330"/>
      <c r="W478" s="330"/>
      <c r="X478" s="330"/>
      <c r="Y478" s="330"/>
      <c r="Z478" s="330"/>
      <c r="AA478" s="330"/>
      <c r="AB478" s="330"/>
      <c r="AC478" s="330"/>
    </row>
    <row r="479" spans="1:29" x14ac:dyDescent="0.25">
      <c r="A479" s="330"/>
      <c r="B479" s="330"/>
      <c r="C479" s="330"/>
      <c r="D479" s="330"/>
      <c r="E479" s="330"/>
      <c r="F479" s="330"/>
      <c r="G479" s="330"/>
      <c r="H479" s="330"/>
      <c r="I479" s="330"/>
      <c r="J479" s="330"/>
      <c r="K479" s="330"/>
      <c r="L479" s="330"/>
      <c r="M479" s="330"/>
      <c r="N479" s="330"/>
      <c r="O479" s="330"/>
      <c r="P479" s="330"/>
      <c r="Q479" s="330"/>
      <c r="R479" s="330"/>
      <c r="S479" s="330"/>
      <c r="T479" s="330"/>
      <c r="U479" s="330"/>
      <c r="V479" s="330"/>
      <c r="W479" s="330"/>
      <c r="X479" s="330"/>
      <c r="Y479" s="330"/>
      <c r="Z479" s="330"/>
      <c r="AA479" s="330"/>
      <c r="AB479" s="330"/>
      <c r="AC479" s="330"/>
    </row>
    <row r="480" spans="1:29" x14ac:dyDescent="0.25">
      <c r="A480" s="330"/>
      <c r="B480" s="330"/>
      <c r="C480" s="330"/>
      <c r="D480" s="330"/>
      <c r="E480" s="330"/>
      <c r="F480" s="330"/>
      <c r="G480" s="330"/>
      <c r="H480" s="330"/>
      <c r="I480" s="330"/>
      <c r="J480" s="330"/>
      <c r="K480" s="330"/>
      <c r="L480" s="330"/>
      <c r="M480" s="330"/>
      <c r="N480" s="330"/>
      <c r="O480" s="330"/>
      <c r="P480" s="330"/>
      <c r="Q480" s="330"/>
      <c r="R480" s="330"/>
      <c r="S480" s="330"/>
      <c r="T480" s="330"/>
      <c r="U480" s="330"/>
      <c r="V480" s="330"/>
      <c r="W480" s="330"/>
      <c r="X480" s="330"/>
      <c r="Y480" s="330"/>
      <c r="Z480" s="330"/>
      <c r="AA480" s="330"/>
      <c r="AB480" s="330"/>
      <c r="AC480" s="330"/>
    </row>
    <row r="481" spans="1:29" x14ac:dyDescent="0.25">
      <c r="A481" s="330"/>
      <c r="B481" s="330"/>
      <c r="C481" s="330"/>
      <c r="D481" s="330"/>
      <c r="E481" s="330"/>
      <c r="F481" s="330"/>
      <c r="G481" s="330"/>
      <c r="H481" s="330"/>
      <c r="I481" s="330"/>
      <c r="J481" s="330"/>
      <c r="K481" s="330"/>
      <c r="L481" s="330"/>
      <c r="M481" s="330"/>
      <c r="N481" s="330"/>
      <c r="O481" s="330"/>
      <c r="P481" s="330"/>
      <c r="Q481" s="330"/>
      <c r="R481" s="330"/>
      <c r="S481" s="330"/>
      <c r="T481" s="330"/>
      <c r="U481" s="330"/>
      <c r="V481" s="330"/>
      <c r="W481" s="330"/>
      <c r="X481" s="330"/>
      <c r="Y481" s="330"/>
      <c r="Z481" s="330"/>
      <c r="AA481" s="330"/>
      <c r="AB481" s="330"/>
      <c r="AC481" s="330"/>
    </row>
    <row r="482" spans="1:29" x14ac:dyDescent="0.25">
      <c r="A482" s="330"/>
      <c r="B482" s="330"/>
      <c r="C482" s="330"/>
      <c r="D482" s="330"/>
      <c r="E482" s="330"/>
      <c r="F482" s="330"/>
      <c r="G482" s="330"/>
      <c r="H482" s="330"/>
      <c r="I482" s="330"/>
      <c r="J482" s="330"/>
      <c r="K482" s="330"/>
      <c r="L482" s="330"/>
      <c r="M482" s="330"/>
      <c r="N482" s="330"/>
      <c r="O482" s="330"/>
      <c r="P482" s="330"/>
      <c r="Q482" s="330"/>
      <c r="R482" s="330"/>
      <c r="S482" s="330"/>
      <c r="T482" s="330"/>
      <c r="U482" s="330"/>
      <c r="V482" s="330"/>
      <c r="W482" s="330"/>
      <c r="X482" s="330"/>
      <c r="Y482" s="330"/>
      <c r="Z482" s="330"/>
      <c r="AA482" s="330"/>
      <c r="AB482" s="330"/>
      <c r="AC482" s="330"/>
    </row>
    <row r="483" spans="1:29" x14ac:dyDescent="0.25">
      <c r="A483" s="330"/>
      <c r="B483" s="330"/>
      <c r="C483" s="330"/>
      <c r="D483" s="330"/>
      <c r="E483" s="330"/>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c r="AC483" s="330"/>
    </row>
    <row r="484" spans="1:29" x14ac:dyDescent="0.25">
      <c r="A484" s="330"/>
      <c r="B484" s="330"/>
      <c r="C484" s="330"/>
      <c r="D484" s="330"/>
      <c r="E484" s="330"/>
      <c r="F484" s="330"/>
      <c r="G484" s="330"/>
      <c r="H484" s="330"/>
      <c r="I484" s="330"/>
      <c r="J484" s="330"/>
      <c r="K484" s="330"/>
      <c r="L484" s="330"/>
      <c r="M484" s="330"/>
      <c r="N484" s="330"/>
      <c r="O484" s="330"/>
      <c r="P484" s="330"/>
      <c r="Q484" s="330"/>
      <c r="R484" s="330"/>
      <c r="S484" s="330"/>
      <c r="T484" s="330"/>
      <c r="U484" s="330"/>
      <c r="V484" s="330"/>
      <c r="W484" s="330"/>
      <c r="X484" s="330"/>
      <c r="Y484" s="330"/>
      <c r="Z484" s="330"/>
      <c r="AA484" s="330"/>
      <c r="AB484" s="330"/>
      <c r="AC484" s="330"/>
    </row>
    <row r="485" spans="1:29" x14ac:dyDescent="0.25">
      <c r="A485" s="330"/>
      <c r="B485" s="330"/>
      <c r="C485" s="330"/>
      <c r="D485" s="330"/>
      <c r="E485" s="330"/>
      <c r="F485" s="330"/>
      <c r="G485" s="330"/>
      <c r="H485" s="330"/>
      <c r="I485" s="330"/>
      <c r="J485" s="330"/>
      <c r="K485" s="330"/>
      <c r="L485" s="330"/>
      <c r="M485" s="330"/>
      <c r="N485" s="330"/>
      <c r="O485" s="330"/>
      <c r="P485" s="330"/>
      <c r="Q485" s="330"/>
      <c r="R485" s="330"/>
      <c r="S485" s="330"/>
      <c r="T485" s="330"/>
      <c r="U485" s="330"/>
      <c r="V485" s="330"/>
      <c r="W485" s="330"/>
      <c r="X485" s="330"/>
      <c r="Y485" s="330"/>
      <c r="Z485" s="330"/>
      <c r="AA485" s="330"/>
      <c r="AB485" s="330"/>
      <c r="AC485" s="330"/>
    </row>
    <row r="486" spans="1:29" x14ac:dyDescent="0.25">
      <c r="A486" s="330"/>
      <c r="B486" s="330"/>
      <c r="C486" s="330"/>
      <c r="D486" s="330"/>
      <c r="E486" s="330"/>
      <c r="F486" s="330"/>
      <c r="G486" s="330"/>
      <c r="H486" s="330"/>
      <c r="I486" s="330"/>
      <c r="J486" s="330"/>
      <c r="K486" s="330"/>
      <c r="L486" s="330"/>
      <c r="M486" s="330"/>
      <c r="N486" s="330"/>
      <c r="O486" s="330"/>
      <c r="P486" s="330"/>
      <c r="Q486" s="330"/>
      <c r="R486" s="330"/>
      <c r="S486" s="330"/>
      <c r="T486" s="330"/>
      <c r="U486" s="330"/>
      <c r="V486" s="330"/>
      <c r="W486" s="330"/>
      <c r="X486" s="330"/>
      <c r="Y486" s="330"/>
      <c r="Z486" s="330"/>
      <c r="AA486" s="330"/>
      <c r="AB486" s="330"/>
      <c r="AC486" s="330"/>
    </row>
    <row r="487" spans="1:29" x14ac:dyDescent="0.25">
      <c r="A487" s="330"/>
      <c r="B487" s="330"/>
      <c r="C487" s="330"/>
      <c r="D487" s="330"/>
      <c r="E487" s="330"/>
      <c r="F487" s="330"/>
      <c r="G487" s="330"/>
      <c r="H487" s="330"/>
      <c r="I487" s="330"/>
      <c r="J487" s="330"/>
      <c r="K487" s="330"/>
      <c r="L487" s="330"/>
      <c r="M487" s="330"/>
      <c r="N487" s="330"/>
      <c r="O487" s="330"/>
      <c r="P487" s="330"/>
      <c r="Q487" s="330"/>
      <c r="R487" s="330"/>
      <c r="S487" s="330"/>
      <c r="T487" s="330"/>
      <c r="U487" s="330"/>
      <c r="V487" s="330"/>
      <c r="W487" s="330"/>
      <c r="X487" s="330"/>
      <c r="Y487" s="330"/>
      <c r="Z487" s="330"/>
      <c r="AA487" s="330"/>
      <c r="AB487" s="330"/>
      <c r="AC487" s="330"/>
    </row>
    <row r="488" spans="1:29" x14ac:dyDescent="0.25">
      <c r="A488" s="330"/>
      <c r="B488" s="330"/>
      <c r="C488" s="330"/>
      <c r="D488" s="330"/>
      <c r="E488" s="330"/>
      <c r="F488" s="330"/>
      <c r="G488" s="330"/>
      <c r="H488" s="330"/>
      <c r="I488" s="330"/>
      <c r="J488" s="330"/>
      <c r="K488" s="330"/>
      <c r="L488" s="330"/>
      <c r="M488" s="330"/>
      <c r="N488" s="330"/>
      <c r="O488" s="330"/>
      <c r="P488" s="330"/>
      <c r="Q488" s="330"/>
      <c r="R488" s="330"/>
      <c r="S488" s="330"/>
      <c r="T488" s="330"/>
      <c r="U488" s="330"/>
      <c r="V488" s="330"/>
      <c r="W488" s="330"/>
      <c r="X488" s="330"/>
      <c r="Y488" s="330"/>
      <c r="Z488" s="330"/>
      <c r="AA488" s="330"/>
      <c r="AB488" s="330"/>
      <c r="AC488" s="330"/>
    </row>
    <row r="489" spans="1:29" x14ac:dyDescent="0.25">
      <c r="A489" s="330"/>
      <c r="B489" s="330"/>
      <c r="C489" s="330"/>
      <c r="D489" s="330"/>
      <c r="E489" s="330"/>
      <c r="F489" s="330"/>
      <c r="G489" s="330"/>
      <c r="H489" s="330"/>
      <c r="I489" s="330"/>
      <c r="J489" s="330"/>
      <c r="K489" s="330"/>
      <c r="L489" s="330"/>
      <c r="M489" s="330"/>
      <c r="N489" s="330"/>
      <c r="O489" s="330"/>
      <c r="P489" s="330"/>
      <c r="Q489" s="330"/>
      <c r="R489" s="330"/>
      <c r="S489" s="330"/>
      <c r="T489" s="330"/>
      <c r="U489" s="330"/>
      <c r="V489" s="330"/>
      <c r="W489" s="330"/>
      <c r="X489" s="330"/>
      <c r="Y489" s="330"/>
      <c r="Z489" s="330"/>
      <c r="AA489" s="330"/>
      <c r="AB489" s="330"/>
      <c r="AC489" s="330"/>
    </row>
    <row r="490" spans="1:29" x14ac:dyDescent="0.25">
      <c r="A490" s="330"/>
      <c r="B490" s="330"/>
      <c r="C490" s="330"/>
      <c r="D490" s="330"/>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330"/>
      <c r="AA490" s="330"/>
      <c r="AB490" s="330"/>
      <c r="AC490" s="330"/>
    </row>
    <row r="491" spans="1:29" x14ac:dyDescent="0.25">
      <c r="A491" s="330"/>
      <c r="B491" s="330"/>
      <c r="C491" s="330"/>
      <c r="D491" s="330"/>
      <c r="E491" s="330"/>
      <c r="F491" s="330"/>
      <c r="G491" s="330"/>
      <c r="H491" s="330"/>
      <c r="I491" s="330"/>
      <c r="J491" s="330"/>
      <c r="K491" s="330"/>
      <c r="L491" s="330"/>
      <c r="M491" s="330"/>
      <c r="N491" s="330"/>
      <c r="O491" s="330"/>
      <c r="P491" s="330"/>
      <c r="Q491" s="330"/>
      <c r="R491" s="330"/>
      <c r="S491" s="330"/>
      <c r="T491" s="330"/>
      <c r="U491" s="330"/>
      <c r="V491" s="330"/>
      <c r="W491" s="330"/>
      <c r="X491" s="330"/>
      <c r="Y491" s="330"/>
      <c r="Z491" s="330"/>
      <c r="AA491" s="330"/>
      <c r="AB491" s="330"/>
      <c r="AC491" s="330"/>
    </row>
    <row r="492" spans="1:29" x14ac:dyDescent="0.25">
      <c r="A492" s="330"/>
      <c r="B492" s="330"/>
      <c r="C492" s="330"/>
      <c r="D492" s="330"/>
      <c r="E492" s="330"/>
      <c r="F492" s="330"/>
      <c r="G492" s="330"/>
      <c r="H492" s="330"/>
      <c r="I492" s="330"/>
      <c r="J492" s="330"/>
      <c r="K492" s="330"/>
      <c r="L492" s="330"/>
      <c r="M492" s="330"/>
      <c r="N492" s="330"/>
      <c r="O492" s="330"/>
      <c r="P492" s="330"/>
      <c r="Q492" s="330"/>
      <c r="R492" s="330"/>
      <c r="S492" s="330"/>
      <c r="T492" s="330"/>
      <c r="U492" s="330"/>
      <c r="V492" s="330"/>
      <c r="W492" s="330"/>
      <c r="X492" s="330"/>
      <c r="Y492" s="330"/>
      <c r="Z492" s="330"/>
      <c r="AA492" s="330"/>
      <c r="AB492" s="330"/>
      <c r="AC492" s="330"/>
    </row>
    <row r="493" spans="1:29" x14ac:dyDescent="0.25">
      <c r="A493" s="330"/>
      <c r="B493" s="330"/>
      <c r="C493" s="330"/>
      <c r="D493" s="330"/>
      <c r="E493" s="330"/>
      <c r="F493" s="330"/>
      <c r="G493" s="330"/>
      <c r="H493" s="330"/>
      <c r="I493" s="330"/>
      <c r="J493" s="330"/>
      <c r="K493" s="330"/>
      <c r="L493" s="330"/>
      <c r="M493" s="330"/>
      <c r="N493" s="330"/>
      <c r="O493" s="330"/>
      <c r="P493" s="330"/>
      <c r="Q493" s="330"/>
      <c r="R493" s="330"/>
      <c r="S493" s="330"/>
      <c r="T493" s="330"/>
      <c r="U493" s="330"/>
      <c r="V493" s="330"/>
      <c r="W493" s="330"/>
      <c r="X493" s="330"/>
      <c r="Y493" s="330"/>
      <c r="Z493" s="330"/>
      <c r="AA493" s="330"/>
      <c r="AB493" s="330"/>
      <c r="AC493" s="330"/>
    </row>
    <row r="494" spans="1:29" x14ac:dyDescent="0.25">
      <c r="A494" s="330"/>
      <c r="B494" s="330"/>
      <c r="C494" s="330"/>
      <c r="D494" s="330"/>
      <c r="E494" s="330"/>
      <c r="F494" s="330"/>
      <c r="G494" s="330"/>
      <c r="H494" s="330"/>
      <c r="I494" s="330"/>
      <c r="J494" s="330"/>
      <c r="K494" s="330"/>
      <c r="L494" s="330"/>
      <c r="M494" s="330"/>
      <c r="N494" s="330"/>
      <c r="O494" s="330"/>
      <c r="P494" s="330"/>
      <c r="Q494" s="330"/>
      <c r="R494" s="330"/>
      <c r="S494" s="330"/>
      <c r="T494" s="330"/>
      <c r="U494" s="330"/>
      <c r="V494" s="330"/>
      <c r="W494" s="330"/>
      <c r="X494" s="330"/>
      <c r="Y494" s="330"/>
      <c r="Z494" s="330"/>
      <c r="AA494" s="330"/>
      <c r="AB494" s="330"/>
      <c r="AC494" s="330"/>
    </row>
    <row r="495" spans="1:29" x14ac:dyDescent="0.25">
      <c r="A495" s="330"/>
      <c r="B495" s="330"/>
      <c r="C495" s="330"/>
      <c r="D495" s="330"/>
      <c r="E495" s="330"/>
      <c r="F495" s="330"/>
      <c r="G495" s="330"/>
      <c r="H495" s="330"/>
      <c r="I495" s="330"/>
      <c r="J495" s="330"/>
      <c r="K495" s="330"/>
      <c r="L495" s="330"/>
      <c r="M495" s="330"/>
      <c r="N495" s="330"/>
      <c r="O495" s="330"/>
      <c r="P495" s="330"/>
      <c r="Q495" s="330"/>
      <c r="R495" s="330"/>
      <c r="S495" s="330"/>
      <c r="T495" s="330"/>
      <c r="U495" s="330"/>
      <c r="V495" s="330"/>
      <c r="W495" s="330"/>
      <c r="X495" s="330"/>
      <c r="Y495" s="330"/>
      <c r="Z495" s="330"/>
      <c r="AA495" s="330"/>
      <c r="AB495" s="330"/>
      <c r="AC495" s="330"/>
    </row>
    <row r="496" spans="1:29" x14ac:dyDescent="0.25">
      <c r="A496" s="330"/>
      <c r="B496" s="330"/>
      <c r="C496" s="330"/>
      <c r="D496" s="330"/>
      <c r="E496" s="330"/>
      <c r="F496" s="330"/>
      <c r="G496" s="330"/>
      <c r="H496" s="330"/>
      <c r="I496" s="330"/>
      <c r="J496" s="330"/>
      <c r="K496" s="330"/>
      <c r="L496" s="330"/>
      <c r="M496" s="330"/>
      <c r="N496" s="330"/>
      <c r="O496" s="330"/>
      <c r="P496" s="330"/>
      <c r="Q496" s="330"/>
      <c r="R496" s="330"/>
      <c r="S496" s="330"/>
      <c r="T496" s="330"/>
      <c r="U496" s="330"/>
      <c r="V496" s="330"/>
      <c r="W496" s="330"/>
      <c r="X496" s="330"/>
      <c r="Y496" s="330"/>
      <c r="Z496" s="330"/>
      <c r="AA496" s="330"/>
      <c r="AB496" s="330"/>
      <c r="AC496" s="330"/>
    </row>
    <row r="497" spans="1:29" x14ac:dyDescent="0.25">
      <c r="A497" s="330"/>
      <c r="B497" s="330"/>
      <c r="C497" s="330"/>
      <c r="D497" s="330"/>
      <c r="E497" s="330"/>
      <c r="F497" s="330"/>
      <c r="G497" s="330"/>
      <c r="H497" s="330"/>
      <c r="I497" s="330"/>
      <c r="J497" s="330"/>
      <c r="K497" s="330"/>
      <c r="L497" s="330"/>
      <c r="M497" s="330"/>
      <c r="N497" s="330"/>
      <c r="O497" s="330"/>
      <c r="P497" s="330"/>
      <c r="Q497" s="330"/>
      <c r="R497" s="330"/>
      <c r="S497" s="330"/>
      <c r="T497" s="330"/>
      <c r="U497" s="330"/>
      <c r="V497" s="330"/>
      <c r="W497" s="330"/>
      <c r="X497" s="330"/>
      <c r="Y497" s="330"/>
      <c r="Z497" s="330"/>
      <c r="AA497" s="330"/>
      <c r="AB497" s="330"/>
      <c r="AC497" s="330"/>
    </row>
    <row r="498" spans="1:29" x14ac:dyDescent="0.25">
      <c r="A498" s="330"/>
      <c r="B498" s="330"/>
      <c r="C498" s="330"/>
      <c r="D498" s="330"/>
      <c r="E498" s="330"/>
      <c r="F498" s="330"/>
      <c r="G498" s="330"/>
      <c r="H498" s="330"/>
      <c r="I498" s="330"/>
      <c r="J498" s="330"/>
      <c r="K498" s="330"/>
      <c r="L498" s="330"/>
      <c r="M498" s="330"/>
      <c r="N498" s="330"/>
      <c r="O498" s="330"/>
      <c r="P498" s="330"/>
      <c r="Q498" s="330"/>
      <c r="R498" s="330"/>
      <c r="S498" s="330"/>
      <c r="T498" s="330"/>
      <c r="U498" s="330"/>
      <c r="V498" s="330"/>
      <c r="W498" s="330"/>
      <c r="X498" s="330"/>
      <c r="Y498" s="330"/>
      <c r="Z498" s="330"/>
      <c r="AA498" s="330"/>
      <c r="AB498" s="330"/>
      <c r="AC498" s="330"/>
    </row>
    <row r="499" spans="1:29" x14ac:dyDescent="0.25">
      <c r="A499" s="330"/>
      <c r="B499" s="330"/>
      <c r="C499" s="330"/>
      <c r="D499" s="330"/>
      <c r="E499" s="330"/>
      <c r="F499" s="330"/>
      <c r="G499" s="330"/>
      <c r="H499" s="330"/>
      <c r="I499" s="330"/>
      <c r="J499" s="330"/>
      <c r="K499" s="330"/>
      <c r="L499" s="330"/>
      <c r="M499" s="330"/>
      <c r="N499" s="330"/>
      <c r="O499" s="330"/>
      <c r="P499" s="330"/>
      <c r="Q499" s="330"/>
      <c r="R499" s="330"/>
      <c r="S499" s="330"/>
      <c r="T499" s="330"/>
      <c r="U499" s="330"/>
      <c r="V499" s="330"/>
      <c r="W499" s="330"/>
      <c r="X499" s="330"/>
      <c r="Y499" s="330"/>
      <c r="Z499" s="330"/>
      <c r="AA499" s="330"/>
      <c r="AB499" s="330"/>
      <c r="AC499" s="330"/>
    </row>
    <row r="500" spans="1:29" x14ac:dyDescent="0.25">
      <c r="A500" s="330"/>
      <c r="B500" s="330"/>
      <c r="C500" s="330"/>
      <c r="D500" s="330"/>
      <c r="E500" s="330"/>
      <c r="F500" s="330"/>
      <c r="G500" s="330"/>
      <c r="H500" s="330"/>
      <c r="I500" s="330"/>
      <c r="J500" s="330"/>
      <c r="K500" s="330"/>
      <c r="L500" s="330"/>
      <c r="M500" s="330"/>
      <c r="N500" s="330"/>
      <c r="O500" s="330"/>
      <c r="P500" s="330"/>
      <c r="Q500" s="330"/>
      <c r="R500" s="330"/>
      <c r="S500" s="330"/>
      <c r="T500" s="330"/>
      <c r="U500" s="330"/>
      <c r="V500" s="330"/>
      <c r="W500" s="330"/>
      <c r="X500" s="330"/>
      <c r="Y500" s="330"/>
      <c r="Z500" s="330"/>
      <c r="AA500" s="330"/>
      <c r="AB500" s="330"/>
      <c r="AC500" s="330"/>
    </row>
  </sheetData>
  <sheetProtection algorithmName="SHA-512" hashValue="SZxrZ9A/Ihsmrz6K7/lG7yM0r69V9YFJaC6ZGQPpfRvZlJG4fYn/B/HPbTS2ZDo5OdHld0GaEdqK+YhQfgCS0Q==" saltValue="AyP6f0uikjvbjtWjChVPJA==" spinCount="100000" sheet="1" objects="1" scenarios="1" selectLockedCells="1"/>
  <mergeCells count="1988">
    <mergeCell ref="A7:AC7"/>
    <mergeCell ref="A10:F10"/>
    <mergeCell ref="G10:K10"/>
    <mergeCell ref="L10:P10"/>
    <mergeCell ref="Q10:AC10"/>
    <mergeCell ref="A8:F8"/>
    <mergeCell ref="G8:K8"/>
    <mergeCell ref="L8:P8"/>
    <mergeCell ref="Q8:AC8"/>
    <mergeCell ref="A9:F9"/>
    <mergeCell ref="A5:F5"/>
    <mergeCell ref="G5:K5"/>
    <mergeCell ref="L5:P5"/>
    <mergeCell ref="R5:T5"/>
    <mergeCell ref="U5:AC5"/>
    <mergeCell ref="A6:AC6"/>
    <mergeCell ref="A1:AC2"/>
    <mergeCell ref="A3:F3"/>
    <mergeCell ref="G3:P3"/>
    <mergeCell ref="R3:T3"/>
    <mergeCell ref="U3:AC3"/>
    <mergeCell ref="A4:F4"/>
    <mergeCell ref="G4:P4"/>
    <mergeCell ref="R4:T4"/>
    <mergeCell ref="U4:AC4"/>
    <mergeCell ref="A13:F13"/>
    <mergeCell ref="G13:K13"/>
    <mergeCell ref="L13:P13"/>
    <mergeCell ref="Q13:AC13"/>
    <mergeCell ref="A14:F14"/>
    <mergeCell ref="G14:K14"/>
    <mergeCell ref="L14:P14"/>
    <mergeCell ref="Q14:AC14"/>
    <mergeCell ref="A11:F11"/>
    <mergeCell ref="G11:K11"/>
    <mergeCell ref="L11:P11"/>
    <mergeCell ref="Q11:AC11"/>
    <mergeCell ref="A12:F12"/>
    <mergeCell ref="G12:K12"/>
    <mergeCell ref="L12:P12"/>
    <mergeCell ref="Q12:AC12"/>
    <mergeCell ref="G9:K9"/>
    <mergeCell ref="L9:P9"/>
    <mergeCell ref="Q9:AC9"/>
    <mergeCell ref="A19:F19"/>
    <mergeCell ref="G19:K19"/>
    <mergeCell ref="L19:P19"/>
    <mergeCell ref="Q19:AC19"/>
    <mergeCell ref="A20:F20"/>
    <mergeCell ref="G20:K20"/>
    <mergeCell ref="L20:P20"/>
    <mergeCell ref="Q20:AC20"/>
    <mergeCell ref="A17:F17"/>
    <mergeCell ref="G17:K17"/>
    <mergeCell ref="L17:P17"/>
    <mergeCell ref="Q17:AC17"/>
    <mergeCell ref="A18:F18"/>
    <mergeCell ref="G18:K18"/>
    <mergeCell ref="L18:P18"/>
    <mergeCell ref="Q18:AC18"/>
    <mergeCell ref="A15:F15"/>
    <mergeCell ref="G15:K15"/>
    <mergeCell ref="L15:P15"/>
    <mergeCell ref="Q15:AC15"/>
    <mergeCell ref="A16:F16"/>
    <mergeCell ref="G16:K16"/>
    <mergeCell ref="L16:P16"/>
    <mergeCell ref="Q16:AC16"/>
    <mergeCell ref="A25:F25"/>
    <mergeCell ref="G25:K25"/>
    <mergeCell ref="L25:P25"/>
    <mergeCell ref="Q25:AC25"/>
    <mergeCell ref="A26:F26"/>
    <mergeCell ref="G26:K26"/>
    <mergeCell ref="L26:P26"/>
    <mergeCell ref="Q26:AC26"/>
    <mergeCell ref="A23:F23"/>
    <mergeCell ref="G23:K23"/>
    <mergeCell ref="L23:P23"/>
    <mergeCell ref="Q23:AC23"/>
    <mergeCell ref="A24:F24"/>
    <mergeCell ref="G24:K24"/>
    <mergeCell ref="L24:P24"/>
    <mergeCell ref="Q24:AC24"/>
    <mergeCell ref="A21:F21"/>
    <mergeCell ref="G21:K21"/>
    <mergeCell ref="L21:P21"/>
    <mergeCell ref="Q21:AC21"/>
    <mergeCell ref="A22:F22"/>
    <mergeCell ref="G22:K22"/>
    <mergeCell ref="L22:P22"/>
    <mergeCell ref="Q22:AC22"/>
    <mergeCell ref="A31:F31"/>
    <mergeCell ref="G31:K31"/>
    <mergeCell ref="L31:P31"/>
    <mergeCell ref="Q31:AC31"/>
    <mergeCell ref="A32:F32"/>
    <mergeCell ref="G32:K32"/>
    <mergeCell ref="L32:P32"/>
    <mergeCell ref="Q32:AC32"/>
    <mergeCell ref="A29:F29"/>
    <mergeCell ref="G29:K29"/>
    <mergeCell ref="L29:P29"/>
    <mergeCell ref="Q29:AC29"/>
    <mergeCell ref="A30:F30"/>
    <mergeCell ref="G30:K30"/>
    <mergeCell ref="L30:P30"/>
    <mergeCell ref="Q30:AC30"/>
    <mergeCell ref="A27:F27"/>
    <mergeCell ref="G27:K27"/>
    <mergeCell ref="L27:P27"/>
    <mergeCell ref="Q27:AC27"/>
    <mergeCell ref="A28:F28"/>
    <mergeCell ref="G28:K28"/>
    <mergeCell ref="L28:P28"/>
    <mergeCell ref="Q28:AC28"/>
    <mergeCell ref="A37:F37"/>
    <mergeCell ref="G37:K37"/>
    <mergeCell ref="L37:P37"/>
    <mergeCell ref="Q37:AC37"/>
    <mergeCell ref="A38:F38"/>
    <mergeCell ref="G38:K38"/>
    <mergeCell ref="L38:P38"/>
    <mergeCell ref="Q38:AC38"/>
    <mergeCell ref="A35:F35"/>
    <mergeCell ref="G35:K35"/>
    <mergeCell ref="L35:P35"/>
    <mergeCell ref="Q35:AC35"/>
    <mergeCell ref="A36:F36"/>
    <mergeCell ref="G36:K36"/>
    <mergeCell ref="L36:P36"/>
    <mergeCell ref="Q36:AC36"/>
    <mergeCell ref="A33:F33"/>
    <mergeCell ref="G33:K33"/>
    <mergeCell ref="L33:P33"/>
    <mergeCell ref="Q33:AC33"/>
    <mergeCell ref="A34:F34"/>
    <mergeCell ref="G34:K34"/>
    <mergeCell ref="L34:P34"/>
    <mergeCell ref="Q34:AC34"/>
    <mergeCell ref="A43:F43"/>
    <mergeCell ref="G43:K43"/>
    <mergeCell ref="L43:P43"/>
    <mergeCell ref="Q43:AC43"/>
    <mergeCell ref="A44:F44"/>
    <mergeCell ref="G44:K44"/>
    <mergeCell ref="L44:P44"/>
    <mergeCell ref="Q44:AC44"/>
    <mergeCell ref="A41:F41"/>
    <mergeCell ref="G41:K41"/>
    <mergeCell ref="L41:P41"/>
    <mergeCell ref="Q41:AC41"/>
    <mergeCell ref="A42:F42"/>
    <mergeCell ref="G42:K42"/>
    <mergeCell ref="L42:P42"/>
    <mergeCell ref="Q42:AC42"/>
    <mergeCell ref="A39:F39"/>
    <mergeCell ref="G39:K39"/>
    <mergeCell ref="L39:P39"/>
    <mergeCell ref="Q39:AC39"/>
    <mergeCell ref="A40:F40"/>
    <mergeCell ref="G40:K40"/>
    <mergeCell ref="L40:P40"/>
    <mergeCell ref="Q40:AC40"/>
    <mergeCell ref="A49:F49"/>
    <mergeCell ref="G49:K49"/>
    <mergeCell ref="L49:P49"/>
    <mergeCell ref="Q49:AC49"/>
    <mergeCell ref="A50:F50"/>
    <mergeCell ref="G50:K50"/>
    <mergeCell ref="L50:P50"/>
    <mergeCell ref="Q50:AC50"/>
    <mergeCell ref="A47:F47"/>
    <mergeCell ref="G47:K47"/>
    <mergeCell ref="L47:P47"/>
    <mergeCell ref="Q47:AC47"/>
    <mergeCell ref="A48:F48"/>
    <mergeCell ref="G48:K48"/>
    <mergeCell ref="L48:P48"/>
    <mergeCell ref="Q48:AC48"/>
    <mergeCell ref="A45:F45"/>
    <mergeCell ref="G45:K45"/>
    <mergeCell ref="L45:P45"/>
    <mergeCell ref="Q45:AC45"/>
    <mergeCell ref="A46:F46"/>
    <mergeCell ref="G46:K46"/>
    <mergeCell ref="L46:P46"/>
    <mergeCell ref="Q46:AC46"/>
    <mergeCell ref="A55:F55"/>
    <mergeCell ref="G55:K55"/>
    <mergeCell ref="L55:P55"/>
    <mergeCell ref="Q55:AC55"/>
    <mergeCell ref="A56:F56"/>
    <mergeCell ref="G56:K56"/>
    <mergeCell ref="L56:P56"/>
    <mergeCell ref="Q56:AC56"/>
    <mergeCell ref="A53:F53"/>
    <mergeCell ref="G53:K53"/>
    <mergeCell ref="L53:P53"/>
    <mergeCell ref="Q53:AC53"/>
    <mergeCell ref="A54:F54"/>
    <mergeCell ref="G54:K54"/>
    <mergeCell ref="L54:P54"/>
    <mergeCell ref="Q54:AC54"/>
    <mergeCell ref="A51:F51"/>
    <mergeCell ref="G51:K51"/>
    <mergeCell ref="L51:P51"/>
    <mergeCell ref="Q51:AC51"/>
    <mergeCell ref="A52:F52"/>
    <mergeCell ref="G52:K52"/>
    <mergeCell ref="L52:P52"/>
    <mergeCell ref="Q52:AC52"/>
    <mergeCell ref="A61:F61"/>
    <mergeCell ref="G61:K61"/>
    <mergeCell ref="L61:P61"/>
    <mergeCell ref="Q61:AC61"/>
    <mergeCell ref="A62:F62"/>
    <mergeCell ref="G62:K62"/>
    <mergeCell ref="L62:P62"/>
    <mergeCell ref="Q62:AC62"/>
    <mergeCell ref="A59:F59"/>
    <mergeCell ref="G59:K59"/>
    <mergeCell ref="L59:P59"/>
    <mergeCell ref="Q59:AC59"/>
    <mergeCell ref="A60:F60"/>
    <mergeCell ref="G60:K60"/>
    <mergeCell ref="L60:P60"/>
    <mergeCell ref="Q60:AC60"/>
    <mergeCell ref="A57:F57"/>
    <mergeCell ref="G57:K57"/>
    <mergeCell ref="L57:P57"/>
    <mergeCell ref="Q57:AC57"/>
    <mergeCell ref="A58:F58"/>
    <mergeCell ref="G58:K58"/>
    <mergeCell ref="L58:P58"/>
    <mergeCell ref="Q58:AC58"/>
    <mergeCell ref="A67:F67"/>
    <mergeCell ref="G67:K67"/>
    <mergeCell ref="L67:P67"/>
    <mergeCell ref="Q67:AC67"/>
    <mergeCell ref="A68:F68"/>
    <mergeCell ref="G68:K68"/>
    <mergeCell ref="L68:P68"/>
    <mergeCell ref="Q68:AC68"/>
    <mergeCell ref="A65:F65"/>
    <mergeCell ref="G65:K65"/>
    <mergeCell ref="L65:P65"/>
    <mergeCell ref="Q65:AC65"/>
    <mergeCell ref="A66:F66"/>
    <mergeCell ref="G66:K66"/>
    <mergeCell ref="L66:P66"/>
    <mergeCell ref="Q66:AC66"/>
    <mergeCell ref="A63:F63"/>
    <mergeCell ref="G63:K63"/>
    <mergeCell ref="L63:P63"/>
    <mergeCell ref="Q63:AC63"/>
    <mergeCell ref="A64:F64"/>
    <mergeCell ref="G64:K64"/>
    <mergeCell ref="L64:P64"/>
    <mergeCell ref="Q64:AC64"/>
    <mergeCell ref="A73:F73"/>
    <mergeCell ref="G73:K73"/>
    <mergeCell ref="L73:P73"/>
    <mergeCell ref="Q73:AC73"/>
    <mergeCell ref="A74:F74"/>
    <mergeCell ref="G74:K74"/>
    <mergeCell ref="L74:P74"/>
    <mergeCell ref="Q74:AC74"/>
    <mergeCell ref="A71:F71"/>
    <mergeCell ref="G71:K71"/>
    <mergeCell ref="L71:P71"/>
    <mergeCell ref="Q71:AC71"/>
    <mergeCell ref="A72:F72"/>
    <mergeCell ref="G72:K72"/>
    <mergeCell ref="L72:P72"/>
    <mergeCell ref="Q72:AC72"/>
    <mergeCell ref="A69:F69"/>
    <mergeCell ref="G69:K69"/>
    <mergeCell ref="L69:P69"/>
    <mergeCell ref="Q69:AC69"/>
    <mergeCell ref="A70:F70"/>
    <mergeCell ref="G70:K70"/>
    <mergeCell ref="L70:P70"/>
    <mergeCell ref="Q70:AC70"/>
    <mergeCell ref="A79:F79"/>
    <mergeCell ref="G79:K79"/>
    <mergeCell ref="L79:P79"/>
    <mergeCell ref="Q79:AC79"/>
    <mergeCell ref="A80:F80"/>
    <mergeCell ref="G80:K80"/>
    <mergeCell ref="L80:P80"/>
    <mergeCell ref="Q80:AC80"/>
    <mergeCell ref="A77:F77"/>
    <mergeCell ref="G77:K77"/>
    <mergeCell ref="L77:P77"/>
    <mergeCell ref="Q77:AC77"/>
    <mergeCell ref="A78:F78"/>
    <mergeCell ref="G78:K78"/>
    <mergeCell ref="L78:P78"/>
    <mergeCell ref="Q78:AC78"/>
    <mergeCell ref="A75:F75"/>
    <mergeCell ref="G75:K75"/>
    <mergeCell ref="L75:P75"/>
    <mergeCell ref="Q75:AC75"/>
    <mergeCell ref="A76:F76"/>
    <mergeCell ref="G76:K76"/>
    <mergeCell ref="L76:P76"/>
    <mergeCell ref="Q76:AC76"/>
    <mergeCell ref="A85:F85"/>
    <mergeCell ref="G85:K85"/>
    <mergeCell ref="L85:P85"/>
    <mergeCell ref="Q85:AC85"/>
    <mergeCell ref="A86:F86"/>
    <mergeCell ref="G86:K86"/>
    <mergeCell ref="L86:P86"/>
    <mergeCell ref="Q86:AC86"/>
    <mergeCell ref="A83:F83"/>
    <mergeCell ref="G83:K83"/>
    <mergeCell ref="L83:P83"/>
    <mergeCell ref="Q83:AC83"/>
    <mergeCell ref="A84:F84"/>
    <mergeCell ref="G84:K84"/>
    <mergeCell ref="L84:P84"/>
    <mergeCell ref="Q84:AC84"/>
    <mergeCell ref="A81:F81"/>
    <mergeCell ref="G81:K81"/>
    <mergeCell ref="L81:P81"/>
    <mergeCell ref="Q81:AC81"/>
    <mergeCell ref="A82:F82"/>
    <mergeCell ref="G82:K82"/>
    <mergeCell ref="L82:P82"/>
    <mergeCell ref="Q82:AC82"/>
    <mergeCell ref="A91:F91"/>
    <mergeCell ref="G91:K91"/>
    <mergeCell ref="L91:P91"/>
    <mergeCell ref="Q91:AC91"/>
    <mergeCell ref="A92:F92"/>
    <mergeCell ref="G92:K92"/>
    <mergeCell ref="L92:P92"/>
    <mergeCell ref="Q92:AC92"/>
    <mergeCell ref="A89:F89"/>
    <mergeCell ref="G89:K89"/>
    <mergeCell ref="L89:P89"/>
    <mergeCell ref="Q89:AC89"/>
    <mergeCell ref="A90:F90"/>
    <mergeCell ref="G90:K90"/>
    <mergeCell ref="L90:P90"/>
    <mergeCell ref="Q90:AC90"/>
    <mergeCell ref="A87:F87"/>
    <mergeCell ref="G87:K87"/>
    <mergeCell ref="L87:P87"/>
    <mergeCell ref="Q87:AC87"/>
    <mergeCell ref="A88:F88"/>
    <mergeCell ref="G88:K88"/>
    <mergeCell ref="L88:P88"/>
    <mergeCell ref="Q88:AC88"/>
    <mergeCell ref="A97:F97"/>
    <mergeCell ref="G97:K97"/>
    <mergeCell ref="L97:P97"/>
    <mergeCell ref="Q97:AC97"/>
    <mergeCell ref="A98:F98"/>
    <mergeCell ref="G98:K98"/>
    <mergeCell ref="L98:P98"/>
    <mergeCell ref="Q98:AC98"/>
    <mergeCell ref="A95:F95"/>
    <mergeCell ref="G95:K95"/>
    <mergeCell ref="L95:P95"/>
    <mergeCell ref="Q95:AC95"/>
    <mergeCell ref="A96:F96"/>
    <mergeCell ref="G96:K96"/>
    <mergeCell ref="L96:P96"/>
    <mergeCell ref="Q96:AC96"/>
    <mergeCell ref="A93:F93"/>
    <mergeCell ref="G93:K93"/>
    <mergeCell ref="L93:P93"/>
    <mergeCell ref="Q93:AC93"/>
    <mergeCell ref="A94:F94"/>
    <mergeCell ref="G94:K94"/>
    <mergeCell ref="L94:P94"/>
    <mergeCell ref="Q94:AC94"/>
    <mergeCell ref="A103:F103"/>
    <mergeCell ref="G103:K103"/>
    <mergeCell ref="L103:P103"/>
    <mergeCell ref="Q103:AC103"/>
    <mergeCell ref="A104:F104"/>
    <mergeCell ref="G104:K104"/>
    <mergeCell ref="L104:P104"/>
    <mergeCell ref="Q104:AC104"/>
    <mergeCell ref="A101:F101"/>
    <mergeCell ref="G101:K101"/>
    <mergeCell ref="L101:P101"/>
    <mergeCell ref="Q101:AC101"/>
    <mergeCell ref="A102:F102"/>
    <mergeCell ref="G102:K102"/>
    <mergeCell ref="L102:P102"/>
    <mergeCell ref="Q102:AC102"/>
    <mergeCell ref="A99:F99"/>
    <mergeCell ref="G99:K99"/>
    <mergeCell ref="L99:P99"/>
    <mergeCell ref="Q99:AC99"/>
    <mergeCell ref="A100:F100"/>
    <mergeCell ref="G100:K100"/>
    <mergeCell ref="L100:P100"/>
    <mergeCell ref="Q100:AC100"/>
    <mergeCell ref="A109:F109"/>
    <mergeCell ref="G109:K109"/>
    <mergeCell ref="L109:P109"/>
    <mergeCell ref="Q109:AC109"/>
    <mergeCell ref="A110:F110"/>
    <mergeCell ref="G110:K110"/>
    <mergeCell ref="L110:P110"/>
    <mergeCell ref="Q110:AC110"/>
    <mergeCell ref="A107:F107"/>
    <mergeCell ref="G107:K107"/>
    <mergeCell ref="L107:P107"/>
    <mergeCell ref="Q107:AC107"/>
    <mergeCell ref="A108:F108"/>
    <mergeCell ref="G108:K108"/>
    <mergeCell ref="L108:P108"/>
    <mergeCell ref="Q108:AC108"/>
    <mergeCell ref="A105:F105"/>
    <mergeCell ref="G105:K105"/>
    <mergeCell ref="L105:P105"/>
    <mergeCell ref="Q105:AC105"/>
    <mergeCell ref="A106:F106"/>
    <mergeCell ref="G106:K106"/>
    <mergeCell ref="L106:P106"/>
    <mergeCell ref="Q106:AC106"/>
    <mergeCell ref="A115:F115"/>
    <mergeCell ref="G115:K115"/>
    <mergeCell ref="L115:P115"/>
    <mergeCell ref="Q115:AC115"/>
    <mergeCell ref="A116:F116"/>
    <mergeCell ref="G116:K116"/>
    <mergeCell ref="L116:P116"/>
    <mergeCell ref="Q116:AC116"/>
    <mergeCell ref="A113:F113"/>
    <mergeCell ref="G113:K113"/>
    <mergeCell ref="L113:P113"/>
    <mergeCell ref="Q113:AC113"/>
    <mergeCell ref="A114:F114"/>
    <mergeCell ref="G114:K114"/>
    <mergeCell ref="L114:P114"/>
    <mergeCell ref="Q114:AC114"/>
    <mergeCell ref="A111:F111"/>
    <mergeCell ref="G111:K111"/>
    <mergeCell ref="L111:P111"/>
    <mergeCell ref="Q111:AC111"/>
    <mergeCell ref="A112:F112"/>
    <mergeCell ref="G112:K112"/>
    <mergeCell ref="L112:P112"/>
    <mergeCell ref="Q112:AC112"/>
    <mergeCell ref="A121:F121"/>
    <mergeCell ref="G121:K121"/>
    <mergeCell ref="L121:P121"/>
    <mergeCell ref="Q121:AC121"/>
    <mergeCell ref="A122:F122"/>
    <mergeCell ref="G122:K122"/>
    <mergeCell ref="L122:P122"/>
    <mergeCell ref="Q122:AC122"/>
    <mergeCell ref="A119:F119"/>
    <mergeCell ref="G119:K119"/>
    <mergeCell ref="L119:P119"/>
    <mergeCell ref="Q119:AC119"/>
    <mergeCell ref="A120:F120"/>
    <mergeCell ref="G120:K120"/>
    <mergeCell ref="L120:P120"/>
    <mergeCell ref="Q120:AC120"/>
    <mergeCell ref="A117:F117"/>
    <mergeCell ref="G117:K117"/>
    <mergeCell ref="L117:P117"/>
    <mergeCell ref="Q117:AC117"/>
    <mergeCell ref="A118:F118"/>
    <mergeCell ref="G118:K118"/>
    <mergeCell ref="L118:P118"/>
    <mergeCell ref="Q118:AC118"/>
    <mergeCell ref="A127:F127"/>
    <mergeCell ref="G127:K127"/>
    <mergeCell ref="L127:P127"/>
    <mergeCell ref="Q127:AC127"/>
    <mergeCell ref="A128:F128"/>
    <mergeCell ref="G128:K128"/>
    <mergeCell ref="L128:P128"/>
    <mergeCell ref="Q128:AC128"/>
    <mergeCell ref="A125:F125"/>
    <mergeCell ref="G125:K125"/>
    <mergeCell ref="L125:P125"/>
    <mergeCell ref="Q125:AC125"/>
    <mergeCell ref="A126:F126"/>
    <mergeCell ref="G126:K126"/>
    <mergeCell ref="L126:P126"/>
    <mergeCell ref="Q126:AC126"/>
    <mergeCell ref="A123:F123"/>
    <mergeCell ref="G123:K123"/>
    <mergeCell ref="L123:P123"/>
    <mergeCell ref="Q123:AC123"/>
    <mergeCell ref="A124:F124"/>
    <mergeCell ref="G124:K124"/>
    <mergeCell ref="L124:P124"/>
    <mergeCell ref="Q124:AC124"/>
    <mergeCell ref="A133:F133"/>
    <mergeCell ref="G133:K133"/>
    <mergeCell ref="L133:P133"/>
    <mergeCell ref="Q133:AC133"/>
    <mergeCell ref="A134:F134"/>
    <mergeCell ref="G134:K134"/>
    <mergeCell ref="L134:P134"/>
    <mergeCell ref="Q134:AC134"/>
    <mergeCell ref="A131:F131"/>
    <mergeCell ref="G131:K131"/>
    <mergeCell ref="L131:P131"/>
    <mergeCell ref="Q131:AC131"/>
    <mergeCell ref="A132:F132"/>
    <mergeCell ref="G132:K132"/>
    <mergeCell ref="L132:P132"/>
    <mergeCell ref="Q132:AC132"/>
    <mergeCell ref="A129:F129"/>
    <mergeCell ref="G129:K129"/>
    <mergeCell ref="L129:P129"/>
    <mergeCell ref="Q129:AC129"/>
    <mergeCell ref="A130:F130"/>
    <mergeCell ref="G130:K130"/>
    <mergeCell ref="L130:P130"/>
    <mergeCell ref="Q130:AC130"/>
    <mergeCell ref="A139:F139"/>
    <mergeCell ref="G139:K139"/>
    <mergeCell ref="L139:P139"/>
    <mergeCell ref="Q139:AC139"/>
    <mergeCell ref="A140:F140"/>
    <mergeCell ref="G140:K140"/>
    <mergeCell ref="L140:P140"/>
    <mergeCell ref="Q140:AC140"/>
    <mergeCell ref="A137:F137"/>
    <mergeCell ref="G137:K137"/>
    <mergeCell ref="L137:P137"/>
    <mergeCell ref="Q137:AC137"/>
    <mergeCell ref="A138:F138"/>
    <mergeCell ref="G138:K138"/>
    <mergeCell ref="L138:P138"/>
    <mergeCell ref="Q138:AC138"/>
    <mergeCell ref="A135:F135"/>
    <mergeCell ref="G135:K135"/>
    <mergeCell ref="L135:P135"/>
    <mergeCell ref="Q135:AC135"/>
    <mergeCell ref="A136:F136"/>
    <mergeCell ref="G136:K136"/>
    <mergeCell ref="L136:P136"/>
    <mergeCell ref="Q136:AC136"/>
    <mergeCell ref="A145:F145"/>
    <mergeCell ref="G145:K145"/>
    <mergeCell ref="L145:P145"/>
    <mergeCell ref="Q145:AC145"/>
    <mergeCell ref="A146:F146"/>
    <mergeCell ref="G146:K146"/>
    <mergeCell ref="L146:P146"/>
    <mergeCell ref="Q146:AC146"/>
    <mergeCell ref="A143:F143"/>
    <mergeCell ref="G143:K143"/>
    <mergeCell ref="L143:P143"/>
    <mergeCell ref="Q143:AC143"/>
    <mergeCell ref="A144:F144"/>
    <mergeCell ref="G144:K144"/>
    <mergeCell ref="L144:P144"/>
    <mergeCell ref="Q144:AC144"/>
    <mergeCell ref="A141:F141"/>
    <mergeCell ref="G141:K141"/>
    <mergeCell ref="L141:P141"/>
    <mergeCell ref="Q141:AC141"/>
    <mergeCell ref="A142:F142"/>
    <mergeCell ref="G142:K142"/>
    <mergeCell ref="L142:P142"/>
    <mergeCell ref="Q142:AC142"/>
    <mergeCell ref="A151:F151"/>
    <mergeCell ref="G151:K151"/>
    <mergeCell ref="L151:P151"/>
    <mergeCell ref="Q151:AC151"/>
    <mergeCell ref="A152:F152"/>
    <mergeCell ref="G152:K152"/>
    <mergeCell ref="L152:P152"/>
    <mergeCell ref="Q152:AC152"/>
    <mergeCell ref="A149:F149"/>
    <mergeCell ref="G149:K149"/>
    <mergeCell ref="L149:P149"/>
    <mergeCell ref="Q149:AC149"/>
    <mergeCell ref="A150:F150"/>
    <mergeCell ref="G150:K150"/>
    <mergeCell ref="L150:P150"/>
    <mergeCell ref="Q150:AC150"/>
    <mergeCell ref="A147:F147"/>
    <mergeCell ref="G147:K147"/>
    <mergeCell ref="L147:P147"/>
    <mergeCell ref="Q147:AC147"/>
    <mergeCell ref="A148:F148"/>
    <mergeCell ref="G148:K148"/>
    <mergeCell ref="L148:P148"/>
    <mergeCell ref="Q148:AC148"/>
    <mergeCell ref="A157:F157"/>
    <mergeCell ref="G157:K157"/>
    <mergeCell ref="L157:P157"/>
    <mergeCell ref="Q157:AC157"/>
    <mergeCell ref="A158:F158"/>
    <mergeCell ref="G158:K158"/>
    <mergeCell ref="L158:P158"/>
    <mergeCell ref="Q158:AC158"/>
    <mergeCell ref="A155:F155"/>
    <mergeCell ref="G155:K155"/>
    <mergeCell ref="L155:P155"/>
    <mergeCell ref="Q155:AC155"/>
    <mergeCell ref="A156:F156"/>
    <mergeCell ref="G156:K156"/>
    <mergeCell ref="L156:P156"/>
    <mergeCell ref="Q156:AC156"/>
    <mergeCell ref="A153:F153"/>
    <mergeCell ref="G153:K153"/>
    <mergeCell ref="L153:P153"/>
    <mergeCell ref="Q153:AC153"/>
    <mergeCell ref="A154:F154"/>
    <mergeCell ref="G154:K154"/>
    <mergeCell ref="L154:P154"/>
    <mergeCell ref="Q154:AC154"/>
    <mergeCell ref="A163:F163"/>
    <mergeCell ref="G163:K163"/>
    <mergeCell ref="L163:P163"/>
    <mergeCell ref="Q163:AC163"/>
    <mergeCell ref="A164:F164"/>
    <mergeCell ref="G164:K164"/>
    <mergeCell ref="L164:P164"/>
    <mergeCell ref="Q164:AC164"/>
    <mergeCell ref="A161:F161"/>
    <mergeCell ref="G161:K161"/>
    <mergeCell ref="L161:P161"/>
    <mergeCell ref="Q161:AC161"/>
    <mergeCell ref="A162:F162"/>
    <mergeCell ref="G162:K162"/>
    <mergeCell ref="L162:P162"/>
    <mergeCell ref="Q162:AC162"/>
    <mergeCell ref="A159:F159"/>
    <mergeCell ref="G159:K159"/>
    <mergeCell ref="L159:P159"/>
    <mergeCell ref="Q159:AC159"/>
    <mergeCell ref="A160:F160"/>
    <mergeCell ref="G160:K160"/>
    <mergeCell ref="L160:P160"/>
    <mergeCell ref="Q160:AC160"/>
    <mergeCell ref="A169:F169"/>
    <mergeCell ref="G169:K169"/>
    <mergeCell ref="L169:P169"/>
    <mergeCell ref="Q169:AC169"/>
    <mergeCell ref="A170:F170"/>
    <mergeCell ref="G170:K170"/>
    <mergeCell ref="L170:P170"/>
    <mergeCell ref="Q170:AC170"/>
    <mergeCell ref="A167:F167"/>
    <mergeCell ref="G167:K167"/>
    <mergeCell ref="L167:P167"/>
    <mergeCell ref="Q167:AC167"/>
    <mergeCell ref="A168:F168"/>
    <mergeCell ref="G168:K168"/>
    <mergeCell ref="L168:P168"/>
    <mergeCell ref="Q168:AC168"/>
    <mergeCell ref="A165:F165"/>
    <mergeCell ref="G165:K165"/>
    <mergeCell ref="L165:P165"/>
    <mergeCell ref="Q165:AC165"/>
    <mergeCell ref="A166:F166"/>
    <mergeCell ref="G166:K166"/>
    <mergeCell ref="L166:P166"/>
    <mergeCell ref="Q166:AC166"/>
    <mergeCell ref="A175:F175"/>
    <mergeCell ref="G175:K175"/>
    <mergeCell ref="L175:P175"/>
    <mergeCell ref="Q175:AC175"/>
    <mergeCell ref="A176:F176"/>
    <mergeCell ref="G176:K176"/>
    <mergeCell ref="L176:P176"/>
    <mergeCell ref="Q176:AC176"/>
    <mergeCell ref="A173:F173"/>
    <mergeCell ref="G173:K173"/>
    <mergeCell ref="L173:P173"/>
    <mergeCell ref="Q173:AC173"/>
    <mergeCell ref="A174:F174"/>
    <mergeCell ref="G174:K174"/>
    <mergeCell ref="L174:P174"/>
    <mergeCell ref="Q174:AC174"/>
    <mergeCell ref="A171:F171"/>
    <mergeCell ref="G171:K171"/>
    <mergeCell ref="L171:P171"/>
    <mergeCell ref="Q171:AC171"/>
    <mergeCell ref="A172:F172"/>
    <mergeCell ref="G172:K172"/>
    <mergeCell ref="L172:P172"/>
    <mergeCell ref="Q172:AC172"/>
    <mergeCell ref="A181:F181"/>
    <mergeCell ref="G181:K181"/>
    <mergeCell ref="L181:P181"/>
    <mergeCell ref="Q181:AC181"/>
    <mergeCell ref="A182:F182"/>
    <mergeCell ref="G182:K182"/>
    <mergeCell ref="L182:P182"/>
    <mergeCell ref="Q182:AC182"/>
    <mergeCell ref="A179:F179"/>
    <mergeCell ref="G179:K179"/>
    <mergeCell ref="L179:P179"/>
    <mergeCell ref="Q179:AC179"/>
    <mergeCell ref="A180:F180"/>
    <mergeCell ref="G180:K180"/>
    <mergeCell ref="L180:P180"/>
    <mergeCell ref="Q180:AC180"/>
    <mergeCell ref="A177:F177"/>
    <mergeCell ref="G177:K177"/>
    <mergeCell ref="L177:P177"/>
    <mergeCell ref="Q177:AC177"/>
    <mergeCell ref="A178:F178"/>
    <mergeCell ref="G178:K178"/>
    <mergeCell ref="L178:P178"/>
    <mergeCell ref="Q178:AC178"/>
    <mergeCell ref="A187:F187"/>
    <mergeCell ref="G187:K187"/>
    <mergeCell ref="L187:P187"/>
    <mergeCell ref="Q187:AC187"/>
    <mergeCell ref="A188:F188"/>
    <mergeCell ref="G188:K188"/>
    <mergeCell ref="L188:P188"/>
    <mergeCell ref="Q188:AC188"/>
    <mergeCell ref="A185:F185"/>
    <mergeCell ref="G185:K185"/>
    <mergeCell ref="L185:P185"/>
    <mergeCell ref="Q185:AC185"/>
    <mergeCell ref="A186:F186"/>
    <mergeCell ref="G186:K186"/>
    <mergeCell ref="L186:P186"/>
    <mergeCell ref="Q186:AC186"/>
    <mergeCell ref="A183:F183"/>
    <mergeCell ref="G183:K183"/>
    <mergeCell ref="L183:P183"/>
    <mergeCell ref="Q183:AC183"/>
    <mergeCell ref="A184:F184"/>
    <mergeCell ref="G184:K184"/>
    <mergeCell ref="L184:P184"/>
    <mergeCell ref="Q184:AC184"/>
    <mergeCell ref="A193:F193"/>
    <mergeCell ref="G193:K193"/>
    <mergeCell ref="L193:P193"/>
    <mergeCell ref="Q193:AC193"/>
    <mergeCell ref="A194:F194"/>
    <mergeCell ref="G194:K194"/>
    <mergeCell ref="L194:P194"/>
    <mergeCell ref="Q194:AC194"/>
    <mergeCell ref="A191:F191"/>
    <mergeCell ref="G191:K191"/>
    <mergeCell ref="L191:P191"/>
    <mergeCell ref="Q191:AC191"/>
    <mergeCell ref="A192:F192"/>
    <mergeCell ref="G192:K192"/>
    <mergeCell ref="L192:P192"/>
    <mergeCell ref="Q192:AC192"/>
    <mergeCell ref="A189:F189"/>
    <mergeCell ref="G189:K189"/>
    <mergeCell ref="L189:P189"/>
    <mergeCell ref="Q189:AC189"/>
    <mergeCell ref="A190:F190"/>
    <mergeCell ref="G190:K190"/>
    <mergeCell ref="L190:P190"/>
    <mergeCell ref="Q190:AC190"/>
    <mergeCell ref="A199:F199"/>
    <mergeCell ref="G199:K199"/>
    <mergeCell ref="L199:P199"/>
    <mergeCell ref="Q199:AC199"/>
    <mergeCell ref="A200:F200"/>
    <mergeCell ref="G200:K200"/>
    <mergeCell ref="L200:P200"/>
    <mergeCell ref="Q200:AC200"/>
    <mergeCell ref="A197:F197"/>
    <mergeCell ref="G197:K197"/>
    <mergeCell ref="L197:P197"/>
    <mergeCell ref="Q197:AC197"/>
    <mergeCell ref="A198:F198"/>
    <mergeCell ref="G198:K198"/>
    <mergeCell ref="L198:P198"/>
    <mergeCell ref="Q198:AC198"/>
    <mergeCell ref="A195:F195"/>
    <mergeCell ref="G195:K195"/>
    <mergeCell ref="L195:P195"/>
    <mergeCell ref="Q195:AC195"/>
    <mergeCell ref="A196:F196"/>
    <mergeCell ref="G196:K196"/>
    <mergeCell ref="L196:P196"/>
    <mergeCell ref="Q196:AC196"/>
    <mergeCell ref="A205:F205"/>
    <mergeCell ref="G205:K205"/>
    <mergeCell ref="L205:P205"/>
    <mergeCell ref="Q205:AC205"/>
    <mergeCell ref="A206:F206"/>
    <mergeCell ref="G206:K206"/>
    <mergeCell ref="L206:P206"/>
    <mergeCell ref="Q206:AC206"/>
    <mergeCell ref="A203:F203"/>
    <mergeCell ref="G203:K203"/>
    <mergeCell ref="L203:P203"/>
    <mergeCell ref="Q203:AC203"/>
    <mergeCell ref="A204:F204"/>
    <mergeCell ref="G204:K204"/>
    <mergeCell ref="L204:P204"/>
    <mergeCell ref="Q204:AC204"/>
    <mergeCell ref="A201:F201"/>
    <mergeCell ref="G201:K201"/>
    <mergeCell ref="L201:P201"/>
    <mergeCell ref="Q201:AC201"/>
    <mergeCell ref="A202:F202"/>
    <mergeCell ref="G202:K202"/>
    <mergeCell ref="L202:P202"/>
    <mergeCell ref="Q202:AC202"/>
    <mergeCell ref="A211:F211"/>
    <mergeCell ref="G211:K211"/>
    <mergeCell ref="L211:P211"/>
    <mergeCell ref="Q211:AC211"/>
    <mergeCell ref="A212:F212"/>
    <mergeCell ref="G212:K212"/>
    <mergeCell ref="L212:P212"/>
    <mergeCell ref="Q212:AC212"/>
    <mergeCell ref="A209:F209"/>
    <mergeCell ref="G209:K209"/>
    <mergeCell ref="L209:P209"/>
    <mergeCell ref="Q209:AC209"/>
    <mergeCell ref="A210:F210"/>
    <mergeCell ref="G210:K210"/>
    <mergeCell ref="L210:P210"/>
    <mergeCell ref="Q210:AC210"/>
    <mergeCell ref="A207:F207"/>
    <mergeCell ref="G207:K207"/>
    <mergeCell ref="L207:P207"/>
    <mergeCell ref="Q207:AC207"/>
    <mergeCell ref="A208:F208"/>
    <mergeCell ref="G208:K208"/>
    <mergeCell ref="L208:P208"/>
    <mergeCell ref="Q208:AC208"/>
    <mergeCell ref="A217:F217"/>
    <mergeCell ref="G217:K217"/>
    <mergeCell ref="L217:P217"/>
    <mergeCell ref="Q217:AC217"/>
    <mergeCell ref="A218:F218"/>
    <mergeCell ref="G218:K218"/>
    <mergeCell ref="L218:P218"/>
    <mergeCell ref="Q218:AC218"/>
    <mergeCell ref="A215:F215"/>
    <mergeCell ref="G215:K215"/>
    <mergeCell ref="L215:P215"/>
    <mergeCell ref="Q215:AC215"/>
    <mergeCell ref="A216:F216"/>
    <mergeCell ref="G216:K216"/>
    <mergeCell ref="L216:P216"/>
    <mergeCell ref="Q216:AC216"/>
    <mergeCell ref="A213:F213"/>
    <mergeCell ref="G213:K213"/>
    <mergeCell ref="L213:P213"/>
    <mergeCell ref="Q213:AC213"/>
    <mergeCell ref="A214:F214"/>
    <mergeCell ref="G214:K214"/>
    <mergeCell ref="L214:P214"/>
    <mergeCell ref="Q214:AC214"/>
    <mergeCell ref="A223:F223"/>
    <mergeCell ref="G223:K223"/>
    <mergeCell ref="L223:P223"/>
    <mergeCell ref="Q223:AC223"/>
    <mergeCell ref="A224:F224"/>
    <mergeCell ref="G224:K224"/>
    <mergeCell ref="L224:P224"/>
    <mergeCell ref="Q224:AC224"/>
    <mergeCell ref="A221:F221"/>
    <mergeCell ref="G221:K221"/>
    <mergeCell ref="L221:P221"/>
    <mergeCell ref="Q221:AC221"/>
    <mergeCell ref="A222:F222"/>
    <mergeCell ref="G222:K222"/>
    <mergeCell ref="L222:P222"/>
    <mergeCell ref="Q222:AC222"/>
    <mergeCell ref="A219:F219"/>
    <mergeCell ref="G219:K219"/>
    <mergeCell ref="L219:P219"/>
    <mergeCell ref="Q219:AC219"/>
    <mergeCell ref="A220:F220"/>
    <mergeCell ref="G220:K220"/>
    <mergeCell ref="L220:P220"/>
    <mergeCell ref="Q220:AC220"/>
    <mergeCell ref="A229:F229"/>
    <mergeCell ref="G229:K229"/>
    <mergeCell ref="L229:P229"/>
    <mergeCell ref="Q229:AC229"/>
    <mergeCell ref="A230:F230"/>
    <mergeCell ref="G230:K230"/>
    <mergeCell ref="L230:P230"/>
    <mergeCell ref="Q230:AC230"/>
    <mergeCell ref="A227:F227"/>
    <mergeCell ref="G227:K227"/>
    <mergeCell ref="L227:P227"/>
    <mergeCell ref="Q227:AC227"/>
    <mergeCell ref="A228:F228"/>
    <mergeCell ref="G228:K228"/>
    <mergeCell ref="L228:P228"/>
    <mergeCell ref="Q228:AC228"/>
    <mergeCell ref="A225:F225"/>
    <mergeCell ref="G225:K225"/>
    <mergeCell ref="L225:P225"/>
    <mergeCell ref="Q225:AC225"/>
    <mergeCell ref="A226:F226"/>
    <mergeCell ref="G226:K226"/>
    <mergeCell ref="L226:P226"/>
    <mergeCell ref="Q226:AC226"/>
    <mergeCell ref="A235:F235"/>
    <mergeCell ref="G235:K235"/>
    <mergeCell ref="L235:P235"/>
    <mergeCell ref="Q235:AC235"/>
    <mergeCell ref="A236:F236"/>
    <mergeCell ref="G236:K236"/>
    <mergeCell ref="L236:P236"/>
    <mergeCell ref="Q236:AC236"/>
    <mergeCell ref="A233:F233"/>
    <mergeCell ref="G233:K233"/>
    <mergeCell ref="L233:P233"/>
    <mergeCell ref="Q233:AC233"/>
    <mergeCell ref="A234:F234"/>
    <mergeCell ref="G234:K234"/>
    <mergeCell ref="L234:P234"/>
    <mergeCell ref="Q234:AC234"/>
    <mergeCell ref="A231:F231"/>
    <mergeCell ref="G231:K231"/>
    <mergeCell ref="L231:P231"/>
    <mergeCell ref="Q231:AC231"/>
    <mergeCell ref="A232:F232"/>
    <mergeCell ref="G232:K232"/>
    <mergeCell ref="L232:P232"/>
    <mergeCell ref="Q232:AC232"/>
    <mergeCell ref="A241:F241"/>
    <mergeCell ref="G241:K241"/>
    <mergeCell ref="L241:P241"/>
    <mergeCell ref="Q241:AC241"/>
    <mergeCell ref="A242:F242"/>
    <mergeCell ref="G242:K242"/>
    <mergeCell ref="L242:P242"/>
    <mergeCell ref="Q242:AC242"/>
    <mergeCell ref="A239:F239"/>
    <mergeCell ref="G239:K239"/>
    <mergeCell ref="L239:P239"/>
    <mergeCell ref="Q239:AC239"/>
    <mergeCell ref="A240:F240"/>
    <mergeCell ref="G240:K240"/>
    <mergeCell ref="L240:P240"/>
    <mergeCell ref="Q240:AC240"/>
    <mergeCell ref="A237:F237"/>
    <mergeCell ref="G237:K237"/>
    <mergeCell ref="L237:P237"/>
    <mergeCell ref="Q237:AC237"/>
    <mergeCell ref="A238:F238"/>
    <mergeCell ref="G238:K238"/>
    <mergeCell ref="L238:P238"/>
    <mergeCell ref="Q238:AC238"/>
    <mergeCell ref="A247:F247"/>
    <mergeCell ref="G247:K247"/>
    <mergeCell ref="L247:P247"/>
    <mergeCell ref="Q247:AC247"/>
    <mergeCell ref="A248:F248"/>
    <mergeCell ref="G248:K248"/>
    <mergeCell ref="L248:P248"/>
    <mergeCell ref="Q248:AC248"/>
    <mergeCell ref="A245:F245"/>
    <mergeCell ref="G245:K245"/>
    <mergeCell ref="L245:P245"/>
    <mergeCell ref="Q245:AC245"/>
    <mergeCell ref="A246:F246"/>
    <mergeCell ref="G246:K246"/>
    <mergeCell ref="L246:P246"/>
    <mergeCell ref="Q246:AC246"/>
    <mergeCell ref="A243:F243"/>
    <mergeCell ref="G243:K243"/>
    <mergeCell ref="L243:P243"/>
    <mergeCell ref="Q243:AC243"/>
    <mergeCell ref="A244:F244"/>
    <mergeCell ref="G244:K244"/>
    <mergeCell ref="L244:P244"/>
    <mergeCell ref="Q244:AC244"/>
    <mergeCell ref="A253:F253"/>
    <mergeCell ref="G253:K253"/>
    <mergeCell ref="L253:P253"/>
    <mergeCell ref="Q253:AC253"/>
    <mergeCell ref="A254:F254"/>
    <mergeCell ref="G254:K254"/>
    <mergeCell ref="L254:P254"/>
    <mergeCell ref="Q254:AC254"/>
    <mergeCell ref="A251:F251"/>
    <mergeCell ref="G251:K251"/>
    <mergeCell ref="L251:P251"/>
    <mergeCell ref="Q251:AC251"/>
    <mergeCell ref="A252:F252"/>
    <mergeCell ref="G252:K252"/>
    <mergeCell ref="L252:P252"/>
    <mergeCell ref="Q252:AC252"/>
    <mergeCell ref="A249:F249"/>
    <mergeCell ref="G249:K249"/>
    <mergeCell ref="L249:P249"/>
    <mergeCell ref="Q249:AC249"/>
    <mergeCell ref="A250:F250"/>
    <mergeCell ref="G250:K250"/>
    <mergeCell ref="L250:P250"/>
    <mergeCell ref="Q250:AC250"/>
    <mergeCell ref="A259:F259"/>
    <mergeCell ref="G259:K259"/>
    <mergeCell ref="L259:P259"/>
    <mergeCell ref="Q259:AC259"/>
    <mergeCell ref="A260:F260"/>
    <mergeCell ref="G260:K260"/>
    <mergeCell ref="L260:P260"/>
    <mergeCell ref="Q260:AC260"/>
    <mergeCell ref="A257:F257"/>
    <mergeCell ref="G257:K257"/>
    <mergeCell ref="L257:P257"/>
    <mergeCell ref="Q257:AC257"/>
    <mergeCell ref="A258:F258"/>
    <mergeCell ref="G258:K258"/>
    <mergeCell ref="L258:P258"/>
    <mergeCell ref="Q258:AC258"/>
    <mergeCell ref="A255:F255"/>
    <mergeCell ref="G255:K255"/>
    <mergeCell ref="L255:P255"/>
    <mergeCell ref="Q255:AC255"/>
    <mergeCell ref="A256:F256"/>
    <mergeCell ref="G256:K256"/>
    <mergeCell ref="L256:P256"/>
    <mergeCell ref="Q256:AC256"/>
    <mergeCell ref="A265:F265"/>
    <mergeCell ref="G265:K265"/>
    <mergeCell ref="L265:P265"/>
    <mergeCell ref="Q265:AC265"/>
    <mergeCell ref="A266:F266"/>
    <mergeCell ref="G266:K266"/>
    <mergeCell ref="L266:P266"/>
    <mergeCell ref="Q266:AC266"/>
    <mergeCell ref="A263:F263"/>
    <mergeCell ref="G263:K263"/>
    <mergeCell ref="L263:P263"/>
    <mergeCell ref="Q263:AC263"/>
    <mergeCell ref="A264:F264"/>
    <mergeCell ref="G264:K264"/>
    <mergeCell ref="L264:P264"/>
    <mergeCell ref="Q264:AC264"/>
    <mergeCell ref="A261:F261"/>
    <mergeCell ref="G261:K261"/>
    <mergeCell ref="L261:P261"/>
    <mergeCell ref="Q261:AC261"/>
    <mergeCell ref="A262:F262"/>
    <mergeCell ref="G262:K262"/>
    <mergeCell ref="L262:P262"/>
    <mergeCell ref="Q262:AC262"/>
    <mergeCell ref="A271:F271"/>
    <mergeCell ref="G271:K271"/>
    <mergeCell ref="L271:P271"/>
    <mergeCell ref="Q271:AC271"/>
    <mergeCell ref="A272:F272"/>
    <mergeCell ref="G272:K272"/>
    <mergeCell ref="L272:P272"/>
    <mergeCell ref="Q272:AC272"/>
    <mergeCell ref="A269:F269"/>
    <mergeCell ref="G269:K269"/>
    <mergeCell ref="L269:P269"/>
    <mergeCell ref="Q269:AC269"/>
    <mergeCell ref="A270:F270"/>
    <mergeCell ref="G270:K270"/>
    <mergeCell ref="L270:P270"/>
    <mergeCell ref="Q270:AC270"/>
    <mergeCell ref="A267:F267"/>
    <mergeCell ref="G267:K267"/>
    <mergeCell ref="L267:P267"/>
    <mergeCell ref="Q267:AC267"/>
    <mergeCell ref="A268:F268"/>
    <mergeCell ref="G268:K268"/>
    <mergeCell ref="L268:P268"/>
    <mergeCell ref="Q268:AC268"/>
    <mergeCell ref="A277:F277"/>
    <mergeCell ref="G277:K277"/>
    <mergeCell ref="L277:P277"/>
    <mergeCell ref="Q277:AC277"/>
    <mergeCell ref="A278:F278"/>
    <mergeCell ref="G278:K278"/>
    <mergeCell ref="L278:P278"/>
    <mergeCell ref="Q278:AC278"/>
    <mergeCell ref="A275:F275"/>
    <mergeCell ref="G275:K275"/>
    <mergeCell ref="L275:P275"/>
    <mergeCell ref="Q275:AC275"/>
    <mergeCell ref="A276:F276"/>
    <mergeCell ref="G276:K276"/>
    <mergeCell ref="L276:P276"/>
    <mergeCell ref="Q276:AC276"/>
    <mergeCell ref="A273:F273"/>
    <mergeCell ref="G273:K273"/>
    <mergeCell ref="L273:P273"/>
    <mergeCell ref="Q273:AC273"/>
    <mergeCell ref="A274:F274"/>
    <mergeCell ref="G274:K274"/>
    <mergeCell ref="L274:P274"/>
    <mergeCell ref="Q274:AC274"/>
    <mergeCell ref="A283:F283"/>
    <mergeCell ref="G283:K283"/>
    <mergeCell ref="L283:P283"/>
    <mergeCell ref="Q283:AC283"/>
    <mergeCell ref="A284:F284"/>
    <mergeCell ref="G284:K284"/>
    <mergeCell ref="L284:P284"/>
    <mergeCell ref="Q284:AC284"/>
    <mergeCell ref="A281:F281"/>
    <mergeCell ref="G281:K281"/>
    <mergeCell ref="L281:P281"/>
    <mergeCell ref="Q281:AC281"/>
    <mergeCell ref="A282:F282"/>
    <mergeCell ref="G282:K282"/>
    <mergeCell ref="L282:P282"/>
    <mergeCell ref="Q282:AC282"/>
    <mergeCell ref="A279:F279"/>
    <mergeCell ref="G279:K279"/>
    <mergeCell ref="L279:P279"/>
    <mergeCell ref="Q279:AC279"/>
    <mergeCell ref="A280:F280"/>
    <mergeCell ref="G280:K280"/>
    <mergeCell ref="L280:P280"/>
    <mergeCell ref="Q280:AC280"/>
    <mergeCell ref="A289:F289"/>
    <mergeCell ref="G289:K289"/>
    <mergeCell ref="L289:P289"/>
    <mergeCell ref="Q289:AC289"/>
    <mergeCell ref="A290:F290"/>
    <mergeCell ref="G290:K290"/>
    <mergeCell ref="L290:P290"/>
    <mergeCell ref="Q290:AC290"/>
    <mergeCell ref="A287:F287"/>
    <mergeCell ref="G287:K287"/>
    <mergeCell ref="L287:P287"/>
    <mergeCell ref="Q287:AC287"/>
    <mergeCell ref="A288:F288"/>
    <mergeCell ref="G288:K288"/>
    <mergeCell ref="L288:P288"/>
    <mergeCell ref="Q288:AC288"/>
    <mergeCell ref="A285:F285"/>
    <mergeCell ref="G285:K285"/>
    <mergeCell ref="L285:P285"/>
    <mergeCell ref="Q285:AC285"/>
    <mergeCell ref="A286:F286"/>
    <mergeCell ref="G286:K286"/>
    <mergeCell ref="L286:P286"/>
    <mergeCell ref="Q286:AC286"/>
    <mergeCell ref="A295:F295"/>
    <mergeCell ref="G295:K295"/>
    <mergeCell ref="L295:P295"/>
    <mergeCell ref="Q295:AC295"/>
    <mergeCell ref="A296:F296"/>
    <mergeCell ref="G296:K296"/>
    <mergeCell ref="L296:P296"/>
    <mergeCell ref="Q296:AC296"/>
    <mergeCell ref="A293:F293"/>
    <mergeCell ref="G293:K293"/>
    <mergeCell ref="L293:P293"/>
    <mergeCell ref="Q293:AC293"/>
    <mergeCell ref="A294:F294"/>
    <mergeCell ref="G294:K294"/>
    <mergeCell ref="L294:P294"/>
    <mergeCell ref="Q294:AC294"/>
    <mergeCell ref="A291:F291"/>
    <mergeCell ref="G291:K291"/>
    <mergeCell ref="L291:P291"/>
    <mergeCell ref="Q291:AC291"/>
    <mergeCell ref="A292:F292"/>
    <mergeCell ref="G292:K292"/>
    <mergeCell ref="L292:P292"/>
    <mergeCell ref="Q292:AC292"/>
    <mergeCell ref="A301:F301"/>
    <mergeCell ref="G301:K301"/>
    <mergeCell ref="L301:P301"/>
    <mergeCell ref="Q301:AC301"/>
    <mergeCell ref="A302:F302"/>
    <mergeCell ref="G302:K302"/>
    <mergeCell ref="L302:P302"/>
    <mergeCell ref="Q302:AC302"/>
    <mergeCell ref="A299:F299"/>
    <mergeCell ref="G299:K299"/>
    <mergeCell ref="L299:P299"/>
    <mergeCell ref="Q299:AC299"/>
    <mergeCell ref="A300:F300"/>
    <mergeCell ref="G300:K300"/>
    <mergeCell ref="L300:P300"/>
    <mergeCell ref="Q300:AC300"/>
    <mergeCell ref="A297:F297"/>
    <mergeCell ref="G297:K297"/>
    <mergeCell ref="L297:P297"/>
    <mergeCell ref="Q297:AC297"/>
    <mergeCell ref="A298:F298"/>
    <mergeCell ref="G298:K298"/>
    <mergeCell ref="L298:P298"/>
    <mergeCell ref="Q298:AC298"/>
    <mergeCell ref="A307:F307"/>
    <mergeCell ref="G307:K307"/>
    <mergeCell ref="L307:P307"/>
    <mergeCell ref="Q307:AC307"/>
    <mergeCell ref="A308:F308"/>
    <mergeCell ref="G308:K308"/>
    <mergeCell ref="L308:P308"/>
    <mergeCell ref="Q308:AC308"/>
    <mergeCell ref="A305:F305"/>
    <mergeCell ref="G305:K305"/>
    <mergeCell ref="L305:P305"/>
    <mergeCell ref="Q305:AC305"/>
    <mergeCell ref="A306:F306"/>
    <mergeCell ref="G306:K306"/>
    <mergeCell ref="L306:P306"/>
    <mergeCell ref="Q306:AC306"/>
    <mergeCell ref="A303:F303"/>
    <mergeCell ref="G303:K303"/>
    <mergeCell ref="L303:P303"/>
    <mergeCell ref="Q303:AC303"/>
    <mergeCell ref="A304:F304"/>
    <mergeCell ref="G304:K304"/>
    <mergeCell ref="L304:P304"/>
    <mergeCell ref="Q304:AC304"/>
    <mergeCell ref="A313:F313"/>
    <mergeCell ref="G313:K313"/>
    <mergeCell ref="L313:P313"/>
    <mergeCell ref="Q313:AC313"/>
    <mergeCell ref="A314:F314"/>
    <mergeCell ref="G314:K314"/>
    <mergeCell ref="L314:P314"/>
    <mergeCell ref="Q314:AC314"/>
    <mergeCell ref="A311:F311"/>
    <mergeCell ref="G311:K311"/>
    <mergeCell ref="L311:P311"/>
    <mergeCell ref="Q311:AC311"/>
    <mergeCell ref="A312:F312"/>
    <mergeCell ref="G312:K312"/>
    <mergeCell ref="L312:P312"/>
    <mergeCell ref="Q312:AC312"/>
    <mergeCell ref="A309:F309"/>
    <mergeCell ref="G309:K309"/>
    <mergeCell ref="L309:P309"/>
    <mergeCell ref="Q309:AC309"/>
    <mergeCell ref="A310:F310"/>
    <mergeCell ref="G310:K310"/>
    <mergeCell ref="L310:P310"/>
    <mergeCell ref="Q310:AC310"/>
    <mergeCell ref="A319:F319"/>
    <mergeCell ref="G319:K319"/>
    <mergeCell ref="L319:P319"/>
    <mergeCell ref="Q319:AC319"/>
    <mergeCell ref="A320:F320"/>
    <mergeCell ref="G320:K320"/>
    <mergeCell ref="L320:P320"/>
    <mergeCell ref="Q320:AC320"/>
    <mergeCell ref="A317:F317"/>
    <mergeCell ref="G317:K317"/>
    <mergeCell ref="L317:P317"/>
    <mergeCell ref="Q317:AC317"/>
    <mergeCell ref="A318:F318"/>
    <mergeCell ref="G318:K318"/>
    <mergeCell ref="L318:P318"/>
    <mergeCell ref="Q318:AC318"/>
    <mergeCell ref="A315:F315"/>
    <mergeCell ref="G315:K315"/>
    <mergeCell ref="L315:P315"/>
    <mergeCell ref="Q315:AC315"/>
    <mergeCell ref="A316:F316"/>
    <mergeCell ref="G316:K316"/>
    <mergeCell ref="L316:P316"/>
    <mergeCell ref="Q316:AC316"/>
    <mergeCell ref="A325:F325"/>
    <mergeCell ref="G325:K325"/>
    <mergeCell ref="L325:P325"/>
    <mergeCell ref="Q325:AC325"/>
    <mergeCell ref="A326:F326"/>
    <mergeCell ref="G326:K326"/>
    <mergeCell ref="L326:P326"/>
    <mergeCell ref="Q326:AC326"/>
    <mergeCell ref="A323:F323"/>
    <mergeCell ref="G323:K323"/>
    <mergeCell ref="L323:P323"/>
    <mergeCell ref="Q323:AC323"/>
    <mergeCell ref="A324:F324"/>
    <mergeCell ref="G324:K324"/>
    <mergeCell ref="L324:P324"/>
    <mergeCell ref="Q324:AC324"/>
    <mergeCell ref="A321:F321"/>
    <mergeCell ref="G321:K321"/>
    <mergeCell ref="L321:P321"/>
    <mergeCell ref="Q321:AC321"/>
    <mergeCell ref="A322:F322"/>
    <mergeCell ref="G322:K322"/>
    <mergeCell ref="L322:P322"/>
    <mergeCell ref="Q322:AC322"/>
    <mergeCell ref="A331:F331"/>
    <mergeCell ref="G331:K331"/>
    <mergeCell ref="L331:P331"/>
    <mergeCell ref="Q331:AC331"/>
    <mergeCell ref="A332:F332"/>
    <mergeCell ref="G332:K332"/>
    <mergeCell ref="L332:P332"/>
    <mergeCell ref="Q332:AC332"/>
    <mergeCell ref="A329:F329"/>
    <mergeCell ref="G329:K329"/>
    <mergeCell ref="L329:P329"/>
    <mergeCell ref="Q329:AC329"/>
    <mergeCell ref="A330:F330"/>
    <mergeCell ref="G330:K330"/>
    <mergeCell ref="L330:P330"/>
    <mergeCell ref="Q330:AC330"/>
    <mergeCell ref="A327:F327"/>
    <mergeCell ref="G327:K327"/>
    <mergeCell ref="L327:P327"/>
    <mergeCell ref="Q327:AC327"/>
    <mergeCell ref="A328:F328"/>
    <mergeCell ref="G328:K328"/>
    <mergeCell ref="L328:P328"/>
    <mergeCell ref="Q328:AC328"/>
    <mergeCell ref="A337:F337"/>
    <mergeCell ref="G337:K337"/>
    <mergeCell ref="L337:P337"/>
    <mergeCell ref="Q337:AC337"/>
    <mergeCell ref="A338:F338"/>
    <mergeCell ref="G338:K338"/>
    <mergeCell ref="L338:P338"/>
    <mergeCell ref="Q338:AC338"/>
    <mergeCell ref="A335:F335"/>
    <mergeCell ref="G335:K335"/>
    <mergeCell ref="L335:P335"/>
    <mergeCell ref="Q335:AC335"/>
    <mergeCell ref="A336:F336"/>
    <mergeCell ref="G336:K336"/>
    <mergeCell ref="L336:P336"/>
    <mergeCell ref="Q336:AC336"/>
    <mergeCell ref="A333:F333"/>
    <mergeCell ref="G333:K333"/>
    <mergeCell ref="L333:P333"/>
    <mergeCell ref="Q333:AC333"/>
    <mergeCell ref="A334:F334"/>
    <mergeCell ref="G334:K334"/>
    <mergeCell ref="L334:P334"/>
    <mergeCell ref="Q334:AC334"/>
    <mergeCell ref="A343:F343"/>
    <mergeCell ref="G343:K343"/>
    <mergeCell ref="L343:P343"/>
    <mergeCell ref="Q343:AC343"/>
    <mergeCell ref="A344:F344"/>
    <mergeCell ref="G344:K344"/>
    <mergeCell ref="L344:P344"/>
    <mergeCell ref="Q344:AC344"/>
    <mergeCell ref="A341:F341"/>
    <mergeCell ref="G341:K341"/>
    <mergeCell ref="L341:P341"/>
    <mergeCell ref="Q341:AC341"/>
    <mergeCell ref="A342:F342"/>
    <mergeCell ref="G342:K342"/>
    <mergeCell ref="L342:P342"/>
    <mergeCell ref="Q342:AC342"/>
    <mergeCell ref="A339:F339"/>
    <mergeCell ref="G339:K339"/>
    <mergeCell ref="L339:P339"/>
    <mergeCell ref="Q339:AC339"/>
    <mergeCell ref="A340:F340"/>
    <mergeCell ref="G340:K340"/>
    <mergeCell ref="L340:P340"/>
    <mergeCell ref="Q340:AC340"/>
    <mergeCell ref="A349:F349"/>
    <mergeCell ref="G349:K349"/>
    <mergeCell ref="L349:P349"/>
    <mergeCell ref="Q349:AC349"/>
    <mergeCell ref="A350:F350"/>
    <mergeCell ref="G350:K350"/>
    <mergeCell ref="L350:P350"/>
    <mergeCell ref="Q350:AC350"/>
    <mergeCell ref="A347:F347"/>
    <mergeCell ref="G347:K347"/>
    <mergeCell ref="L347:P347"/>
    <mergeCell ref="Q347:AC347"/>
    <mergeCell ref="A348:F348"/>
    <mergeCell ref="G348:K348"/>
    <mergeCell ref="L348:P348"/>
    <mergeCell ref="Q348:AC348"/>
    <mergeCell ref="A345:F345"/>
    <mergeCell ref="G345:K345"/>
    <mergeCell ref="L345:P345"/>
    <mergeCell ref="Q345:AC345"/>
    <mergeCell ref="A346:F346"/>
    <mergeCell ref="G346:K346"/>
    <mergeCell ref="L346:P346"/>
    <mergeCell ref="Q346:AC346"/>
    <mergeCell ref="A355:F355"/>
    <mergeCell ref="G355:K355"/>
    <mergeCell ref="L355:P355"/>
    <mergeCell ref="Q355:AC355"/>
    <mergeCell ref="A356:F356"/>
    <mergeCell ref="G356:K356"/>
    <mergeCell ref="L356:P356"/>
    <mergeCell ref="Q356:AC356"/>
    <mergeCell ref="A353:F353"/>
    <mergeCell ref="G353:K353"/>
    <mergeCell ref="L353:P353"/>
    <mergeCell ref="Q353:AC353"/>
    <mergeCell ref="A354:F354"/>
    <mergeCell ref="G354:K354"/>
    <mergeCell ref="L354:P354"/>
    <mergeCell ref="Q354:AC354"/>
    <mergeCell ref="A351:F351"/>
    <mergeCell ref="G351:K351"/>
    <mergeCell ref="L351:P351"/>
    <mergeCell ref="Q351:AC351"/>
    <mergeCell ref="A352:F352"/>
    <mergeCell ref="G352:K352"/>
    <mergeCell ref="L352:P352"/>
    <mergeCell ref="Q352:AC352"/>
    <mergeCell ref="A361:F361"/>
    <mergeCell ref="G361:K361"/>
    <mergeCell ref="L361:P361"/>
    <mergeCell ref="Q361:AC361"/>
    <mergeCell ref="A362:F362"/>
    <mergeCell ref="G362:K362"/>
    <mergeCell ref="L362:P362"/>
    <mergeCell ref="Q362:AC362"/>
    <mergeCell ref="A359:F359"/>
    <mergeCell ref="G359:K359"/>
    <mergeCell ref="L359:P359"/>
    <mergeCell ref="Q359:AC359"/>
    <mergeCell ref="A360:F360"/>
    <mergeCell ref="G360:K360"/>
    <mergeCell ref="L360:P360"/>
    <mergeCell ref="Q360:AC360"/>
    <mergeCell ref="A357:F357"/>
    <mergeCell ref="G357:K357"/>
    <mergeCell ref="L357:P357"/>
    <mergeCell ref="Q357:AC357"/>
    <mergeCell ref="A358:F358"/>
    <mergeCell ref="G358:K358"/>
    <mergeCell ref="L358:P358"/>
    <mergeCell ref="Q358:AC358"/>
    <mergeCell ref="A367:F367"/>
    <mergeCell ref="G367:K367"/>
    <mergeCell ref="L367:P367"/>
    <mergeCell ref="Q367:AC367"/>
    <mergeCell ref="A368:F368"/>
    <mergeCell ref="G368:K368"/>
    <mergeCell ref="L368:P368"/>
    <mergeCell ref="Q368:AC368"/>
    <mergeCell ref="A365:F365"/>
    <mergeCell ref="G365:K365"/>
    <mergeCell ref="L365:P365"/>
    <mergeCell ref="Q365:AC365"/>
    <mergeCell ref="A366:F366"/>
    <mergeCell ref="G366:K366"/>
    <mergeCell ref="L366:P366"/>
    <mergeCell ref="Q366:AC366"/>
    <mergeCell ref="A363:F363"/>
    <mergeCell ref="G363:K363"/>
    <mergeCell ref="L363:P363"/>
    <mergeCell ref="Q363:AC363"/>
    <mergeCell ref="A364:F364"/>
    <mergeCell ref="G364:K364"/>
    <mergeCell ref="L364:P364"/>
    <mergeCell ref="Q364:AC364"/>
    <mergeCell ref="A373:F373"/>
    <mergeCell ref="G373:K373"/>
    <mergeCell ref="L373:P373"/>
    <mergeCell ref="Q373:AC373"/>
    <mergeCell ref="A374:F374"/>
    <mergeCell ref="G374:K374"/>
    <mergeCell ref="L374:P374"/>
    <mergeCell ref="Q374:AC374"/>
    <mergeCell ref="A371:F371"/>
    <mergeCell ref="G371:K371"/>
    <mergeCell ref="L371:P371"/>
    <mergeCell ref="Q371:AC371"/>
    <mergeCell ref="A372:F372"/>
    <mergeCell ref="G372:K372"/>
    <mergeCell ref="L372:P372"/>
    <mergeCell ref="Q372:AC372"/>
    <mergeCell ref="A369:F369"/>
    <mergeCell ref="G369:K369"/>
    <mergeCell ref="L369:P369"/>
    <mergeCell ref="Q369:AC369"/>
    <mergeCell ref="A370:F370"/>
    <mergeCell ref="G370:K370"/>
    <mergeCell ref="L370:P370"/>
    <mergeCell ref="Q370:AC370"/>
    <mergeCell ref="A379:F379"/>
    <mergeCell ref="G379:K379"/>
    <mergeCell ref="L379:P379"/>
    <mergeCell ref="Q379:AC379"/>
    <mergeCell ref="A380:F380"/>
    <mergeCell ref="G380:K380"/>
    <mergeCell ref="L380:P380"/>
    <mergeCell ref="Q380:AC380"/>
    <mergeCell ref="A377:F377"/>
    <mergeCell ref="G377:K377"/>
    <mergeCell ref="L377:P377"/>
    <mergeCell ref="Q377:AC377"/>
    <mergeCell ref="A378:F378"/>
    <mergeCell ref="G378:K378"/>
    <mergeCell ref="L378:P378"/>
    <mergeCell ref="Q378:AC378"/>
    <mergeCell ref="A375:F375"/>
    <mergeCell ref="G375:K375"/>
    <mergeCell ref="L375:P375"/>
    <mergeCell ref="Q375:AC375"/>
    <mergeCell ref="A376:F376"/>
    <mergeCell ref="G376:K376"/>
    <mergeCell ref="L376:P376"/>
    <mergeCell ref="Q376:AC376"/>
    <mergeCell ref="A385:F385"/>
    <mergeCell ref="G385:K385"/>
    <mergeCell ref="L385:P385"/>
    <mergeCell ref="Q385:AC385"/>
    <mergeCell ref="A386:F386"/>
    <mergeCell ref="G386:K386"/>
    <mergeCell ref="L386:P386"/>
    <mergeCell ref="Q386:AC386"/>
    <mergeCell ref="A383:F383"/>
    <mergeCell ref="G383:K383"/>
    <mergeCell ref="L383:P383"/>
    <mergeCell ref="Q383:AC383"/>
    <mergeCell ref="A384:F384"/>
    <mergeCell ref="G384:K384"/>
    <mergeCell ref="L384:P384"/>
    <mergeCell ref="Q384:AC384"/>
    <mergeCell ref="A381:F381"/>
    <mergeCell ref="G381:K381"/>
    <mergeCell ref="L381:P381"/>
    <mergeCell ref="Q381:AC381"/>
    <mergeCell ref="A382:F382"/>
    <mergeCell ref="G382:K382"/>
    <mergeCell ref="L382:P382"/>
    <mergeCell ref="Q382:AC382"/>
    <mergeCell ref="A391:F391"/>
    <mergeCell ref="G391:K391"/>
    <mergeCell ref="L391:P391"/>
    <mergeCell ref="Q391:AC391"/>
    <mergeCell ref="A392:F392"/>
    <mergeCell ref="G392:K392"/>
    <mergeCell ref="L392:P392"/>
    <mergeCell ref="Q392:AC392"/>
    <mergeCell ref="A389:F389"/>
    <mergeCell ref="G389:K389"/>
    <mergeCell ref="L389:P389"/>
    <mergeCell ref="Q389:AC389"/>
    <mergeCell ref="A390:F390"/>
    <mergeCell ref="G390:K390"/>
    <mergeCell ref="L390:P390"/>
    <mergeCell ref="Q390:AC390"/>
    <mergeCell ref="A387:F387"/>
    <mergeCell ref="G387:K387"/>
    <mergeCell ref="L387:P387"/>
    <mergeCell ref="Q387:AC387"/>
    <mergeCell ref="A388:F388"/>
    <mergeCell ref="G388:K388"/>
    <mergeCell ref="L388:P388"/>
    <mergeCell ref="Q388:AC388"/>
    <mergeCell ref="A397:F397"/>
    <mergeCell ref="G397:K397"/>
    <mergeCell ref="L397:P397"/>
    <mergeCell ref="Q397:AC397"/>
    <mergeCell ref="A398:F398"/>
    <mergeCell ref="G398:K398"/>
    <mergeCell ref="L398:P398"/>
    <mergeCell ref="Q398:AC398"/>
    <mergeCell ref="A395:F395"/>
    <mergeCell ref="G395:K395"/>
    <mergeCell ref="L395:P395"/>
    <mergeCell ref="Q395:AC395"/>
    <mergeCell ref="A396:F396"/>
    <mergeCell ref="G396:K396"/>
    <mergeCell ref="L396:P396"/>
    <mergeCell ref="Q396:AC396"/>
    <mergeCell ref="A393:F393"/>
    <mergeCell ref="G393:K393"/>
    <mergeCell ref="L393:P393"/>
    <mergeCell ref="Q393:AC393"/>
    <mergeCell ref="A394:F394"/>
    <mergeCell ref="G394:K394"/>
    <mergeCell ref="L394:P394"/>
    <mergeCell ref="Q394:AC394"/>
    <mergeCell ref="A403:F403"/>
    <mergeCell ref="G403:K403"/>
    <mergeCell ref="L403:P403"/>
    <mergeCell ref="Q403:AC403"/>
    <mergeCell ref="A404:F404"/>
    <mergeCell ref="G404:K404"/>
    <mergeCell ref="L404:P404"/>
    <mergeCell ref="Q404:AC404"/>
    <mergeCell ref="A401:F401"/>
    <mergeCell ref="G401:K401"/>
    <mergeCell ref="L401:P401"/>
    <mergeCell ref="Q401:AC401"/>
    <mergeCell ref="A402:F402"/>
    <mergeCell ref="G402:K402"/>
    <mergeCell ref="L402:P402"/>
    <mergeCell ref="Q402:AC402"/>
    <mergeCell ref="A399:F399"/>
    <mergeCell ref="G399:K399"/>
    <mergeCell ref="L399:P399"/>
    <mergeCell ref="Q399:AC399"/>
    <mergeCell ref="A400:F400"/>
    <mergeCell ref="G400:K400"/>
    <mergeCell ref="L400:P400"/>
    <mergeCell ref="Q400:AC400"/>
    <mergeCell ref="A409:F409"/>
    <mergeCell ref="G409:K409"/>
    <mergeCell ref="L409:P409"/>
    <mergeCell ref="Q409:AC409"/>
    <mergeCell ref="A410:F410"/>
    <mergeCell ref="G410:K410"/>
    <mergeCell ref="L410:P410"/>
    <mergeCell ref="Q410:AC410"/>
    <mergeCell ref="A407:F407"/>
    <mergeCell ref="G407:K407"/>
    <mergeCell ref="L407:P407"/>
    <mergeCell ref="Q407:AC407"/>
    <mergeCell ref="A408:F408"/>
    <mergeCell ref="G408:K408"/>
    <mergeCell ref="L408:P408"/>
    <mergeCell ref="Q408:AC408"/>
    <mergeCell ref="A405:F405"/>
    <mergeCell ref="G405:K405"/>
    <mergeCell ref="L405:P405"/>
    <mergeCell ref="Q405:AC405"/>
    <mergeCell ref="A406:F406"/>
    <mergeCell ref="G406:K406"/>
    <mergeCell ref="L406:P406"/>
    <mergeCell ref="Q406:AC406"/>
    <mergeCell ref="A415:F415"/>
    <mergeCell ref="G415:K415"/>
    <mergeCell ref="L415:P415"/>
    <mergeCell ref="Q415:AC415"/>
    <mergeCell ref="A416:F416"/>
    <mergeCell ref="G416:K416"/>
    <mergeCell ref="L416:P416"/>
    <mergeCell ref="Q416:AC416"/>
    <mergeCell ref="A413:F413"/>
    <mergeCell ref="G413:K413"/>
    <mergeCell ref="L413:P413"/>
    <mergeCell ref="Q413:AC413"/>
    <mergeCell ref="A414:F414"/>
    <mergeCell ref="G414:K414"/>
    <mergeCell ref="L414:P414"/>
    <mergeCell ref="Q414:AC414"/>
    <mergeCell ref="A411:F411"/>
    <mergeCell ref="G411:K411"/>
    <mergeCell ref="L411:P411"/>
    <mergeCell ref="Q411:AC411"/>
    <mergeCell ref="A412:F412"/>
    <mergeCell ref="G412:K412"/>
    <mergeCell ref="L412:P412"/>
    <mergeCell ref="Q412:AC412"/>
    <mergeCell ref="A421:F421"/>
    <mergeCell ref="G421:K421"/>
    <mergeCell ref="L421:P421"/>
    <mergeCell ref="Q421:AC421"/>
    <mergeCell ref="A422:F422"/>
    <mergeCell ref="G422:K422"/>
    <mergeCell ref="L422:P422"/>
    <mergeCell ref="Q422:AC422"/>
    <mergeCell ref="A419:F419"/>
    <mergeCell ref="G419:K419"/>
    <mergeCell ref="L419:P419"/>
    <mergeCell ref="Q419:AC419"/>
    <mergeCell ref="A420:F420"/>
    <mergeCell ref="G420:K420"/>
    <mergeCell ref="L420:P420"/>
    <mergeCell ref="Q420:AC420"/>
    <mergeCell ref="A417:F417"/>
    <mergeCell ref="G417:K417"/>
    <mergeCell ref="L417:P417"/>
    <mergeCell ref="Q417:AC417"/>
    <mergeCell ref="A418:F418"/>
    <mergeCell ref="G418:K418"/>
    <mergeCell ref="L418:P418"/>
    <mergeCell ref="Q418:AC418"/>
    <mergeCell ref="A427:F427"/>
    <mergeCell ref="G427:K427"/>
    <mergeCell ref="L427:P427"/>
    <mergeCell ref="Q427:AC427"/>
    <mergeCell ref="A428:F428"/>
    <mergeCell ref="G428:K428"/>
    <mergeCell ref="L428:P428"/>
    <mergeCell ref="Q428:AC428"/>
    <mergeCell ref="A425:F425"/>
    <mergeCell ref="G425:K425"/>
    <mergeCell ref="L425:P425"/>
    <mergeCell ref="Q425:AC425"/>
    <mergeCell ref="A426:F426"/>
    <mergeCell ref="G426:K426"/>
    <mergeCell ref="L426:P426"/>
    <mergeCell ref="Q426:AC426"/>
    <mergeCell ref="A423:F423"/>
    <mergeCell ref="G423:K423"/>
    <mergeCell ref="L423:P423"/>
    <mergeCell ref="Q423:AC423"/>
    <mergeCell ref="A424:F424"/>
    <mergeCell ref="G424:K424"/>
    <mergeCell ref="L424:P424"/>
    <mergeCell ref="Q424:AC424"/>
    <mergeCell ref="A433:F433"/>
    <mergeCell ref="G433:K433"/>
    <mergeCell ref="L433:P433"/>
    <mergeCell ref="Q433:AC433"/>
    <mergeCell ref="A434:F434"/>
    <mergeCell ref="G434:K434"/>
    <mergeCell ref="L434:P434"/>
    <mergeCell ref="Q434:AC434"/>
    <mergeCell ref="A431:F431"/>
    <mergeCell ref="G431:K431"/>
    <mergeCell ref="L431:P431"/>
    <mergeCell ref="Q431:AC431"/>
    <mergeCell ref="A432:F432"/>
    <mergeCell ref="G432:K432"/>
    <mergeCell ref="L432:P432"/>
    <mergeCell ref="Q432:AC432"/>
    <mergeCell ref="A429:F429"/>
    <mergeCell ref="G429:K429"/>
    <mergeCell ref="L429:P429"/>
    <mergeCell ref="Q429:AC429"/>
    <mergeCell ref="A430:F430"/>
    <mergeCell ref="G430:K430"/>
    <mergeCell ref="L430:P430"/>
    <mergeCell ref="Q430:AC430"/>
    <mergeCell ref="A439:F439"/>
    <mergeCell ref="G439:K439"/>
    <mergeCell ref="L439:P439"/>
    <mergeCell ref="Q439:AC439"/>
    <mergeCell ref="A440:F440"/>
    <mergeCell ref="G440:K440"/>
    <mergeCell ref="L440:P440"/>
    <mergeCell ref="Q440:AC440"/>
    <mergeCell ref="A437:F437"/>
    <mergeCell ref="G437:K437"/>
    <mergeCell ref="L437:P437"/>
    <mergeCell ref="Q437:AC437"/>
    <mergeCell ref="A438:F438"/>
    <mergeCell ref="G438:K438"/>
    <mergeCell ref="L438:P438"/>
    <mergeCell ref="Q438:AC438"/>
    <mergeCell ref="A435:F435"/>
    <mergeCell ref="G435:K435"/>
    <mergeCell ref="L435:P435"/>
    <mergeCell ref="Q435:AC435"/>
    <mergeCell ref="A436:F436"/>
    <mergeCell ref="G436:K436"/>
    <mergeCell ref="L436:P436"/>
    <mergeCell ref="Q436:AC436"/>
    <mergeCell ref="A445:F445"/>
    <mergeCell ref="G445:K445"/>
    <mergeCell ref="L445:P445"/>
    <mergeCell ref="Q445:AC445"/>
    <mergeCell ref="A446:F446"/>
    <mergeCell ref="G446:K446"/>
    <mergeCell ref="L446:P446"/>
    <mergeCell ref="Q446:AC446"/>
    <mergeCell ref="A443:F443"/>
    <mergeCell ref="G443:K443"/>
    <mergeCell ref="L443:P443"/>
    <mergeCell ref="Q443:AC443"/>
    <mergeCell ref="A444:F444"/>
    <mergeCell ref="G444:K444"/>
    <mergeCell ref="L444:P444"/>
    <mergeCell ref="Q444:AC444"/>
    <mergeCell ref="A441:F441"/>
    <mergeCell ref="G441:K441"/>
    <mergeCell ref="L441:P441"/>
    <mergeCell ref="Q441:AC441"/>
    <mergeCell ref="A442:F442"/>
    <mergeCell ref="G442:K442"/>
    <mergeCell ref="L442:P442"/>
    <mergeCell ref="Q442:AC442"/>
    <mergeCell ref="A451:F451"/>
    <mergeCell ref="G451:K451"/>
    <mergeCell ref="L451:P451"/>
    <mergeCell ref="Q451:AC451"/>
    <mergeCell ref="A452:F452"/>
    <mergeCell ref="G452:K452"/>
    <mergeCell ref="L452:P452"/>
    <mergeCell ref="Q452:AC452"/>
    <mergeCell ref="A449:F449"/>
    <mergeCell ref="G449:K449"/>
    <mergeCell ref="L449:P449"/>
    <mergeCell ref="Q449:AC449"/>
    <mergeCell ref="A450:F450"/>
    <mergeCell ref="G450:K450"/>
    <mergeCell ref="L450:P450"/>
    <mergeCell ref="Q450:AC450"/>
    <mergeCell ref="A447:F447"/>
    <mergeCell ref="G447:K447"/>
    <mergeCell ref="L447:P447"/>
    <mergeCell ref="Q447:AC447"/>
    <mergeCell ref="A448:F448"/>
    <mergeCell ref="G448:K448"/>
    <mergeCell ref="L448:P448"/>
    <mergeCell ref="Q448:AC448"/>
    <mergeCell ref="A457:F457"/>
    <mergeCell ref="G457:K457"/>
    <mergeCell ref="L457:P457"/>
    <mergeCell ref="Q457:AC457"/>
    <mergeCell ref="A458:F458"/>
    <mergeCell ref="G458:K458"/>
    <mergeCell ref="L458:P458"/>
    <mergeCell ref="Q458:AC458"/>
    <mergeCell ref="A455:F455"/>
    <mergeCell ref="G455:K455"/>
    <mergeCell ref="L455:P455"/>
    <mergeCell ref="Q455:AC455"/>
    <mergeCell ref="A456:F456"/>
    <mergeCell ref="G456:K456"/>
    <mergeCell ref="L456:P456"/>
    <mergeCell ref="Q456:AC456"/>
    <mergeCell ref="A453:F453"/>
    <mergeCell ref="G453:K453"/>
    <mergeCell ref="L453:P453"/>
    <mergeCell ref="Q453:AC453"/>
    <mergeCell ref="A454:F454"/>
    <mergeCell ref="G454:K454"/>
    <mergeCell ref="L454:P454"/>
    <mergeCell ref="Q454:AC454"/>
    <mergeCell ref="A463:F463"/>
    <mergeCell ref="G463:K463"/>
    <mergeCell ref="L463:P463"/>
    <mergeCell ref="Q463:AC463"/>
    <mergeCell ref="A464:F464"/>
    <mergeCell ref="G464:K464"/>
    <mergeCell ref="L464:P464"/>
    <mergeCell ref="Q464:AC464"/>
    <mergeCell ref="A461:F461"/>
    <mergeCell ref="G461:K461"/>
    <mergeCell ref="L461:P461"/>
    <mergeCell ref="Q461:AC461"/>
    <mergeCell ref="A462:F462"/>
    <mergeCell ref="G462:K462"/>
    <mergeCell ref="L462:P462"/>
    <mergeCell ref="Q462:AC462"/>
    <mergeCell ref="A459:F459"/>
    <mergeCell ref="G459:K459"/>
    <mergeCell ref="L459:P459"/>
    <mergeCell ref="Q459:AC459"/>
    <mergeCell ref="A460:F460"/>
    <mergeCell ref="G460:K460"/>
    <mergeCell ref="L460:P460"/>
    <mergeCell ref="Q460:AC460"/>
    <mergeCell ref="A469:F469"/>
    <mergeCell ref="G469:K469"/>
    <mergeCell ref="L469:P469"/>
    <mergeCell ref="Q469:AC469"/>
    <mergeCell ref="A470:F470"/>
    <mergeCell ref="G470:K470"/>
    <mergeCell ref="L470:P470"/>
    <mergeCell ref="Q470:AC470"/>
    <mergeCell ref="A467:F467"/>
    <mergeCell ref="G467:K467"/>
    <mergeCell ref="L467:P467"/>
    <mergeCell ref="Q467:AC467"/>
    <mergeCell ref="A468:F468"/>
    <mergeCell ref="G468:K468"/>
    <mergeCell ref="L468:P468"/>
    <mergeCell ref="Q468:AC468"/>
    <mergeCell ref="A465:F465"/>
    <mergeCell ref="G465:K465"/>
    <mergeCell ref="L465:P465"/>
    <mergeCell ref="Q465:AC465"/>
    <mergeCell ref="A466:F466"/>
    <mergeCell ref="G466:K466"/>
    <mergeCell ref="L466:P466"/>
    <mergeCell ref="Q466:AC466"/>
    <mergeCell ref="A475:F475"/>
    <mergeCell ref="G475:K475"/>
    <mergeCell ref="L475:P475"/>
    <mergeCell ref="Q475:AC475"/>
    <mergeCell ref="A476:F476"/>
    <mergeCell ref="G476:K476"/>
    <mergeCell ref="L476:P476"/>
    <mergeCell ref="Q476:AC476"/>
    <mergeCell ref="A473:F473"/>
    <mergeCell ref="G473:K473"/>
    <mergeCell ref="L473:P473"/>
    <mergeCell ref="Q473:AC473"/>
    <mergeCell ref="A474:F474"/>
    <mergeCell ref="G474:K474"/>
    <mergeCell ref="L474:P474"/>
    <mergeCell ref="Q474:AC474"/>
    <mergeCell ref="A471:F471"/>
    <mergeCell ref="G471:K471"/>
    <mergeCell ref="L471:P471"/>
    <mergeCell ref="Q471:AC471"/>
    <mergeCell ref="A472:F472"/>
    <mergeCell ref="G472:K472"/>
    <mergeCell ref="L472:P472"/>
    <mergeCell ref="Q472:AC472"/>
    <mergeCell ref="A481:F481"/>
    <mergeCell ref="G481:K481"/>
    <mergeCell ref="L481:P481"/>
    <mergeCell ref="Q481:AC481"/>
    <mergeCell ref="A482:F482"/>
    <mergeCell ref="G482:K482"/>
    <mergeCell ref="L482:P482"/>
    <mergeCell ref="Q482:AC482"/>
    <mergeCell ref="A479:F479"/>
    <mergeCell ref="G479:K479"/>
    <mergeCell ref="L479:P479"/>
    <mergeCell ref="Q479:AC479"/>
    <mergeCell ref="A480:F480"/>
    <mergeCell ref="G480:K480"/>
    <mergeCell ref="L480:P480"/>
    <mergeCell ref="Q480:AC480"/>
    <mergeCell ref="A477:F477"/>
    <mergeCell ref="G477:K477"/>
    <mergeCell ref="L477:P477"/>
    <mergeCell ref="Q477:AC477"/>
    <mergeCell ref="A478:F478"/>
    <mergeCell ref="G478:K478"/>
    <mergeCell ref="L478:P478"/>
    <mergeCell ref="Q478:AC478"/>
    <mergeCell ref="A487:F487"/>
    <mergeCell ref="G487:K487"/>
    <mergeCell ref="L487:P487"/>
    <mergeCell ref="Q487:AC487"/>
    <mergeCell ref="A488:F488"/>
    <mergeCell ref="G488:K488"/>
    <mergeCell ref="L488:P488"/>
    <mergeCell ref="Q488:AC488"/>
    <mergeCell ref="A485:F485"/>
    <mergeCell ref="G485:K485"/>
    <mergeCell ref="L485:P485"/>
    <mergeCell ref="Q485:AC485"/>
    <mergeCell ref="A486:F486"/>
    <mergeCell ref="G486:K486"/>
    <mergeCell ref="L486:P486"/>
    <mergeCell ref="Q486:AC486"/>
    <mergeCell ref="A483:F483"/>
    <mergeCell ref="G483:K483"/>
    <mergeCell ref="L483:P483"/>
    <mergeCell ref="Q483:AC483"/>
    <mergeCell ref="A484:F484"/>
    <mergeCell ref="G484:K484"/>
    <mergeCell ref="L484:P484"/>
    <mergeCell ref="Q484:AC484"/>
    <mergeCell ref="A493:F493"/>
    <mergeCell ref="G493:K493"/>
    <mergeCell ref="L493:P493"/>
    <mergeCell ref="Q493:AC493"/>
    <mergeCell ref="A494:F494"/>
    <mergeCell ref="G494:K494"/>
    <mergeCell ref="L494:P494"/>
    <mergeCell ref="Q494:AC494"/>
    <mergeCell ref="A491:F491"/>
    <mergeCell ref="G491:K491"/>
    <mergeCell ref="L491:P491"/>
    <mergeCell ref="Q491:AC491"/>
    <mergeCell ref="A492:F492"/>
    <mergeCell ref="G492:K492"/>
    <mergeCell ref="L492:P492"/>
    <mergeCell ref="Q492:AC492"/>
    <mergeCell ref="A489:F489"/>
    <mergeCell ref="G489:K489"/>
    <mergeCell ref="L489:P489"/>
    <mergeCell ref="Q489:AC489"/>
    <mergeCell ref="A490:F490"/>
    <mergeCell ref="G490:K490"/>
    <mergeCell ref="L490:P490"/>
    <mergeCell ref="Q490:AC490"/>
    <mergeCell ref="A499:F499"/>
    <mergeCell ref="G499:K499"/>
    <mergeCell ref="L499:P499"/>
    <mergeCell ref="Q499:AC499"/>
    <mergeCell ref="A500:F500"/>
    <mergeCell ref="G500:K500"/>
    <mergeCell ref="L500:P500"/>
    <mergeCell ref="Q500:AC500"/>
    <mergeCell ref="A497:F497"/>
    <mergeCell ref="G497:K497"/>
    <mergeCell ref="L497:P497"/>
    <mergeCell ref="Q497:AC497"/>
    <mergeCell ref="A498:F498"/>
    <mergeCell ref="G498:K498"/>
    <mergeCell ref="L498:P498"/>
    <mergeCell ref="Q498:AC498"/>
    <mergeCell ref="A495:F495"/>
    <mergeCell ref="G495:K495"/>
    <mergeCell ref="L495:P495"/>
    <mergeCell ref="Q495:AC495"/>
    <mergeCell ref="A496:F496"/>
    <mergeCell ref="G496:K496"/>
    <mergeCell ref="L496:P496"/>
    <mergeCell ref="Q496:AC496"/>
  </mergeCells>
  <pageMargins left="0.7" right="0.7" top="0.75" bottom="0.75" header="0.3" footer="0.3"/>
  <pageSetup scale="68" orientation="landscape" r:id="rId1"/>
  <headerFooter>
    <oddFooter>&amp;LRevised 2/28/19&amp;C&amp;A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pageSetUpPr fitToPage="1"/>
  </sheetPr>
  <dimension ref="A1:BE501"/>
  <sheetViews>
    <sheetView zoomScale="80" zoomScaleNormal="80" workbookViewId="0">
      <pane ySplit="8" topLeftCell="A55" activePane="bottomLeft" state="frozen"/>
      <selection pane="bottomLeft" activeCell="AA11" sqref="AA11:AB76"/>
    </sheetView>
  </sheetViews>
  <sheetFormatPr defaultRowHeight="15" x14ac:dyDescent="0.25"/>
  <cols>
    <col min="1" max="9" width="5.7109375" customWidth="1"/>
    <col min="10" max="11" width="6.28515625" customWidth="1"/>
    <col min="12" max="25" width="6.7109375" customWidth="1"/>
    <col min="26" max="26" width="9.7109375" customWidth="1"/>
    <col min="27" max="27" width="30.42578125" customWidth="1"/>
    <col min="28" max="28" width="36.140625" customWidth="1"/>
    <col min="29" max="40" width="5.7109375" customWidth="1"/>
    <col min="50" max="50" width="6" customWidth="1"/>
    <col min="51" max="51" width="9.140625" hidden="1" customWidth="1"/>
    <col min="52" max="52" width="6.28515625" hidden="1" customWidth="1"/>
    <col min="53" max="53" width="9.140625" hidden="1" customWidth="1"/>
    <col min="54" max="54" width="6.85546875" hidden="1" customWidth="1"/>
    <col min="55" max="55" width="8.7109375" hidden="1" customWidth="1"/>
    <col min="56" max="56" width="9.140625" hidden="1" customWidth="1"/>
    <col min="57" max="57" width="10.85546875" hidden="1" customWidth="1"/>
    <col min="58" max="58" width="40.7109375" customWidth="1"/>
    <col min="59" max="59" width="60.7109375" customWidth="1"/>
  </cols>
  <sheetData>
    <row r="1" spans="1:28" ht="18.75" customHeight="1" x14ac:dyDescent="0.25">
      <c r="A1" s="451" t="s">
        <v>106</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3"/>
    </row>
    <row r="2" spans="1:28" x14ac:dyDescent="0.25">
      <c r="A2" s="454"/>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6"/>
    </row>
    <row r="3" spans="1:28" x14ac:dyDescent="0.25">
      <c r="A3" s="366" t="s">
        <v>107</v>
      </c>
      <c r="B3" s="367"/>
      <c r="C3" s="367"/>
      <c r="D3" s="367"/>
      <c r="E3" s="367"/>
      <c r="F3" s="368"/>
      <c r="G3" s="436" t="str">
        <f>Setup!G3</f>
        <v>Expanded School Mental Health</v>
      </c>
      <c r="H3" s="437"/>
      <c r="I3" s="437"/>
      <c r="J3" s="437"/>
      <c r="K3" s="437"/>
      <c r="L3" s="437"/>
      <c r="M3" s="437"/>
      <c r="N3" s="437"/>
      <c r="O3" s="437"/>
      <c r="P3" s="438"/>
      <c r="Q3" s="203"/>
      <c r="R3" s="366" t="s">
        <v>109</v>
      </c>
      <c r="S3" s="367"/>
      <c r="T3" s="368"/>
      <c r="U3" s="439">
        <f>Setup!U3</f>
        <v>0</v>
      </c>
      <c r="V3" s="439"/>
      <c r="W3" s="439"/>
      <c r="X3" s="439"/>
      <c r="Y3" s="439"/>
      <c r="Z3" s="439"/>
      <c r="AA3" s="439"/>
      <c r="AB3" s="439"/>
    </row>
    <row r="4" spans="1:28" x14ac:dyDescent="0.25">
      <c r="A4" s="366" t="s">
        <v>110</v>
      </c>
      <c r="B4" s="367"/>
      <c r="C4" s="367"/>
      <c r="D4" s="367"/>
      <c r="E4" s="367"/>
      <c r="F4" s="368"/>
      <c r="G4" s="440">
        <f>Setup!G4</f>
        <v>0</v>
      </c>
      <c r="H4" s="441"/>
      <c r="I4" s="441"/>
      <c r="J4" s="441"/>
      <c r="K4" s="441"/>
      <c r="L4" s="441"/>
      <c r="M4" s="441"/>
      <c r="N4" s="441"/>
      <c r="O4" s="441"/>
      <c r="P4" s="442"/>
      <c r="Q4" s="203"/>
      <c r="R4" s="366" t="s">
        <v>114</v>
      </c>
      <c r="S4" s="367"/>
      <c r="T4" s="368"/>
      <c r="U4" s="440">
        <f>Setup!U6</f>
        <v>0</v>
      </c>
      <c r="V4" s="441"/>
      <c r="W4" s="441"/>
      <c r="X4" s="441"/>
      <c r="Y4" s="441"/>
      <c r="Z4" s="441"/>
      <c r="AA4" s="441"/>
      <c r="AB4" s="442"/>
    </row>
    <row r="5" spans="1:28" ht="30" customHeight="1" x14ac:dyDescent="0.25">
      <c r="A5" s="355" t="s">
        <v>115</v>
      </c>
      <c r="B5" s="356"/>
      <c r="C5" s="356"/>
      <c r="D5" s="356"/>
      <c r="E5" s="356"/>
      <c r="F5" s="357"/>
      <c r="G5" s="420">
        <f>Setup!G7</f>
        <v>0</v>
      </c>
      <c r="H5" s="421"/>
      <c r="I5" s="421"/>
      <c r="J5" s="421"/>
      <c r="K5" s="422"/>
      <c r="L5" s="420">
        <f>Setup!L7</f>
        <v>0</v>
      </c>
      <c r="M5" s="421"/>
      <c r="N5" s="421"/>
      <c r="O5" s="421"/>
      <c r="P5" s="422"/>
      <c r="Q5" s="203"/>
      <c r="R5" s="343" t="s">
        <v>118</v>
      </c>
      <c r="S5" s="344"/>
      <c r="T5" s="345"/>
      <c r="U5" s="426">
        <f>Setup!U7</f>
        <v>0</v>
      </c>
      <c r="V5" s="427"/>
      <c r="W5" s="427"/>
      <c r="X5" s="427"/>
      <c r="Y5" s="427"/>
      <c r="Z5" s="427"/>
      <c r="AA5" s="427"/>
      <c r="AB5" s="428"/>
    </row>
    <row r="6" spans="1:28" ht="18.75" customHeight="1" x14ac:dyDescent="0.25">
      <c r="A6" s="352" t="s">
        <v>119</v>
      </c>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4"/>
    </row>
    <row r="7" spans="1:28" ht="18.75" x14ac:dyDescent="0.3">
      <c r="A7" s="446" t="s">
        <v>177</v>
      </c>
      <c r="B7" s="447"/>
      <c r="C7" s="447"/>
      <c r="D7" s="447"/>
      <c r="E7" s="447"/>
      <c r="F7" s="447"/>
      <c r="G7" s="447"/>
      <c r="H7" s="447"/>
      <c r="I7" s="447"/>
      <c r="J7" s="447"/>
      <c r="K7" s="447"/>
      <c r="L7" s="447"/>
      <c r="M7" s="447"/>
      <c r="N7" s="447"/>
      <c r="O7" s="447"/>
      <c r="P7" s="447"/>
      <c r="Q7" s="447"/>
      <c r="R7" s="447"/>
      <c r="S7" s="447"/>
      <c r="T7" s="447"/>
      <c r="U7" s="447"/>
      <c r="V7" s="447"/>
      <c r="W7" s="447"/>
      <c r="X7" s="447"/>
      <c r="Y7" s="447"/>
      <c r="Z7" s="447"/>
      <c r="AA7" s="447"/>
      <c r="AB7" s="448"/>
    </row>
    <row r="8" spans="1:28" ht="30.75" thickBot="1" x14ac:dyDescent="0.3">
      <c r="A8" s="444" t="s">
        <v>178</v>
      </c>
      <c r="B8" s="444"/>
      <c r="C8" s="444"/>
      <c r="D8" s="445" t="s">
        <v>179</v>
      </c>
      <c r="E8" s="445"/>
      <c r="F8" s="445"/>
      <c r="G8" s="445"/>
      <c r="H8" s="445"/>
      <c r="I8" s="445"/>
      <c r="J8" s="445"/>
      <c r="K8" s="445"/>
      <c r="L8" s="211" t="s">
        <v>180</v>
      </c>
      <c r="M8" s="205" t="s">
        <v>181</v>
      </c>
      <c r="N8" s="211">
        <v>1</v>
      </c>
      <c r="O8" s="205">
        <v>2</v>
      </c>
      <c r="P8" s="211">
        <v>3</v>
      </c>
      <c r="Q8" s="205">
        <v>4</v>
      </c>
      <c r="R8" s="211">
        <v>5</v>
      </c>
      <c r="S8" s="205">
        <v>6</v>
      </c>
      <c r="T8" s="211">
        <v>7</v>
      </c>
      <c r="U8" s="205">
        <v>8</v>
      </c>
      <c r="V8" s="211">
        <v>9</v>
      </c>
      <c r="W8" s="205">
        <v>10</v>
      </c>
      <c r="X8" s="211">
        <v>11</v>
      </c>
      <c r="Y8" s="205">
        <v>12</v>
      </c>
      <c r="Z8" s="212" t="s">
        <v>182</v>
      </c>
      <c r="AA8" s="213" t="s">
        <v>183</v>
      </c>
      <c r="AB8" s="214" t="s">
        <v>184</v>
      </c>
    </row>
    <row r="9" spans="1:28" x14ac:dyDescent="0.25">
      <c r="A9" s="449"/>
      <c r="B9" s="449"/>
      <c r="C9" s="449"/>
      <c r="D9" s="450"/>
      <c r="E9" s="450"/>
      <c r="F9" s="450"/>
      <c r="G9" s="450"/>
      <c r="H9" s="450"/>
      <c r="I9" s="450"/>
      <c r="J9" s="450"/>
      <c r="K9" s="450"/>
      <c r="L9" s="77"/>
      <c r="M9" s="78"/>
      <c r="N9" s="77"/>
      <c r="O9" s="78"/>
      <c r="P9" s="77"/>
      <c r="Q9" s="78"/>
      <c r="R9" s="77"/>
      <c r="S9" s="78"/>
      <c r="T9" s="77"/>
      <c r="U9" s="78"/>
      <c r="V9" s="77"/>
      <c r="W9" s="78"/>
      <c r="X9" s="77"/>
      <c r="Y9" s="78"/>
      <c r="Z9" s="52">
        <f>SUM(L9:Y9)</f>
        <v>0</v>
      </c>
      <c r="AA9" s="61"/>
      <c r="AB9" s="61"/>
    </row>
    <row r="10" spans="1:28" x14ac:dyDescent="0.25">
      <c r="A10" s="443"/>
      <c r="B10" s="443"/>
      <c r="C10" s="443"/>
      <c r="D10" s="330"/>
      <c r="E10" s="330"/>
      <c r="F10" s="330"/>
      <c r="G10" s="330"/>
      <c r="H10" s="330"/>
      <c r="I10" s="330"/>
      <c r="J10" s="330"/>
      <c r="K10" s="330"/>
      <c r="L10" s="79"/>
      <c r="M10" s="80"/>
      <c r="N10" s="79"/>
      <c r="O10" s="80"/>
      <c r="P10" s="79"/>
      <c r="Q10" s="80"/>
      <c r="R10" s="79"/>
      <c r="S10" s="80"/>
      <c r="T10" s="79"/>
      <c r="U10" s="80"/>
      <c r="V10" s="79"/>
      <c r="W10" s="80"/>
      <c r="X10" s="79"/>
      <c r="Y10" s="80"/>
      <c r="Z10" s="50">
        <f t="shared" ref="Z10:Z73" si="0">SUM(L10:Y10)</f>
        <v>0</v>
      </c>
      <c r="AA10" s="60"/>
      <c r="AB10" s="60"/>
    </row>
    <row r="11" spans="1:28" x14ac:dyDescent="0.25">
      <c r="A11" s="443"/>
      <c r="B11" s="443"/>
      <c r="C11" s="443"/>
      <c r="D11" s="330"/>
      <c r="E11" s="330"/>
      <c r="F11" s="330"/>
      <c r="G11" s="330"/>
      <c r="H11" s="330"/>
      <c r="I11" s="330"/>
      <c r="J11" s="330"/>
      <c r="K11" s="330"/>
      <c r="L11" s="79"/>
      <c r="M11" s="80"/>
      <c r="N11" s="79"/>
      <c r="O11" s="80"/>
      <c r="P11" s="79"/>
      <c r="Q11" s="80"/>
      <c r="R11" s="79"/>
      <c r="S11" s="80"/>
      <c r="T11" s="79"/>
      <c r="U11" s="80"/>
      <c r="V11" s="79"/>
      <c r="W11" s="80"/>
      <c r="X11" s="79"/>
      <c r="Y11" s="80"/>
      <c r="Z11" s="50">
        <f t="shared" si="0"/>
        <v>0</v>
      </c>
      <c r="AA11" s="60"/>
      <c r="AB11" s="60"/>
    </row>
    <row r="12" spans="1:28" x14ac:dyDescent="0.25">
      <c r="A12" s="443"/>
      <c r="B12" s="443"/>
      <c r="C12" s="443"/>
      <c r="D12" s="330"/>
      <c r="E12" s="330"/>
      <c r="F12" s="330"/>
      <c r="G12" s="330"/>
      <c r="H12" s="330"/>
      <c r="I12" s="330"/>
      <c r="J12" s="330"/>
      <c r="K12" s="330"/>
      <c r="L12" s="79"/>
      <c r="M12" s="80"/>
      <c r="N12" s="79"/>
      <c r="O12" s="80"/>
      <c r="P12" s="79"/>
      <c r="Q12" s="80"/>
      <c r="R12" s="79"/>
      <c r="S12" s="80"/>
      <c r="T12" s="79"/>
      <c r="U12" s="80"/>
      <c r="V12" s="79"/>
      <c r="W12" s="80"/>
      <c r="X12" s="79"/>
      <c r="Y12" s="80"/>
      <c r="Z12" s="50">
        <f t="shared" si="0"/>
        <v>0</v>
      </c>
      <c r="AA12" s="60"/>
      <c r="AB12" s="60"/>
    </row>
    <row r="13" spans="1:28" x14ac:dyDescent="0.25">
      <c r="A13" s="443"/>
      <c r="B13" s="443"/>
      <c r="C13" s="443"/>
      <c r="D13" s="330"/>
      <c r="E13" s="330"/>
      <c r="F13" s="330"/>
      <c r="G13" s="330"/>
      <c r="H13" s="330"/>
      <c r="I13" s="330"/>
      <c r="J13" s="330"/>
      <c r="K13" s="330"/>
      <c r="L13" s="79"/>
      <c r="M13" s="80"/>
      <c r="N13" s="79"/>
      <c r="O13" s="80"/>
      <c r="P13" s="79"/>
      <c r="Q13" s="80"/>
      <c r="R13" s="79"/>
      <c r="S13" s="80"/>
      <c r="T13" s="79"/>
      <c r="U13" s="80"/>
      <c r="V13" s="79"/>
      <c r="W13" s="80"/>
      <c r="X13" s="79"/>
      <c r="Y13" s="80"/>
      <c r="Z13" s="50">
        <f t="shared" si="0"/>
        <v>0</v>
      </c>
      <c r="AA13" s="60"/>
      <c r="AB13" s="60"/>
    </row>
    <row r="14" spans="1:28" x14ac:dyDescent="0.25">
      <c r="A14" s="443"/>
      <c r="B14" s="443"/>
      <c r="C14" s="443"/>
      <c r="D14" s="330"/>
      <c r="E14" s="330"/>
      <c r="F14" s="330"/>
      <c r="G14" s="330"/>
      <c r="H14" s="330"/>
      <c r="I14" s="330"/>
      <c r="J14" s="330"/>
      <c r="K14" s="330"/>
      <c r="L14" s="79"/>
      <c r="M14" s="80"/>
      <c r="N14" s="79"/>
      <c r="O14" s="80"/>
      <c r="P14" s="79"/>
      <c r="Q14" s="80"/>
      <c r="R14" s="79"/>
      <c r="S14" s="80"/>
      <c r="T14" s="79"/>
      <c r="U14" s="80"/>
      <c r="V14" s="79"/>
      <c r="W14" s="80"/>
      <c r="X14" s="79"/>
      <c r="Y14" s="80"/>
      <c r="Z14" s="50">
        <f t="shared" si="0"/>
        <v>0</v>
      </c>
      <c r="AA14" s="60"/>
      <c r="AB14" s="60"/>
    </row>
    <row r="15" spans="1:28" x14ac:dyDescent="0.25">
      <c r="A15" s="443"/>
      <c r="B15" s="443"/>
      <c r="C15" s="443"/>
      <c r="D15" s="330"/>
      <c r="E15" s="330"/>
      <c r="F15" s="330"/>
      <c r="G15" s="330"/>
      <c r="H15" s="330"/>
      <c r="I15" s="330"/>
      <c r="J15" s="330"/>
      <c r="K15" s="330"/>
      <c r="L15" s="79"/>
      <c r="M15" s="80"/>
      <c r="N15" s="79"/>
      <c r="O15" s="80"/>
      <c r="P15" s="79"/>
      <c r="Q15" s="80"/>
      <c r="R15" s="79"/>
      <c r="S15" s="80"/>
      <c r="T15" s="79"/>
      <c r="U15" s="80"/>
      <c r="V15" s="79"/>
      <c r="W15" s="80"/>
      <c r="X15" s="79"/>
      <c r="Y15" s="80"/>
      <c r="Z15" s="50">
        <f t="shared" si="0"/>
        <v>0</v>
      </c>
      <c r="AA15" s="60"/>
      <c r="AB15" s="60"/>
    </row>
    <row r="16" spans="1:28" x14ac:dyDescent="0.25">
      <c r="A16" s="443"/>
      <c r="B16" s="443"/>
      <c r="C16" s="443"/>
      <c r="D16" s="330"/>
      <c r="E16" s="330"/>
      <c r="F16" s="330"/>
      <c r="G16" s="330"/>
      <c r="H16" s="330"/>
      <c r="I16" s="330"/>
      <c r="J16" s="330"/>
      <c r="K16" s="330"/>
      <c r="L16" s="79"/>
      <c r="M16" s="80"/>
      <c r="N16" s="79"/>
      <c r="O16" s="80"/>
      <c r="P16" s="79"/>
      <c r="Q16" s="80"/>
      <c r="R16" s="79"/>
      <c r="S16" s="80"/>
      <c r="T16" s="79"/>
      <c r="U16" s="80"/>
      <c r="V16" s="79"/>
      <c r="W16" s="80"/>
      <c r="X16" s="79"/>
      <c r="Y16" s="80"/>
      <c r="Z16" s="50">
        <f t="shared" si="0"/>
        <v>0</v>
      </c>
      <c r="AA16" s="60"/>
      <c r="AB16" s="60"/>
    </row>
    <row r="17" spans="1:28" x14ac:dyDescent="0.25">
      <c r="A17" s="443"/>
      <c r="B17" s="443"/>
      <c r="C17" s="443"/>
      <c r="D17" s="330"/>
      <c r="E17" s="330"/>
      <c r="F17" s="330"/>
      <c r="G17" s="330"/>
      <c r="H17" s="330"/>
      <c r="I17" s="330"/>
      <c r="J17" s="330"/>
      <c r="K17" s="330"/>
      <c r="L17" s="79"/>
      <c r="M17" s="80"/>
      <c r="N17" s="79"/>
      <c r="O17" s="80"/>
      <c r="P17" s="79"/>
      <c r="Q17" s="80"/>
      <c r="R17" s="79"/>
      <c r="S17" s="80"/>
      <c r="T17" s="79"/>
      <c r="U17" s="80"/>
      <c r="V17" s="79"/>
      <c r="W17" s="80"/>
      <c r="X17" s="79"/>
      <c r="Y17" s="80"/>
      <c r="Z17" s="50">
        <f t="shared" si="0"/>
        <v>0</v>
      </c>
      <c r="AA17" s="60"/>
      <c r="AB17" s="60"/>
    </row>
    <row r="18" spans="1:28" x14ac:dyDescent="0.25">
      <c r="A18" s="443"/>
      <c r="B18" s="443"/>
      <c r="C18" s="443"/>
      <c r="D18" s="330"/>
      <c r="E18" s="330"/>
      <c r="F18" s="330"/>
      <c r="G18" s="330"/>
      <c r="H18" s="330"/>
      <c r="I18" s="330"/>
      <c r="J18" s="330"/>
      <c r="K18" s="330"/>
      <c r="L18" s="79"/>
      <c r="M18" s="80"/>
      <c r="N18" s="79"/>
      <c r="O18" s="80"/>
      <c r="P18" s="79"/>
      <c r="Q18" s="80"/>
      <c r="R18" s="79"/>
      <c r="S18" s="80"/>
      <c r="T18" s="79"/>
      <c r="U18" s="80"/>
      <c r="V18" s="79"/>
      <c r="W18" s="80"/>
      <c r="X18" s="79"/>
      <c r="Y18" s="80"/>
      <c r="Z18" s="50">
        <f t="shared" si="0"/>
        <v>0</v>
      </c>
      <c r="AA18" s="60"/>
      <c r="AB18" s="60"/>
    </row>
    <row r="19" spans="1:28" x14ac:dyDescent="0.25">
      <c r="A19" s="443"/>
      <c r="B19" s="443"/>
      <c r="C19" s="443"/>
      <c r="D19" s="330"/>
      <c r="E19" s="330"/>
      <c r="F19" s="330"/>
      <c r="G19" s="330"/>
      <c r="H19" s="330"/>
      <c r="I19" s="330"/>
      <c r="J19" s="330"/>
      <c r="K19" s="330"/>
      <c r="L19" s="79"/>
      <c r="M19" s="80"/>
      <c r="N19" s="79"/>
      <c r="O19" s="80"/>
      <c r="P19" s="79"/>
      <c r="Q19" s="80"/>
      <c r="R19" s="79"/>
      <c r="S19" s="80"/>
      <c r="T19" s="79"/>
      <c r="U19" s="80"/>
      <c r="V19" s="79"/>
      <c r="W19" s="80"/>
      <c r="X19" s="79"/>
      <c r="Y19" s="80"/>
      <c r="Z19" s="50">
        <f t="shared" si="0"/>
        <v>0</v>
      </c>
      <c r="AA19" s="60"/>
      <c r="AB19" s="60"/>
    </row>
    <row r="20" spans="1:28" x14ac:dyDescent="0.25">
      <c r="A20" s="443"/>
      <c r="B20" s="443"/>
      <c r="C20" s="443"/>
      <c r="D20" s="330"/>
      <c r="E20" s="330"/>
      <c r="F20" s="330"/>
      <c r="G20" s="330"/>
      <c r="H20" s="330"/>
      <c r="I20" s="330"/>
      <c r="J20" s="330"/>
      <c r="K20" s="330"/>
      <c r="L20" s="79"/>
      <c r="M20" s="80"/>
      <c r="N20" s="79"/>
      <c r="O20" s="80"/>
      <c r="P20" s="79"/>
      <c r="Q20" s="80"/>
      <c r="R20" s="79"/>
      <c r="S20" s="80"/>
      <c r="T20" s="79"/>
      <c r="U20" s="80"/>
      <c r="V20" s="79"/>
      <c r="W20" s="80"/>
      <c r="X20" s="79"/>
      <c r="Y20" s="80"/>
      <c r="Z20" s="50">
        <f t="shared" si="0"/>
        <v>0</v>
      </c>
      <c r="AA20" s="60"/>
      <c r="AB20" s="60"/>
    </row>
    <row r="21" spans="1:28" x14ac:dyDescent="0.25">
      <c r="A21" s="443"/>
      <c r="B21" s="443"/>
      <c r="C21" s="443"/>
      <c r="D21" s="330"/>
      <c r="E21" s="330"/>
      <c r="F21" s="330"/>
      <c r="G21" s="330"/>
      <c r="H21" s="330"/>
      <c r="I21" s="330"/>
      <c r="J21" s="330"/>
      <c r="K21" s="330"/>
      <c r="L21" s="79"/>
      <c r="M21" s="80"/>
      <c r="N21" s="79"/>
      <c r="O21" s="80"/>
      <c r="P21" s="79"/>
      <c r="Q21" s="80"/>
      <c r="R21" s="79"/>
      <c r="S21" s="80"/>
      <c r="T21" s="79"/>
      <c r="U21" s="80"/>
      <c r="V21" s="79"/>
      <c r="W21" s="80"/>
      <c r="X21" s="79"/>
      <c r="Y21" s="80"/>
      <c r="Z21" s="50">
        <f t="shared" si="0"/>
        <v>0</v>
      </c>
      <c r="AA21" s="60"/>
      <c r="AB21" s="60"/>
    </row>
    <row r="22" spans="1:28" x14ac:dyDescent="0.25">
      <c r="A22" s="443"/>
      <c r="B22" s="443"/>
      <c r="C22" s="443"/>
      <c r="D22" s="330"/>
      <c r="E22" s="330"/>
      <c r="F22" s="330"/>
      <c r="G22" s="330"/>
      <c r="H22" s="330"/>
      <c r="I22" s="330"/>
      <c r="J22" s="330"/>
      <c r="K22" s="330"/>
      <c r="L22" s="79"/>
      <c r="M22" s="80"/>
      <c r="N22" s="79"/>
      <c r="O22" s="80"/>
      <c r="P22" s="79"/>
      <c r="Q22" s="80"/>
      <c r="R22" s="79"/>
      <c r="S22" s="80"/>
      <c r="T22" s="79"/>
      <c r="U22" s="80"/>
      <c r="V22" s="79"/>
      <c r="W22" s="80"/>
      <c r="X22" s="79"/>
      <c r="Y22" s="80"/>
      <c r="Z22" s="50">
        <f t="shared" si="0"/>
        <v>0</v>
      </c>
      <c r="AA22" s="60"/>
      <c r="AB22" s="60"/>
    </row>
    <row r="23" spans="1:28" x14ac:dyDescent="0.25">
      <c r="A23" s="443"/>
      <c r="B23" s="443"/>
      <c r="C23" s="443"/>
      <c r="D23" s="330"/>
      <c r="E23" s="330"/>
      <c r="F23" s="330"/>
      <c r="G23" s="330"/>
      <c r="H23" s="330"/>
      <c r="I23" s="330"/>
      <c r="J23" s="330"/>
      <c r="K23" s="330"/>
      <c r="L23" s="79"/>
      <c r="M23" s="80"/>
      <c r="N23" s="79"/>
      <c r="O23" s="80"/>
      <c r="P23" s="79"/>
      <c r="Q23" s="80"/>
      <c r="R23" s="79"/>
      <c r="S23" s="80"/>
      <c r="T23" s="79"/>
      <c r="U23" s="80"/>
      <c r="V23" s="79"/>
      <c r="W23" s="80"/>
      <c r="X23" s="79"/>
      <c r="Y23" s="80"/>
      <c r="Z23" s="50">
        <f t="shared" si="0"/>
        <v>0</v>
      </c>
      <c r="AA23" s="60"/>
      <c r="AB23" s="60"/>
    </row>
    <row r="24" spans="1:28" x14ac:dyDescent="0.25">
      <c r="A24" s="443"/>
      <c r="B24" s="443"/>
      <c r="C24" s="443"/>
      <c r="D24" s="330"/>
      <c r="E24" s="330"/>
      <c r="F24" s="330"/>
      <c r="G24" s="330"/>
      <c r="H24" s="330"/>
      <c r="I24" s="330"/>
      <c r="J24" s="330"/>
      <c r="K24" s="330"/>
      <c r="L24" s="79"/>
      <c r="M24" s="80"/>
      <c r="N24" s="79"/>
      <c r="O24" s="80"/>
      <c r="P24" s="79"/>
      <c r="Q24" s="80"/>
      <c r="R24" s="79"/>
      <c r="S24" s="80"/>
      <c r="T24" s="79"/>
      <c r="U24" s="80"/>
      <c r="V24" s="79"/>
      <c r="W24" s="80"/>
      <c r="X24" s="79"/>
      <c r="Y24" s="80"/>
      <c r="Z24" s="50">
        <f t="shared" si="0"/>
        <v>0</v>
      </c>
      <c r="AA24" s="60"/>
      <c r="AB24" s="60"/>
    </row>
    <row r="25" spans="1:28" x14ac:dyDescent="0.25">
      <c r="A25" s="443"/>
      <c r="B25" s="443"/>
      <c r="C25" s="443"/>
      <c r="D25" s="330"/>
      <c r="E25" s="330"/>
      <c r="F25" s="330"/>
      <c r="G25" s="330"/>
      <c r="H25" s="330"/>
      <c r="I25" s="330"/>
      <c r="J25" s="330"/>
      <c r="K25" s="330"/>
      <c r="L25" s="79"/>
      <c r="M25" s="80"/>
      <c r="N25" s="79"/>
      <c r="O25" s="80"/>
      <c r="P25" s="79"/>
      <c r="Q25" s="80"/>
      <c r="R25" s="79"/>
      <c r="S25" s="80"/>
      <c r="T25" s="79"/>
      <c r="U25" s="80"/>
      <c r="V25" s="79"/>
      <c r="W25" s="80"/>
      <c r="X25" s="79"/>
      <c r="Y25" s="80"/>
      <c r="Z25" s="50">
        <f t="shared" si="0"/>
        <v>0</v>
      </c>
      <c r="AA25" s="60"/>
      <c r="AB25" s="60"/>
    </row>
    <row r="26" spans="1:28" x14ac:dyDescent="0.25">
      <c r="A26" s="443"/>
      <c r="B26" s="443"/>
      <c r="C26" s="443"/>
      <c r="D26" s="330"/>
      <c r="E26" s="330"/>
      <c r="F26" s="330"/>
      <c r="G26" s="330"/>
      <c r="H26" s="330"/>
      <c r="I26" s="330"/>
      <c r="J26" s="330"/>
      <c r="K26" s="330"/>
      <c r="L26" s="79"/>
      <c r="M26" s="80"/>
      <c r="N26" s="79"/>
      <c r="O26" s="80"/>
      <c r="P26" s="79"/>
      <c r="Q26" s="80"/>
      <c r="R26" s="79"/>
      <c r="S26" s="80"/>
      <c r="T26" s="79"/>
      <c r="U26" s="80"/>
      <c r="V26" s="79"/>
      <c r="W26" s="80"/>
      <c r="X26" s="79"/>
      <c r="Y26" s="80"/>
      <c r="Z26" s="50">
        <f t="shared" si="0"/>
        <v>0</v>
      </c>
      <c r="AA26" s="60"/>
      <c r="AB26" s="60"/>
    </row>
    <row r="27" spans="1:28" x14ac:dyDescent="0.25">
      <c r="A27" s="443"/>
      <c r="B27" s="443"/>
      <c r="C27" s="443"/>
      <c r="D27" s="330"/>
      <c r="E27" s="330"/>
      <c r="F27" s="330"/>
      <c r="G27" s="330"/>
      <c r="H27" s="330"/>
      <c r="I27" s="330"/>
      <c r="J27" s="330"/>
      <c r="K27" s="330"/>
      <c r="L27" s="79"/>
      <c r="M27" s="80"/>
      <c r="N27" s="79"/>
      <c r="O27" s="80"/>
      <c r="P27" s="79"/>
      <c r="Q27" s="80"/>
      <c r="R27" s="79"/>
      <c r="S27" s="80"/>
      <c r="T27" s="79"/>
      <c r="U27" s="80"/>
      <c r="V27" s="79"/>
      <c r="W27" s="80"/>
      <c r="X27" s="79"/>
      <c r="Y27" s="80"/>
      <c r="Z27" s="50">
        <f t="shared" si="0"/>
        <v>0</v>
      </c>
      <c r="AA27" s="60"/>
      <c r="AB27" s="60"/>
    </row>
    <row r="28" spans="1:28" x14ac:dyDescent="0.25">
      <c r="A28" s="443"/>
      <c r="B28" s="443"/>
      <c r="C28" s="443"/>
      <c r="D28" s="330"/>
      <c r="E28" s="330"/>
      <c r="F28" s="330"/>
      <c r="G28" s="330"/>
      <c r="H28" s="330"/>
      <c r="I28" s="330"/>
      <c r="J28" s="330"/>
      <c r="K28" s="330"/>
      <c r="L28" s="79"/>
      <c r="M28" s="80"/>
      <c r="N28" s="79"/>
      <c r="O28" s="80"/>
      <c r="P28" s="79"/>
      <c r="Q28" s="80"/>
      <c r="R28" s="79"/>
      <c r="S28" s="80"/>
      <c r="T28" s="79"/>
      <c r="U28" s="80"/>
      <c r="V28" s="79"/>
      <c r="W28" s="80"/>
      <c r="X28" s="79"/>
      <c r="Y28" s="80"/>
      <c r="Z28" s="50">
        <f t="shared" si="0"/>
        <v>0</v>
      </c>
      <c r="AA28" s="60"/>
      <c r="AB28" s="60"/>
    </row>
    <row r="29" spans="1:28" x14ac:dyDescent="0.25">
      <c r="A29" s="443"/>
      <c r="B29" s="443"/>
      <c r="C29" s="443"/>
      <c r="D29" s="330"/>
      <c r="E29" s="330"/>
      <c r="F29" s="330"/>
      <c r="G29" s="330"/>
      <c r="H29" s="330"/>
      <c r="I29" s="330"/>
      <c r="J29" s="330"/>
      <c r="K29" s="330"/>
      <c r="L29" s="79"/>
      <c r="M29" s="80"/>
      <c r="N29" s="79"/>
      <c r="O29" s="80"/>
      <c r="P29" s="79"/>
      <c r="Q29" s="80"/>
      <c r="R29" s="79"/>
      <c r="S29" s="80"/>
      <c r="T29" s="79"/>
      <c r="U29" s="80"/>
      <c r="V29" s="79"/>
      <c r="W29" s="80"/>
      <c r="X29" s="79"/>
      <c r="Y29" s="80"/>
      <c r="Z29" s="50">
        <f t="shared" si="0"/>
        <v>0</v>
      </c>
      <c r="AA29" s="60"/>
      <c r="AB29" s="60"/>
    </row>
    <row r="30" spans="1:28" x14ac:dyDescent="0.25">
      <c r="A30" s="443"/>
      <c r="B30" s="443"/>
      <c r="C30" s="443"/>
      <c r="D30" s="330"/>
      <c r="E30" s="330"/>
      <c r="F30" s="330"/>
      <c r="G30" s="330"/>
      <c r="H30" s="330"/>
      <c r="I30" s="330"/>
      <c r="J30" s="330"/>
      <c r="K30" s="330"/>
      <c r="L30" s="79"/>
      <c r="M30" s="80"/>
      <c r="N30" s="79"/>
      <c r="O30" s="80"/>
      <c r="P30" s="79"/>
      <c r="Q30" s="80"/>
      <c r="R30" s="79"/>
      <c r="S30" s="80"/>
      <c r="T30" s="79"/>
      <c r="U30" s="80"/>
      <c r="V30" s="79"/>
      <c r="W30" s="80"/>
      <c r="X30" s="79"/>
      <c r="Y30" s="80"/>
      <c r="Z30" s="50">
        <f t="shared" si="0"/>
        <v>0</v>
      </c>
      <c r="AA30" s="60"/>
      <c r="AB30" s="60"/>
    </row>
    <row r="31" spans="1:28" x14ac:dyDescent="0.25">
      <c r="A31" s="443"/>
      <c r="B31" s="443"/>
      <c r="C31" s="443"/>
      <c r="D31" s="330"/>
      <c r="E31" s="330"/>
      <c r="F31" s="330"/>
      <c r="G31" s="330"/>
      <c r="H31" s="330"/>
      <c r="I31" s="330"/>
      <c r="J31" s="330"/>
      <c r="K31" s="330"/>
      <c r="L31" s="79"/>
      <c r="M31" s="80"/>
      <c r="N31" s="79"/>
      <c r="O31" s="80"/>
      <c r="P31" s="79"/>
      <c r="Q31" s="80"/>
      <c r="R31" s="79"/>
      <c r="S31" s="80"/>
      <c r="T31" s="79"/>
      <c r="U31" s="80"/>
      <c r="V31" s="79"/>
      <c r="W31" s="80"/>
      <c r="X31" s="79"/>
      <c r="Y31" s="80"/>
      <c r="Z31" s="50">
        <f t="shared" si="0"/>
        <v>0</v>
      </c>
      <c r="AA31" s="60"/>
      <c r="AB31" s="60"/>
    </row>
    <row r="32" spans="1:28" x14ac:dyDescent="0.25">
      <c r="A32" s="443"/>
      <c r="B32" s="443"/>
      <c r="C32" s="443"/>
      <c r="D32" s="330"/>
      <c r="E32" s="330"/>
      <c r="F32" s="330"/>
      <c r="G32" s="330"/>
      <c r="H32" s="330"/>
      <c r="I32" s="330"/>
      <c r="J32" s="330"/>
      <c r="K32" s="330"/>
      <c r="L32" s="79"/>
      <c r="M32" s="80"/>
      <c r="N32" s="79"/>
      <c r="O32" s="80"/>
      <c r="P32" s="79"/>
      <c r="Q32" s="80"/>
      <c r="R32" s="79"/>
      <c r="S32" s="80"/>
      <c r="T32" s="79"/>
      <c r="U32" s="80"/>
      <c r="V32" s="79"/>
      <c r="W32" s="80"/>
      <c r="X32" s="79"/>
      <c r="Y32" s="80"/>
      <c r="Z32" s="50">
        <f t="shared" si="0"/>
        <v>0</v>
      </c>
      <c r="AA32" s="60"/>
      <c r="AB32" s="60"/>
    </row>
    <row r="33" spans="1:28" x14ac:dyDescent="0.25">
      <c r="A33" s="443"/>
      <c r="B33" s="443"/>
      <c r="C33" s="443"/>
      <c r="D33" s="330"/>
      <c r="E33" s="330"/>
      <c r="F33" s="330"/>
      <c r="G33" s="330"/>
      <c r="H33" s="330"/>
      <c r="I33" s="330"/>
      <c r="J33" s="330"/>
      <c r="K33" s="330"/>
      <c r="L33" s="79"/>
      <c r="M33" s="80"/>
      <c r="N33" s="79"/>
      <c r="O33" s="80"/>
      <c r="P33" s="79"/>
      <c r="Q33" s="80"/>
      <c r="R33" s="79"/>
      <c r="S33" s="80"/>
      <c r="T33" s="79"/>
      <c r="U33" s="80"/>
      <c r="V33" s="79"/>
      <c r="W33" s="80"/>
      <c r="X33" s="79"/>
      <c r="Y33" s="80"/>
      <c r="Z33" s="50">
        <f t="shared" si="0"/>
        <v>0</v>
      </c>
      <c r="AA33" s="60"/>
      <c r="AB33" s="60"/>
    </row>
    <row r="34" spans="1:28" x14ac:dyDescent="0.25">
      <c r="A34" s="443"/>
      <c r="B34" s="443"/>
      <c r="C34" s="443"/>
      <c r="D34" s="330"/>
      <c r="E34" s="330"/>
      <c r="F34" s="330"/>
      <c r="G34" s="330"/>
      <c r="H34" s="330"/>
      <c r="I34" s="330"/>
      <c r="J34" s="330"/>
      <c r="K34" s="330"/>
      <c r="L34" s="79"/>
      <c r="M34" s="80"/>
      <c r="N34" s="79"/>
      <c r="O34" s="80"/>
      <c r="P34" s="79"/>
      <c r="Q34" s="80"/>
      <c r="R34" s="79"/>
      <c r="S34" s="80"/>
      <c r="T34" s="79"/>
      <c r="U34" s="80"/>
      <c r="V34" s="79"/>
      <c r="W34" s="80"/>
      <c r="X34" s="79"/>
      <c r="Y34" s="80"/>
      <c r="Z34" s="50">
        <f t="shared" si="0"/>
        <v>0</v>
      </c>
      <c r="AA34" s="60"/>
      <c r="AB34" s="60"/>
    </row>
    <row r="35" spans="1:28" x14ac:dyDescent="0.25">
      <c r="A35" s="443"/>
      <c r="B35" s="443"/>
      <c r="C35" s="443"/>
      <c r="D35" s="330"/>
      <c r="E35" s="330"/>
      <c r="F35" s="330"/>
      <c r="G35" s="330"/>
      <c r="H35" s="330"/>
      <c r="I35" s="330"/>
      <c r="J35" s="330"/>
      <c r="K35" s="330"/>
      <c r="L35" s="79"/>
      <c r="M35" s="80"/>
      <c r="N35" s="79"/>
      <c r="O35" s="80"/>
      <c r="P35" s="79"/>
      <c r="Q35" s="80"/>
      <c r="R35" s="79"/>
      <c r="S35" s="80"/>
      <c r="T35" s="79"/>
      <c r="U35" s="80"/>
      <c r="V35" s="79"/>
      <c r="W35" s="80"/>
      <c r="X35" s="79"/>
      <c r="Y35" s="80"/>
      <c r="Z35" s="50">
        <f t="shared" si="0"/>
        <v>0</v>
      </c>
      <c r="AA35" s="60"/>
      <c r="AB35" s="60"/>
    </row>
    <row r="36" spans="1:28" x14ac:dyDescent="0.25">
      <c r="A36" s="443"/>
      <c r="B36" s="443"/>
      <c r="C36" s="443"/>
      <c r="D36" s="330"/>
      <c r="E36" s="330"/>
      <c r="F36" s="330"/>
      <c r="G36" s="330"/>
      <c r="H36" s="330"/>
      <c r="I36" s="330"/>
      <c r="J36" s="330"/>
      <c r="K36" s="330"/>
      <c r="L36" s="79"/>
      <c r="M36" s="80"/>
      <c r="N36" s="79"/>
      <c r="O36" s="80"/>
      <c r="P36" s="79"/>
      <c r="Q36" s="80"/>
      <c r="R36" s="79"/>
      <c r="S36" s="80"/>
      <c r="T36" s="79"/>
      <c r="U36" s="80"/>
      <c r="V36" s="79"/>
      <c r="W36" s="80"/>
      <c r="X36" s="79"/>
      <c r="Y36" s="80"/>
      <c r="Z36" s="50">
        <f t="shared" si="0"/>
        <v>0</v>
      </c>
      <c r="AA36" s="60"/>
      <c r="AB36" s="60"/>
    </row>
    <row r="37" spans="1:28" x14ac:dyDescent="0.25">
      <c r="A37" s="443"/>
      <c r="B37" s="443"/>
      <c r="C37" s="443"/>
      <c r="D37" s="330"/>
      <c r="E37" s="330"/>
      <c r="F37" s="330"/>
      <c r="G37" s="330"/>
      <c r="H37" s="330"/>
      <c r="I37" s="330"/>
      <c r="J37" s="330"/>
      <c r="K37" s="330"/>
      <c r="L37" s="79"/>
      <c r="M37" s="80"/>
      <c r="N37" s="79"/>
      <c r="O37" s="80"/>
      <c r="P37" s="79"/>
      <c r="Q37" s="80"/>
      <c r="R37" s="79"/>
      <c r="S37" s="80"/>
      <c r="T37" s="79"/>
      <c r="U37" s="80"/>
      <c r="V37" s="79"/>
      <c r="W37" s="80"/>
      <c r="X37" s="79"/>
      <c r="Y37" s="80"/>
      <c r="Z37" s="50">
        <f t="shared" si="0"/>
        <v>0</v>
      </c>
      <c r="AA37" s="60"/>
      <c r="AB37" s="60"/>
    </row>
    <row r="38" spans="1:28" x14ac:dyDescent="0.25">
      <c r="A38" s="443"/>
      <c r="B38" s="443"/>
      <c r="C38" s="443"/>
      <c r="D38" s="330"/>
      <c r="E38" s="330"/>
      <c r="F38" s="330"/>
      <c r="G38" s="330"/>
      <c r="H38" s="330"/>
      <c r="I38" s="330"/>
      <c r="J38" s="330"/>
      <c r="K38" s="330"/>
      <c r="L38" s="79"/>
      <c r="M38" s="80"/>
      <c r="N38" s="79"/>
      <c r="O38" s="80"/>
      <c r="P38" s="79"/>
      <c r="Q38" s="80"/>
      <c r="R38" s="79"/>
      <c r="S38" s="80"/>
      <c r="T38" s="79"/>
      <c r="U38" s="80"/>
      <c r="V38" s="79"/>
      <c r="W38" s="80"/>
      <c r="X38" s="79"/>
      <c r="Y38" s="80"/>
      <c r="Z38" s="50">
        <f t="shared" si="0"/>
        <v>0</v>
      </c>
      <c r="AA38" s="60"/>
      <c r="AB38" s="60"/>
    </row>
    <row r="39" spans="1:28" x14ac:dyDescent="0.25">
      <c r="A39" s="443"/>
      <c r="B39" s="443"/>
      <c r="C39" s="443"/>
      <c r="D39" s="330"/>
      <c r="E39" s="330"/>
      <c r="F39" s="330"/>
      <c r="G39" s="330"/>
      <c r="H39" s="330"/>
      <c r="I39" s="330"/>
      <c r="J39" s="330"/>
      <c r="K39" s="330"/>
      <c r="L39" s="79"/>
      <c r="M39" s="80"/>
      <c r="N39" s="79"/>
      <c r="O39" s="80"/>
      <c r="P39" s="79"/>
      <c r="Q39" s="80"/>
      <c r="R39" s="79"/>
      <c r="S39" s="80"/>
      <c r="T39" s="79"/>
      <c r="U39" s="80"/>
      <c r="V39" s="79"/>
      <c r="W39" s="80"/>
      <c r="X39" s="79"/>
      <c r="Y39" s="80"/>
      <c r="Z39" s="50">
        <f t="shared" si="0"/>
        <v>0</v>
      </c>
      <c r="AA39" s="60"/>
      <c r="AB39" s="60"/>
    </row>
    <row r="40" spans="1:28" x14ac:dyDescent="0.25">
      <c r="A40" s="443"/>
      <c r="B40" s="443"/>
      <c r="C40" s="443"/>
      <c r="D40" s="330"/>
      <c r="E40" s="330"/>
      <c r="F40" s="330"/>
      <c r="G40" s="330"/>
      <c r="H40" s="330"/>
      <c r="I40" s="330"/>
      <c r="J40" s="330"/>
      <c r="K40" s="330"/>
      <c r="L40" s="79"/>
      <c r="M40" s="80"/>
      <c r="N40" s="79"/>
      <c r="O40" s="80"/>
      <c r="P40" s="79"/>
      <c r="Q40" s="80"/>
      <c r="R40" s="79"/>
      <c r="S40" s="80"/>
      <c r="T40" s="79"/>
      <c r="U40" s="80"/>
      <c r="V40" s="79"/>
      <c r="W40" s="80"/>
      <c r="X40" s="79"/>
      <c r="Y40" s="80"/>
      <c r="Z40" s="50">
        <f t="shared" si="0"/>
        <v>0</v>
      </c>
      <c r="AA40" s="60"/>
      <c r="AB40" s="60"/>
    </row>
    <row r="41" spans="1:28" x14ac:dyDescent="0.25">
      <c r="A41" s="443"/>
      <c r="B41" s="443"/>
      <c r="C41" s="443"/>
      <c r="D41" s="330"/>
      <c r="E41" s="330"/>
      <c r="F41" s="330"/>
      <c r="G41" s="330"/>
      <c r="H41" s="330"/>
      <c r="I41" s="330"/>
      <c r="J41" s="330"/>
      <c r="K41" s="330"/>
      <c r="L41" s="79"/>
      <c r="M41" s="80"/>
      <c r="N41" s="79"/>
      <c r="O41" s="80"/>
      <c r="P41" s="79"/>
      <c r="Q41" s="80"/>
      <c r="R41" s="79"/>
      <c r="S41" s="80"/>
      <c r="T41" s="79"/>
      <c r="U41" s="80"/>
      <c r="V41" s="79"/>
      <c r="W41" s="80"/>
      <c r="X41" s="79"/>
      <c r="Y41" s="80"/>
      <c r="Z41" s="50">
        <f t="shared" si="0"/>
        <v>0</v>
      </c>
      <c r="AA41" s="60"/>
      <c r="AB41" s="60"/>
    </row>
    <row r="42" spans="1:28" x14ac:dyDescent="0.25">
      <c r="A42" s="443"/>
      <c r="B42" s="443"/>
      <c r="C42" s="443"/>
      <c r="D42" s="330"/>
      <c r="E42" s="330"/>
      <c r="F42" s="330"/>
      <c r="G42" s="330"/>
      <c r="H42" s="330"/>
      <c r="I42" s="330"/>
      <c r="J42" s="330"/>
      <c r="K42" s="330"/>
      <c r="L42" s="79"/>
      <c r="M42" s="80"/>
      <c r="N42" s="79"/>
      <c r="O42" s="80"/>
      <c r="P42" s="79"/>
      <c r="Q42" s="80"/>
      <c r="R42" s="79"/>
      <c r="S42" s="80"/>
      <c r="T42" s="79"/>
      <c r="U42" s="80"/>
      <c r="V42" s="79"/>
      <c r="W42" s="80"/>
      <c r="X42" s="79"/>
      <c r="Y42" s="80"/>
      <c r="Z42" s="50">
        <f t="shared" si="0"/>
        <v>0</v>
      </c>
      <c r="AA42" s="60"/>
      <c r="AB42" s="60"/>
    </row>
    <row r="43" spans="1:28" x14ac:dyDescent="0.25">
      <c r="A43" s="443"/>
      <c r="B43" s="443"/>
      <c r="C43" s="443"/>
      <c r="D43" s="330"/>
      <c r="E43" s="330"/>
      <c r="F43" s="330"/>
      <c r="G43" s="330"/>
      <c r="H43" s="330"/>
      <c r="I43" s="330"/>
      <c r="J43" s="330"/>
      <c r="K43" s="330"/>
      <c r="L43" s="79"/>
      <c r="M43" s="80"/>
      <c r="N43" s="79"/>
      <c r="O43" s="80"/>
      <c r="P43" s="79"/>
      <c r="Q43" s="80"/>
      <c r="R43" s="79"/>
      <c r="S43" s="80"/>
      <c r="T43" s="79"/>
      <c r="U43" s="80"/>
      <c r="V43" s="79"/>
      <c r="W43" s="80"/>
      <c r="X43" s="79"/>
      <c r="Y43" s="80"/>
      <c r="Z43" s="50">
        <f t="shared" si="0"/>
        <v>0</v>
      </c>
      <c r="AA43" s="60"/>
      <c r="AB43" s="60"/>
    </row>
    <row r="44" spans="1:28" x14ac:dyDescent="0.25">
      <c r="A44" s="443"/>
      <c r="B44" s="443"/>
      <c r="C44" s="443"/>
      <c r="D44" s="330"/>
      <c r="E44" s="330"/>
      <c r="F44" s="330"/>
      <c r="G44" s="330"/>
      <c r="H44" s="330"/>
      <c r="I44" s="330"/>
      <c r="J44" s="330"/>
      <c r="K44" s="330"/>
      <c r="L44" s="79"/>
      <c r="M44" s="80"/>
      <c r="N44" s="79"/>
      <c r="O44" s="80"/>
      <c r="P44" s="79"/>
      <c r="Q44" s="80"/>
      <c r="R44" s="79"/>
      <c r="S44" s="80"/>
      <c r="T44" s="79"/>
      <c r="U44" s="80"/>
      <c r="V44" s="79"/>
      <c r="W44" s="80"/>
      <c r="X44" s="79"/>
      <c r="Y44" s="80"/>
      <c r="Z44" s="50">
        <f t="shared" si="0"/>
        <v>0</v>
      </c>
      <c r="AA44" s="60"/>
      <c r="AB44" s="60"/>
    </row>
    <row r="45" spans="1:28" x14ac:dyDescent="0.25">
      <c r="A45" s="443"/>
      <c r="B45" s="443"/>
      <c r="C45" s="443"/>
      <c r="D45" s="330"/>
      <c r="E45" s="330"/>
      <c r="F45" s="330"/>
      <c r="G45" s="330"/>
      <c r="H45" s="330"/>
      <c r="I45" s="330"/>
      <c r="J45" s="330"/>
      <c r="K45" s="330"/>
      <c r="L45" s="79"/>
      <c r="M45" s="80"/>
      <c r="N45" s="79"/>
      <c r="O45" s="80"/>
      <c r="P45" s="79"/>
      <c r="Q45" s="80"/>
      <c r="R45" s="79"/>
      <c r="S45" s="80"/>
      <c r="T45" s="79"/>
      <c r="U45" s="80"/>
      <c r="V45" s="79"/>
      <c r="W45" s="80"/>
      <c r="X45" s="79"/>
      <c r="Y45" s="80"/>
      <c r="Z45" s="50">
        <f t="shared" si="0"/>
        <v>0</v>
      </c>
      <c r="AA45" s="60"/>
      <c r="AB45" s="60"/>
    </row>
    <row r="46" spans="1:28" x14ac:dyDescent="0.25">
      <c r="A46" s="443"/>
      <c r="B46" s="443"/>
      <c r="C46" s="443"/>
      <c r="D46" s="330"/>
      <c r="E46" s="330"/>
      <c r="F46" s="330"/>
      <c r="G46" s="330"/>
      <c r="H46" s="330"/>
      <c r="I46" s="330"/>
      <c r="J46" s="330"/>
      <c r="K46" s="330"/>
      <c r="L46" s="79"/>
      <c r="M46" s="80"/>
      <c r="N46" s="79"/>
      <c r="O46" s="80"/>
      <c r="P46" s="79"/>
      <c r="Q46" s="80"/>
      <c r="R46" s="79"/>
      <c r="S46" s="80"/>
      <c r="T46" s="79"/>
      <c r="U46" s="80"/>
      <c r="V46" s="79"/>
      <c r="W46" s="80"/>
      <c r="X46" s="79"/>
      <c r="Y46" s="80"/>
      <c r="Z46" s="50">
        <f t="shared" si="0"/>
        <v>0</v>
      </c>
      <c r="AA46" s="60"/>
      <c r="AB46" s="60"/>
    </row>
    <row r="47" spans="1:28" x14ac:dyDescent="0.25">
      <c r="A47" s="443"/>
      <c r="B47" s="443"/>
      <c r="C47" s="443"/>
      <c r="D47" s="330"/>
      <c r="E47" s="330"/>
      <c r="F47" s="330"/>
      <c r="G47" s="330"/>
      <c r="H47" s="330"/>
      <c r="I47" s="330"/>
      <c r="J47" s="330"/>
      <c r="K47" s="330"/>
      <c r="L47" s="79"/>
      <c r="M47" s="80"/>
      <c r="N47" s="79"/>
      <c r="O47" s="80"/>
      <c r="P47" s="79"/>
      <c r="Q47" s="80"/>
      <c r="R47" s="79"/>
      <c r="S47" s="80"/>
      <c r="T47" s="79"/>
      <c r="U47" s="80"/>
      <c r="V47" s="79"/>
      <c r="W47" s="80"/>
      <c r="X47" s="79"/>
      <c r="Y47" s="80"/>
      <c r="Z47" s="50">
        <f t="shared" si="0"/>
        <v>0</v>
      </c>
      <c r="AA47" s="60"/>
      <c r="AB47" s="60"/>
    </row>
    <row r="48" spans="1:28" x14ac:dyDescent="0.25">
      <c r="A48" s="443"/>
      <c r="B48" s="443"/>
      <c r="C48" s="443"/>
      <c r="D48" s="330"/>
      <c r="E48" s="330"/>
      <c r="F48" s="330"/>
      <c r="G48" s="330"/>
      <c r="H48" s="330"/>
      <c r="I48" s="330"/>
      <c r="J48" s="330"/>
      <c r="K48" s="330"/>
      <c r="L48" s="79"/>
      <c r="M48" s="80"/>
      <c r="N48" s="79"/>
      <c r="O48" s="80"/>
      <c r="P48" s="79"/>
      <c r="Q48" s="80"/>
      <c r="R48" s="79"/>
      <c r="S48" s="80"/>
      <c r="T48" s="79"/>
      <c r="U48" s="80"/>
      <c r="V48" s="79"/>
      <c r="W48" s="80"/>
      <c r="X48" s="79"/>
      <c r="Y48" s="80"/>
      <c r="Z48" s="50">
        <f t="shared" si="0"/>
        <v>0</v>
      </c>
      <c r="AA48" s="60"/>
      <c r="AB48" s="60"/>
    </row>
    <row r="49" spans="1:28" x14ac:dyDescent="0.25">
      <c r="A49" s="443"/>
      <c r="B49" s="443"/>
      <c r="C49" s="443"/>
      <c r="D49" s="330"/>
      <c r="E49" s="330"/>
      <c r="F49" s="330"/>
      <c r="G49" s="330"/>
      <c r="H49" s="330"/>
      <c r="I49" s="330"/>
      <c r="J49" s="330"/>
      <c r="K49" s="330"/>
      <c r="L49" s="79"/>
      <c r="M49" s="80"/>
      <c r="N49" s="79"/>
      <c r="O49" s="80"/>
      <c r="P49" s="79"/>
      <c r="Q49" s="80"/>
      <c r="R49" s="79"/>
      <c r="S49" s="80"/>
      <c r="T49" s="79"/>
      <c r="U49" s="80"/>
      <c r="V49" s="79"/>
      <c r="W49" s="80"/>
      <c r="X49" s="79"/>
      <c r="Y49" s="80"/>
      <c r="Z49" s="50">
        <f t="shared" si="0"/>
        <v>0</v>
      </c>
      <c r="AA49" s="60"/>
      <c r="AB49" s="60"/>
    </row>
    <row r="50" spans="1:28" x14ac:dyDescent="0.25">
      <c r="A50" s="443"/>
      <c r="B50" s="443"/>
      <c r="C50" s="443"/>
      <c r="D50" s="330"/>
      <c r="E50" s="330"/>
      <c r="F50" s="330"/>
      <c r="G50" s="330"/>
      <c r="H50" s="330"/>
      <c r="I50" s="330"/>
      <c r="J50" s="330"/>
      <c r="K50" s="330"/>
      <c r="L50" s="79"/>
      <c r="M50" s="80"/>
      <c r="N50" s="79"/>
      <c r="O50" s="80"/>
      <c r="P50" s="79"/>
      <c r="Q50" s="80"/>
      <c r="R50" s="79"/>
      <c r="S50" s="80"/>
      <c r="T50" s="79"/>
      <c r="U50" s="80"/>
      <c r="V50" s="79"/>
      <c r="W50" s="80"/>
      <c r="X50" s="79"/>
      <c r="Y50" s="80"/>
      <c r="Z50" s="50">
        <f t="shared" si="0"/>
        <v>0</v>
      </c>
      <c r="AA50" s="60"/>
      <c r="AB50" s="60"/>
    </row>
    <row r="51" spans="1:28" x14ac:dyDescent="0.25">
      <c r="A51" s="443"/>
      <c r="B51" s="443"/>
      <c r="C51" s="443"/>
      <c r="D51" s="330"/>
      <c r="E51" s="330"/>
      <c r="F51" s="330"/>
      <c r="G51" s="330"/>
      <c r="H51" s="330"/>
      <c r="I51" s="330"/>
      <c r="J51" s="330"/>
      <c r="K51" s="330"/>
      <c r="L51" s="79"/>
      <c r="M51" s="80"/>
      <c r="N51" s="79"/>
      <c r="O51" s="80"/>
      <c r="P51" s="79"/>
      <c r="Q51" s="80"/>
      <c r="R51" s="79"/>
      <c r="S51" s="80"/>
      <c r="T51" s="79"/>
      <c r="U51" s="80"/>
      <c r="V51" s="79"/>
      <c r="W51" s="80"/>
      <c r="X51" s="79"/>
      <c r="Y51" s="80"/>
      <c r="Z51" s="50">
        <f t="shared" si="0"/>
        <v>0</v>
      </c>
      <c r="AA51" s="60"/>
      <c r="AB51" s="60"/>
    </row>
    <row r="52" spans="1:28" x14ac:dyDescent="0.25">
      <c r="A52" s="443"/>
      <c r="B52" s="443"/>
      <c r="C52" s="443"/>
      <c r="D52" s="330"/>
      <c r="E52" s="330"/>
      <c r="F52" s="330"/>
      <c r="G52" s="330"/>
      <c r="H52" s="330"/>
      <c r="I52" s="330"/>
      <c r="J52" s="330"/>
      <c r="K52" s="330"/>
      <c r="L52" s="79"/>
      <c r="M52" s="80"/>
      <c r="N52" s="79"/>
      <c r="O52" s="80"/>
      <c r="P52" s="79"/>
      <c r="Q52" s="80"/>
      <c r="R52" s="79"/>
      <c r="S52" s="80"/>
      <c r="T52" s="79"/>
      <c r="U52" s="80"/>
      <c r="V52" s="79"/>
      <c r="W52" s="80"/>
      <c r="X52" s="79"/>
      <c r="Y52" s="80"/>
      <c r="Z52" s="50">
        <f t="shared" si="0"/>
        <v>0</v>
      </c>
      <c r="AA52" s="60"/>
      <c r="AB52" s="60"/>
    </row>
    <row r="53" spans="1:28" x14ac:dyDescent="0.25">
      <c r="A53" s="443"/>
      <c r="B53" s="443"/>
      <c r="C53" s="443"/>
      <c r="D53" s="330"/>
      <c r="E53" s="330"/>
      <c r="F53" s="330"/>
      <c r="G53" s="330"/>
      <c r="H53" s="330"/>
      <c r="I53" s="330"/>
      <c r="J53" s="330"/>
      <c r="K53" s="330"/>
      <c r="L53" s="79"/>
      <c r="M53" s="80"/>
      <c r="N53" s="79"/>
      <c r="O53" s="80"/>
      <c r="P53" s="79"/>
      <c r="Q53" s="80"/>
      <c r="R53" s="79"/>
      <c r="S53" s="80"/>
      <c r="T53" s="79"/>
      <c r="U53" s="80"/>
      <c r="V53" s="79"/>
      <c r="W53" s="80"/>
      <c r="X53" s="79"/>
      <c r="Y53" s="80"/>
      <c r="Z53" s="50">
        <f t="shared" si="0"/>
        <v>0</v>
      </c>
      <c r="AA53" s="60"/>
      <c r="AB53" s="60"/>
    </row>
    <row r="54" spans="1:28" x14ac:dyDescent="0.25">
      <c r="A54" s="443"/>
      <c r="B54" s="443"/>
      <c r="C54" s="443"/>
      <c r="D54" s="330"/>
      <c r="E54" s="330"/>
      <c r="F54" s="330"/>
      <c r="G54" s="330"/>
      <c r="H54" s="330"/>
      <c r="I54" s="330"/>
      <c r="J54" s="330"/>
      <c r="K54" s="330"/>
      <c r="L54" s="79"/>
      <c r="M54" s="80"/>
      <c r="N54" s="79"/>
      <c r="O54" s="80"/>
      <c r="P54" s="79"/>
      <c r="Q54" s="80"/>
      <c r="R54" s="79"/>
      <c r="S54" s="80"/>
      <c r="T54" s="79"/>
      <c r="U54" s="80"/>
      <c r="V54" s="79"/>
      <c r="W54" s="80"/>
      <c r="X54" s="79"/>
      <c r="Y54" s="80"/>
      <c r="Z54" s="50">
        <f t="shared" si="0"/>
        <v>0</v>
      </c>
      <c r="AA54" s="60"/>
      <c r="AB54" s="60"/>
    </row>
    <row r="55" spans="1:28" x14ac:dyDescent="0.25">
      <c r="A55" s="443"/>
      <c r="B55" s="443"/>
      <c r="C55" s="443"/>
      <c r="D55" s="330"/>
      <c r="E55" s="330"/>
      <c r="F55" s="330"/>
      <c r="G55" s="330"/>
      <c r="H55" s="330"/>
      <c r="I55" s="330"/>
      <c r="J55" s="330"/>
      <c r="K55" s="330"/>
      <c r="L55" s="79"/>
      <c r="M55" s="80"/>
      <c r="N55" s="79"/>
      <c r="O55" s="80"/>
      <c r="P55" s="79"/>
      <c r="Q55" s="80"/>
      <c r="R55" s="79"/>
      <c r="S55" s="80"/>
      <c r="T55" s="79"/>
      <c r="U55" s="80"/>
      <c r="V55" s="79"/>
      <c r="W55" s="80"/>
      <c r="X55" s="79"/>
      <c r="Y55" s="80"/>
      <c r="Z55" s="50">
        <f t="shared" si="0"/>
        <v>0</v>
      </c>
      <c r="AA55" s="60"/>
      <c r="AB55" s="60"/>
    </row>
    <row r="56" spans="1:28" x14ac:dyDescent="0.25">
      <c r="A56" s="443"/>
      <c r="B56" s="443"/>
      <c r="C56" s="443"/>
      <c r="D56" s="330"/>
      <c r="E56" s="330"/>
      <c r="F56" s="330"/>
      <c r="G56" s="330"/>
      <c r="H56" s="330"/>
      <c r="I56" s="330"/>
      <c r="J56" s="330"/>
      <c r="K56" s="330"/>
      <c r="L56" s="79"/>
      <c r="M56" s="80"/>
      <c r="N56" s="79"/>
      <c r="O56" s="80"/>
      <c r="P56" s="79"/>
      <c r="Q56" s="80"/>
      <c r="R56" s="79"/>
      <c r="S56" s="80"/>
      <c r="T56" s="79"/>
      <c r="U56" s="80"/>
      <c r="V56" s="79"/>
      <c r="W56" s="80"/>
      <c r="X56" s="79"/>
      <c r="Y56" s="80"/>
      <c r="Z56" s="50">
        <f t="shared" si="0"/>
        <v>0</v>
      </c>
      <c r="AA56" s="60"/>
      <c r="AB56" s="60"/>
    </row>
    <row r="57" spans="1:28" x14ac:dyDescent="0.25">
      <c r="A57" s="443"/>
      <c r="B57" s="443"/>
      <c r="C57" s="443"/>
      <c r="D57" s="330"/>
      <c r="E57" s="330"/>
      <c r="F57" s="330"/>
      <c r="G57" s="330"/>
      <c r="H57" s="330"/>
      <c r="I57" s="330"/>
      <c r="J57" s="330"/>
      <c r="K57" s="330"/>
      <c r="L57" s="79"/>
      <c r="M57" s="80"/>
      <c r="N57" s="79"/>
      <c r="O57" s="80"/>
      <c r="P57" s="79"/>
      <c r="Q57" s="80"/>
      <c r="R57" s="79"/>
      <c r="S57" s="80"/>
      <c r="T57" s="79"/>
      <c r="U57" s="80"/>
      <c r="V57" s="79"/>
      <c r="W57" s="80"/>
      <c r="X57" s="79"/>
      <c r="Y57" s="80"/>
      <c r="Z57" s="50">
        <f t="shared" si="0"/>
        <v>0</v>
      </c>
      <c r="AA57" s="60"/>
      <c r="AB57" s="60"/>
    </row>
    <row r="58" spans="1:28" x14ac:dyDescent="0.25">
      <c r="A58" s="443"/>
      <c r="B58" s="443"/>
      <c r="C58" s="443"/>
      <c r="D58" s="330"/>
      <c r="E58" s="330"/>
      <c r="F58" s="330"/>
      <c r="G58" s="330"/>
      <c r="H58" s="330"/>
      <c r="I58" s="330"/>
      <c r="J58" s="330"/>
      <c r="K58" s="330"/>
      <c r="L58" s="79"/>
      <c r="M58" s="80"/>
      <c r="N58" s="79"/>
      <c r="O58" s="80"/>
      <c r="P58" s="79"/>
      <c r="Q58" s="80"/>
      <c r="R58" s="79"/>
      <c r="S58" s="80"/>
      <c r="T58" s="79"/>
      <c r="U58" s="80"/>
      <c r="V58" s="79"/>
      <c r="W58" s="80"/>
      <c r="X58" s="79"/>
      <c r="Y58" s="80"/>
      <c r="Z58" s="50">
        <f t="shared" si="0"/>
        <v>0</v>
      </c>
      <c r="AA58" s="60"/>
      <c r="AB58" s="60"/>
    </row>
    <row r="59" spans="1:28" x14ac:dyDescent="0.25">
      <c r="A59" s="443"/>
      <c r="B59" s="443"/>
      <c r="C59" s="443"/>
      <c r="D59" s="330"/>
      <c r="E59" s="330"/>
      <c r="F59" s="330"/>
      <c r="G59" s="330"/>
      <c r="H59" s="330"/>
      <c r="I59" s="330"/>
      <c r="J59" s="330"/>
      <c r="K59" s="330"/>
      <c r="L59" s="79"/>
      <c r="M59" s="80"/>
      <c r="N59" s="79"/>
      <c r="O59" s="80"/>
      <c r="P59" s="79"/>
      <c r="Q59" s="80"/>
      <c r="R59" s="79"/>
      <c r="S59" s="80"/>
      <c r="T59" s="79"/>
      <c r="U59" s="80"/>
      <c r="V59" s="79"/>
      <c r="W59" s="80"/>
      <c r="X59" s="79"/>
      <c r="Y59" s="80"/>
      <c r="Z59" s="50">
        <f t="shared" si="0"/>
        <v>0</v>
      </c>
      <c r="AA59" s="60"/>
      <c r="AB59" s="60"/>
    </row>
    <row r="60" spans="1:28" x14ac:dyDescent="0.25">
      <c r="A60" s="443"/>
      <c r="B60" s="443"/>
      <c r="C60" s="443"/>
      <c r="D60" s="330"/>
      <c r="E60" s="330"/>
      <c r="F60" s="330"/>
      <c r="G60" s="330"/>
      <c r="H60" s="330"/>
      <c r="I60" s="330"/>
      <c r="J60" s="330"/>
      <c r="K60" s="330"/>
      <c r="L60" s="79"/>
      <c r="M60" s="80"/>
      <c r="N60" s="79"/>
      <c r="O60" s="80"/>
      <c r="P60" s="79"/>
      <c r="Q60" s="80"/>
      <c r="R60" s="79"/>
      <c r="S60" s="80"/>
      <c r="T60" s="79"/>
      <c r="U60" s="80"/>
      <c r="V60" s="79"/>
      <c r="W60" s="80"/>
      <c r="X60" s="79"/>
      <c r="Y60" s="80"/>
      <c r="Z60" s="50">
        <f t="shared" si="0"/>
        <v>0</v>
      </c>
      <c r="AA60" s="60"/>
      <c r="AB60" s="60"/>
    </row>
    <row r="61" spans="1:28" x14ac:dyDescent="0.25">
      <c r="A61" s="443"/>
      <c r="B61" s="443"/>
      <c r="C61" s="443"/>
      <c r="D61" s="330"/>
      <c r="E61" s="330"/>
      <c r="F61" s="330"/>
      <c r="G61" s="330"/>
      <c r="H61" s="330"/>
      <c r="I61" s="330"/>
      <c r="J61" s="330"/>
      <c r="K61" s="330"/>
      <c r="L61" s="79"/>
      <c r="M61" s="80"/>
      <c r="N61" s="79"/>
      <c r="O61" s="80"/>
      <c r="P61" s="79"/>
      <c r="Q61" s="80"/>
      <c r="R61" s="79"/>
      <c r="S61" s="80"/>
      <c r="T61" s="79"/>
      <c r="U61" s="80"/>
      <c r="V61" s="79"/>
      <c r="W61" s="80"/>
      <c r="X61" s="79"/>
      <c r="Y61" s="80"/>
      <c r="Z61" s="50">
        <f t="shared" si="0"/>
        <v>0</v>
      </c>
      <c r="AA61" s="60"/>
      <c r="AB61" s="60"/>
    </row>
    <row r="62" spans="1:28" x14ac:dyDescent="0.25">
      <c r="A62" s="443"/>
      <c r="B62" s="443"/>
      <c r="C62" s="443"/>
      <c r="D62" s="330"/>
      <c r="E62" s="330"/>
      <c r="F62" s="330"/>
      <c r="G62" s="330"/>
      <c r="H62" s="330"/>
      <c r="I62" s="330"/>
      <c r="J62" s="330"/>
      <c r="K62" s="330"/>
      <c r="L62" s="79"/>
      <c r="M62" s="80"/>
      <c r="N62" s="79"/>
      <c r="O62" s="80"/>
      <c r="P62" s="79"/>
      <c r="Q62" s="80"/>
      <c r="R62" s="79"/>
      <c r="S62" s="80"/>
      <c r="T62" s="79"/>
      <c r="U62" s="80"/>
      <c r="V62" s="79"/>
      <c r="W62" s="80"/>
      <c r="X62" s="79"/>
      <c r="Y62" s="80"/>
      <c r="Z62" s="50">
        <f t="shared" si="0"/>
        <v>0</v>
      </c>
      <c r="AA62" s="60"/>
      <c r="AB62" s="60"/>
    </row>
    <row r="63" spans="1:28" x14ac:dyDescent="0.25">
      <c r="A63" s="443"/>
      <c r="B63" s="443"/>
      <c r="C63" s="443"/>
      <c r="D63" s="330"/>
      <c r="E63" s="330"/>
      <c r="F63" s="330"/>
      <c r="G63" s="330"/>
      <c r="H63" s="330"/>
      <c r="I63" s="330"/>
      <c r="J63" s="330"/>
      <c r="K63" s="330"/>
      <c r="L63" s="79"/>
      <c r="M63" s="80"/>
      <c r="N63" s="79"/>
      <c r="O63" s="80"/>
      <c r="P63" s="79"/>
      <c r="Q63" s="80"/>
      <c r="R63" s="79"/>
      <c r="S63" s="80"/>
      <c r="T63" s="79"/>
      <c r="U63" s="80"/>
      <c r="V63" s="79"/>
      <c r="W63" s="80"/>
      <c r="X63" s="79"/>
      <c r="Y63" s="80"/>
      <c r="Z63" s="50">
        <f t="shared" si="0"/>
        <v>0</v>
      </c>
      <c r="AA63" s="60"/>
      <c r="AB63" s="60"/>
    </row>
    <row r="64" spans="1:28" x14ac:dyDescent="0.25">
      <c r="A64" s="443"/>
      <c r="B64" s="443"/>
      <c r="C64" s="443"/>
      <c r="D64" s="330"/>
      <c r="E64" s="330"/>
      <c r="F64" s="330"/>
      <c r="G64" s="330"/>
      <c r="H64" s="330"/>
      <c r="I64" s="330"/>
      <c r="J64" s="330"/>
      <c r="K64" s="330"/>
      <c r="L64" s="79"/>
      <c r="M64" s="80"/>
      <c r="N64" s="79"/>
      <c r="O64" s="80"/>
      <c r="P64" s="79"/>
      <c r="Q64" s="80"/>
      <c r="R64" s="79"/>
      <c r="S64" s="80"/>
      <c r="T64" s="79"/>
      <c r="U64" s="80"/>
      <c r="V64" s="79"/>
      <c r="W64" s="80"/>
      <c r="X64" s="79"/>
      <c r="Y64" s="80"/>
      <c r="Z64" s="50">
        <f t="shared" si="0"/>
        <v>0</v>
      </c>
      <c r="AA64" s="60"/>
      <c r="AB64" s="60"/>
    </row>
    <row r="65" spans="1:28" x14ac:dyDescent="0.25">
      <c r="A65" s="443"/>
      <c r="B65" s="443"/>
      <c r="C65" s="443"/>
      <c r="D65" s="330"/>
      <c r="E65" s="330"/>
      <c r="F65" s="330"/>
      <c r="G65" s="330"/>
      <c r="H65" s="330"/>
      <c r="I65" s="330"/>
      <c r="J65" s="330"/>
      <c r="K65" s="330"/>
      <c r="L65" s="79"/>
      <c r="M65" s="80"/>
      <c r="N65" s="79"/>
      <c r="O65" s="80"/>
      <c r="P65" s="79"/>
      <c r="Q65" s="80"/>
      <c r="R65" s="79"/>
      <c r="S65" s="80"/>
      <c r="T65" s="79"/>
      <c r="U65" s="80"/>
      <c r="V65" s="79"/>
      <c r="W65" s="80"/>
      <c r="X65" s="79"/>
      <c r="Y65" s="80"/>
      <c r="Z65" s="50">
        <f t="shared" si="0"/>
        <v>0</v>
      </c>
      <c r="AA65" s="60"/>
      <c r="AB65" s="60"/>
    </row>
    <row r="66" spans="1:28" x14ac:dyDescent="0.25">
      <c r="A66" s="443"/>
      <c r="B66" s="443"/>
      <c r="C66" s="443"/>
      <c r="D66" s="330"/>
      <c r="E66" s="330"/>
      <c r="F66" s="330"/>
      <c r="G66" s="330"/>
      <c r="H66" s="330"/>
      <c r="I66" s="330"/>
      <c r="J66" s="330"/>
      <c r="K66" s="330"/>
      <c r="L66" s="79"/>
      <c r="M66" s="80"/>
      <c r="N66" s="79"/>
      <c r="O66" s="80"/>
      <c r="P66" s="79"/>
      <c r="Q66" s="80"/>
      <c r="R66" s="79"/>
      <c r="S66" s="80"/>
      <c r="T66" s="79"/>
      <c r="U66" s="80"/>
      <c r="V66" s="79"/>
      <c r="W66" s="80"/>
      <c r="X66" s="79"/>
      <c r="Y66" s="80"/>
      <c r="Z66" s="50">
        <f t="shared" si="0"/>
        <v>0</v>
      </c>
      <c r="AA66" s="60"/>
      <c r="AB66" s="60"/>
    </row>
    <row r="67" spans="1:28" x14ac:dyDescent="0.25">
      <c r="A67" s="443"/>
      <c r="B67" s="443"/>
      <c r="C67" s="443"/>
      <c r="D67" s="330"/>
      <c r="E67" s="330"/>
      <c r="F67" s="330"/>
      <c r="G67" s="330"/>
      <c r="H67" s="330"/>
      <c r="I67" s="330"/>
      <c r="J67" s="330"/>
      <c r="K67" s="330"/>
      <c r="L67" s="79"/>
      <c r="M67" s="80"/>
      <c r="N67" s="79"/>
      <c r="O67" s="80"/>
      <c r="P67" s="79"/>
      <c r="Q67" s="80"/>
      <c r="R67" s="79"/>
      <c r="S67" s="80"/>
      <c r="T67" s="79"/>
      <c r="U67" s="80"/>
      <c r="V67" s="79"/>
      <c r="W67" s="80"/>
      <c r="X67" s="79"/>
      <c r="Y67" s="80"/>
      <c r="Z67" s="50">
        <f t="shared" si="0"/>
        <v>0</v>
      </c>
      <c r="AA67" s="60"/>
      <c r="AB67" s="60"/>
    </row>
    <row r="68" spans="1:28" x14ac:dyDescent="0.25">
      <c r="A68" s="443"/>
      <c r="B68" s="443"/>
      <c r="C68" s="443"/>
      <c r="D68" s="330"/>
      <c r="E68" s="330"/>
      <c r="F68" s="330"/>
      <c r="G68" s="330"/>
      <c r="H68" s="330"/>
      <c r="I68" s="330"/>
      <c r="J68" s="330"/>
      <c r="K68" s="330"/>
      <c r="L68" s="79"/>
      <c r="M68" s="80"/>
      <c r="N68" s="79"/>
      <c r="O68" s="80"/>
      <c r="P68" s="79"/>
      <c r="Q68" s="80"/>
      <c r="R68" s="79"/>
      <c r="S68" s="80"/>
      <c r="T68" s="79"/>
      <c r="U68" s="80"/>
      <c r="V68" s="79"/>
      <c r="W68" s="80"/>
      <c r="X68" s="79"/>
      <c r="Y68" s="80"/>
      <c r="Z68" s="50">
        <f t="shared" si="0"/>
        <v>0</v>
      </c>
      <c r="AA68" s="60"/>
      <c r="AB68" s="60"/>
    </row>
    <row r="69" spans="1:28" x14ac:dyDescent="0.25">
      <c r="A69" s="443"/>
      <c r="B69" s="443"/>
      <c r="C69" s="443"/>
      <c r="D69" s="330"/>
      <c r="E69" s="330"/>
      <c r="F69" s="330"/>
      <c r="G69" s="330"/>
      <c r="H69" s="330"/>
      <c r="I69" s="330"/>
      <c r="J69" s="330"/>
      <c r="K69" s="330"/>
      <c r="L69" s="79"/>
      <c r="M69" s="80"/>
      <c r="N69" s="79"/>
      <c r="O69" s="80"/>
      <c r="P69" s="79"/>
      <c r="Q69" s="80"/>
      <c r="R69" s="79"/>
      <c r="S69" s="80"/>
      <c r="T69" s="79"/>
      <c r="U69" s="80"/>
      <c r="V69" s="79"/>
      <c r="W69" s="80"/>
      <c r="X69" s="79"/>
      <c r="Y69" s="80"/>
      <c r="Z69" s="50">
        <f t="shared" si="0"/>
        <v>0</v>
      </c>
      <c r="AA69" s="60"/>
      <c r="AB69" s="60"/>
    </row>
    <row r="70" spans="1:28" x14ac:dyDescent="0.25">
      <c r="A70" s="443"/>
      <c r="B70" s="443"/>
      <c r="C70" s="443"/>
      <c r="D70" s="330"/>
      <c r="E70" s="330"/>
      <c r="F70" s="330"/>
      <c r="G70" s="330"/>
      <c r="H70" s="330"/>
      <c r="I70" s="330"/>
      <c r="J70" s="330"/>
      <c r="K70" s="330"/>
      <c r="L70" s="79"/>
      <c r="M70" s="80"/>
      <c r="N70" s="79"/>
      <c r="O70" s="80"/>
      <c r="P70" s="79"/>
      <c r="Q70" s="80"/>
      <c r="R70" s="79"/>
      <c r="S70" s="80"/>
      <c r="T70" s="79"/>
      <c r="U70" s="80"/>
      <c r="V70" s="79"/>
      <c r="W70" s="80"/>
      <c r="X70" s="79"/>
      <c r="Y70" s="80"/>
      <c r="Z70" s="50">
        <f t="shared" si="0"/>
        <v>0</v>
      </c>
      <c r="AA70" s="60"/>
      <c r="AB70" s="60"/>
    </row>
    <row r="71" spans="1:28" x14ac:dyDescent="0.25">
      <c r="A71" s="443"/>
      <c r="B71" s="443"/>
      <c r="C71" s="443"/>
      <c r="D71" s="330"/>
      <c r="E71" s="330"/>
      <c r="F71" s="330"/>
      <c r="G71" s="330"/>
      <c r="H71" s="330"/>
      <c r="I71" s="330"/>
      <c r="J71" s="330"/>
      <c r="K71" s="330"/>
      <c r="L71" s="79"/>
      <c r="M71" s="80"/>
      <c r="N71" s="79"/>
      <c r="O71" s="80"/>
      <c r="P71" s="79"/>
      <c r="Q71" s="80"/>
      <c r="R71" s="79"/>
      <c r="S71" s="80"/>
      <c r="T71" s="79"/>
      <c r="U71" s="80"/>
      <c r="V71" s="79"/>
      <c r="W71" s="80"/>
      <c r="X71" s="79"/>
      <c r="Y71" s="80"/>
      <c r="Z71" s="50">
        <f t="shared" si="0"/>
        <v>0</v>
      </c>
      <c r="AA71" s="60"/>
      <c r="AB71" s="60"/>
    </row>
    <row r="72" spans="1:28" x14ac:dyDescent="0.25">
      <c r="A72" s="443"/>
      <c r="B72" s="443"/>
      <c r="C72" s="443"/>
      <c r="D72" s="330"/>
      <c r="E72" s="330"/>
      <c r="F72" s="330"/>
      <c r="G72" s="330"/>
      <c r="H72" s="330"/>
      <c r="I72" s="330"/>
      <c r="J72" s="330"/>
      <c r="K72" s="330"/>
      <c r="L72" s="79"/>
      <c r="M72" s="80"/>
      <c r="N72" s="79"/>
      <c r="O72" s="80"/>
      <c r="P72" s="79"/>
      <c r="Q72" s="80"/>
      <c r="R72" s="79"/>
      <c r="S72" s="80"/>
      <c r="T72" s="79"/>
      <c r="U72" s="80"/>
      <c r="V72" s="79"/>
      <c r="W72" s="80"/>
      <c r="X72" s="79"/>
      <c r="Y72" s="80"/>
      <c r="Z72" s="50">
        <f t="shared" si="0"/>
        <v>0</v>
      </c>
      <c r="AA72" s="60"/>
      <c r="AB72" s="60"/>
    </row>
    <row r="73" spans="1:28" x14ac:dyDescent="0.25">
      <c r="A73" s="443"/>
      <c r="B73" s="443"/>
      <c r="C73" s="443"/>
      <c r="D73" s="330"/>
      <c r="E73" s="330"/>
      <c r="F73" s="330"/>
      <c r="G73" s="330"/>
      <c r="H73" s="330"/>
      <c r="I73" s="330"/>
      <c r="J73" s="330"/>
      <c r="K73" s="330"/>
      <c r="L73" s="79"/>
      <c r="M73" s="80"/>
      <c r="N73" s="79"/>
      <c r="O73" s="80"/>
      <c r="P73" s="79"/>
      <c r="Q73" s="80"/>
      <c r="R73" s="79"/>
      <c r="S73" s="80"/>
      <c r="T73" s="79"/>
      <c r="U73" s="80"/>
      <c r="V73" s="79"/>
      <c r="W73" s="80"/>
      <c r="X73" s="79"/>
      <c r="Y73" s="80"/>
      <c r="Z73" s="50">
        <f t="shared" si="0"/>
        <v>0</v>
      </c>
      <c r="AA73" s="60"/>
      <c r="AB73" s="60"/>
    </row>
    <row r="74" spans="1:28" x14ac:dyDescent="0.25">
      <c r="A74" s="443"/>
      <c r="B74" s="443"/>
      <c r="C74" s="443"/>
      <c r="D74" s="330"/>
      <c r="E74" s="330"/>
      <c r="F74" s="330"/>
      <c r="G74" s="330"/>
      <c r="H74" s="330"/>
      <c r="I74" s="330"/>
      <c r="J74" s="330"/>
      <c r="K74" s="330"/>
      <c r="L74" s="79"/>
      <c r="M74" s="80"/>
      <c r="N74" s="79"/>
      <c r="O74" s="80"/>
      <c r="P74" s="79"/>
      <c r="Q74" s="80"/>
      <c r="R74" s="79"/>
      <c r="S74" s="80"/>
      <c r="T74" s="79"/>
      <c r="U74" s="80"/>
      <c r="V74" s="79"/>
      <c r="W74" s="80"/>
      <c r="X74" s="79"/>
      <c r="Y74" s="80"/>
      <c r="Z74" s="50">
        <f t="shared" ref="Z74:Z137" si="1">SUM(L74:Y74)</f>
        <v>0</v>
      </c>
      <c r="AA74" s="60"/>
      <c r="AB74" s="60"/>
    </row>
    <row r="75" spans="1:28" x14ac:dyDescent="0.25">
      <c r="A75" s="443"/>
      <c r="B75" s="443"/>
      <c r="C75" s="443"/>
      <c r="D75" s="330"/>
      <c r="E75" s="330"/>
      <c r="F75" s="330"/>
      <c r="G75" s="330"/>
      <c r="H75" s="330"/>
      <c r="I75" s="330"/>
      <c r="J75" s="330"/>
      <c r="K75" s="330"/>
      <c r="L75" s="79"/>
      <c r="M75" s="80"/>
      <c r="N75" s="79"/>
      <c r="O75" s="80"/>
      <c r="P75" s="79"/>
      <c r="Q75" s="80"/>
      <c r="R75" s="79"/>
      <c r="S75" s="80"/>
      <c r="T75" s="79"/>
      <c r="U75" s="80"/>
      <c r="V75" s="79"/>
      <c r="W75" s="80"/>
      <c r="X75" s="79"/>
      <c r="Y75" s="80"/>
      <c r="Z75" s="50">
        <f t="shared" si="1"/>
        <v>0</v>
      </c>
      <c r="AA75" s="60"/>
      <c r="AB75" s="60"/>
    </row>
    <row r="76" spans="1:28" x14ac:dyDescent="0.25">
      <c r="A76" s="443"/>
      <c r="B76" s="443"/>
      <c r="C76" s="443"/>
      <c r="D76" s="330"/>
      <c r="E76" s="330"/>
      <c r="F76" s="330"/>
      <c r="G76" s="330"/>
      <c r="H76" s="330"/>
      <c r="I76" s="330"/>
      <c r="J76" s="330"/>
      <c r="K76" s="330"/>
      <c r="L76" s="79"/>
      <c r="M76" s="80"/>
      <c r="N76" s="79"/>
      <c r="O76" s="80"/>
      <c r="P76" s="79"/>
      <c r="Q76" s="80"/>
      <c r="R76" s="79"/>
      <c r="S76" s="80"/>
      <c r="T76" s="79"/>
      <c r="U76" s="80"/>
      <c r="V76" s="79"/>
      <c r="W76" s="80"/>
      <c r="X76" s="79"/>
      <c r="Y76" s="80"/>
      <c r="Z76" s="50">
        <f t="shared" si="1"/>
        <v>0</v>
      </c>
      <c r="AA76" s="60"/>
      <c r="AB76" s="60"/>
    </row>
    <row r="77" spans="1:28" x14ac:dyDescent="0.25">
      <c r="A77" s="443"/>
      <c r="B77" s="443"/>
      <c r="C77" s="443"/>
      <c r="D77" s="330"/>
      <c r="E77" s="330"/>
      <c r="F77" s="330"/>
      <c r="G77" s="330"/>
      <c r="H77" s="330"/>
      <c r="I77" s="330"/>
      <c r="J77" s="330"/>
      <c r="K77" s="330"/>
      <c r="L77" s="79"/>
      <c r="M77" s="80"/>
      <c r="N77" s="79"/>
      <c r="O77" s="80"/>
      <c r="P77" s="79"/>
      <c r="Q77" s="80"/>
      <c r="R77" s="79"/>
      <c r="S77" s="80"/>
      <c r="T77" s="79"/>
      <c r="U77" s="80"/>
      <c r="V77" s="79"/>
      <c r="W77" s="80"/>
      <c r="X77" s="79"/>
      <c r="Y77" s="80"/>
      <c r="Z77" s="50">
        <f t="shared" si="1"/>
        <v>0</v>
      </c>
      <c r="AA77" s="60"/>
      <c r="AB77" s="60"/>
    </row>
    <row r="78" spans="1:28" x14ac:dyDescent="0.25">
      <c r="A78" s="443"/>
      <c r="B78" s="443"/>
      <c r="C78" s="443"/>
      <c r="D78" s="330"/>
      <c r="E78" s="330"/>
      <c r="F78" s="330"/>
      <c r="G78" s="330"/>
      <c r="H78" s="330"/>
      <c r="I78" s="330"/>
      <c r="J78" s="330"/>
      <c r="K78" s="330"/>
      <c r="L78" s="79"/>
      <c r="M78" s="80"/>
      <c r="N78" s="79"/>
      <c r="O78" s="80"/>
      <c r="P78" s="79"/>
      <c r="Q78" s="80"/>
      <c r="R78" s="79"/>
      <c r="S78" s="80"/>
      <c r="T78" s="79"/>
      <c r="U78" s="80"/>
      <c r="V78" s="79"/>
      <c r="W78" s="80"/>
      <c r="X78" s="79"/>
      <c r="Y78" s="80"/>
      <c r="Z78" s="50">
        <f t="shared" si="1"/>
        <v>0</v>
      </c>
      <c r="AA78" s="60"/>
      <c r="AB78" s="60"/>
    </row>
    <row r="79" spans="1:28" x14ac:dyDescent="0.25">
      <c r="A79" s="443"/>
      <c r="B79" s="443"/>
      <c r="C79" s="443"/>
      <c r="D79" s="330"/>
      <c r="E79" s="330"/>
      <c r="F79" s="330"/>
      <c r="G79" s="330"/>
      <c r="H79" s="330"/>
      <c r="I79" s="330"/>
      <c r="J79" s="330"/>
      <c r="K79" s="330"/>
      <c r="L79" s="79"/>
      <c r="M79" s="80"/>
      <c r="N79" s="79"/>
      <c r="O79" s="80"/>
      <c r="P79" s="79"/>
      <c r="Q79" s="80"/>
      <c r="R79" s="79"/>
      <c r="S79" s="80"/>
      <c r="T79" s="79"/>
      <c r="U79" s="80"/>
      <c r="V79" s="79"/>
      <c r="W79" s="80"/>
      <c r="X79" s="79"/>
      <c r="Y79" s="80"/>
      <c r="Z79" s="50">
        <f t="shared" si="1"/>
        <v>0</v>
      </c>
      <c r="AA79" s="60"/>
      <c r="AB79" s="60"/>
    </row>
    <row r="80" spans="1:28" x14ac:dyDescent="0.25">
      <c r="A80" s="443"/>
      <c r="B80" s="443"/>
      <c r="C80" s="443"/>
      <c r="D80" s="330"/>
      <c r="E80" s="330"/>
      <c r="F80" s="330"/>
      <c r="G80" s="330"/>
      <c r="H80" s="330"/>
      <c r="I80" s="330"/>
      <c r="J80" s="330"/>
      <c r="K80" s="330"/>
      <c r="L80" s="79"/>
      <c r="M80" s="80"/>
      <c r="N80" s="79"/>
      <c r="O80" s="80"/>
      <c r="P80" s="79"/>
      <c r="Q80" s="80"/>
      <c r="R80" s="79"/>
      <c r="S80" s="80"/>
      <c r="T80" s="79"/>
      <c r="U80" s="80"/>
      <c r="V80" s="79"/>
      <c r="W80" s="80"/>
      <c r="X80" s="79"/>
      <c r="Y80" s="80"/>
      <c r="Z80" s="50">
        <f t="shared" si="1"/>
        <v>0</v>
      </c>
      <c r="AA80" s="60"/>
      <c r="AB80" s="60"/>
    </row>
    <row r="81" spans="1:28" x14ac:dyDescent="0.25">
      <c r="A81" s="443"/>
      <c r="B81" s="443"/>
      <c r="C81" s="443"/>
      <c r="D81" s="330"/>
      <c r="E81" s="330"/>
      <c r="F81" s="330"/>
      <c r="G81" s="330"/>
      <c r="H81" s="330"/>
      <c r="I81" s="330"/>
      <c r="J81" s="330"/>
      <c r="K81" s="330"/>
      <c r="L81" s="79"/>
      <c r="M81" s="80"/>
      <c r="N81" s="79"/>
      <c r="O81" s="80"/>
      <c r="P81" s="79"/>
      <c r="Q81" s="80"/>
      <c r="R81" s="79"/>
      <c r="S81" s="80"/>
      <c r="T81" s="79"/>
      <c r="U81" s="80"/>
      <c r="V81" s="79"/>
      <c r="W81" s="80"/>
      <c r="X81" s="79"/>
      <c r="Y81" s="80"/>
      <c r="Z81" s="50">
        <f t="shared" si="1"/>
        <v>0</v>
      </c>
      <c r="AA81" s="60"/>
      <c r="AB81" s="60"/>
    </row>
    <row r="82" spans="1:28" x14ac:dyDescent="0.25">
      <c r="A82" s="443"/>
      <c r="B82" s="443"/>
      <c r="C82" s="443"/>
      <c r="D82" s="330"/>
      <c r="E82" s="330"/>
      <c r="F82" s="330"/>
      <c r="G82" s="330"/>
      <c r="H82" s="330"/>
      <c r="I82" s="330"/>
      <c r="J82" s="330"/>
      <c r="K82" s="330"/>
      <c r="L82" s="79"/>
      <c r="M82" s="80"/>
      <c r="N82" s="79"/>
      <c r="O82" s="80"/>
      <c r="P82" s="79"/>
      <c r="Q82" s="80"/>
      <c r="R82" s="79"/>
      <c r="S82" s="80"/>
      <c r="T82" s="79"/>
      <c r="U82" s="80"/>
      <c r="V82" s="79"/>
      <c r="W82" s="80"/>
      <c r="X82" s="79"/>
      <c r="Y82" s="80"/>
      <c r="Z82" s="50">
        <f t="shared" si="1"/>
        <v>0</v>
      </c>
      <c r="AA82" s="60"/>
      <c r="AB82" s="60"/>
    </row>
    <row r="83" spans="1:28" x14ac:dyDescent="0.25">
      <c r="A83" s="443"/>
      <c r="B83" s="443"/>
      <c r="C83" s="443"/>
      <c r="D83" s="330"/>
      <c r="E83" s="330"/>
      <c r="F83" s="330"/>
      <c r="G83" s="330"/>
      <c r="H83" s="330"/>
      <c r="I83" s="330"/>
      <c r="J83" s="330"/>
      <c r="K83" s="330"/>
      <c r="L83" s="79"/>
      <c r="M83" s="80"/>
      <c r="N83" s="79"/>
      <c r="O83" s="80"/>
      <c r="P83" s="79"/>
      <c r="Q83" s="80"/>
      <c r="R83" s="79"/>
      <c r="S83" s="80"/>
      <c r="T83" s="79"/>
      <c r="U83" s="80"/>
      <c r="V83" s="79"/>
      <c r="W83" s="80"/>
      <c r="X83" s="79"/>
      <c r="Y83" s="80"/>
      <c r="Z83" s="50">
        <f t="shared" si="1"/>
        <v>0</v>
      </c>
      <c r="AA83" s="60"/>
      <c r="AB83" s="60"/>
    </row>
    <row r="84" spans="1:28" x14ac:dyDescent="0.25">
      <c r="A84" s="443"/>
      <c r="B84" s="443"/>
      <c r="C84" s="443"/>
      <c r="D84" s="330"/>
      <c r="E84" s="330"/>
      <c r="F84" s="330"/>
      <c r="G84" s="330"/>
      <c r="H84" s="330"/>
      <c r="I84" s="330"/>
      <c r="J84" s="330"/>
      <c r="K84" s="330"/>
      <c r="L84" s="79"/>
      <c r="M84" s="80"/>
      <c r="N84" s="79"/>
      <c r="O84" s="80"/>
      <c r="P84" s="79"/>
      <c r="Q84" s="80"/>
      <c r="R84" s="79"/>
      <c r="S84" s="80"/>
      <c r="T84" s="79"/>
      <c r="U84" s="80"/>
      <c r="V84" s="79"/>
      <c r="W84" s="80"/>
      <c r="X84" s="79"/>
      <c r="Y84" s="80"/>
      <c r="Z84" s="50">
        <f t="shared" si="1"/>
        <v>0</v>
      </c>
      <c r="AA84" s="60"/>
      <c r="AB84" s="60"/>
    </row>
    <row r="85" spans="1:28" x14ac:dyDescent="0.25">
      <c r="A85" s="443"/>
      <c r="B85" s="443"/>
      <c r="C85" s="443"/>
      <c r="D85" s="330"/>
      <c r="E85" s="330"/>
      <c r="F85" s="330"/>
      <c r="G85" s="330"/>
      <c r="H85" s="330"/>
      <c r="I85" s="330"/>
      <c r="J85" s="330"/>
      <c r="K85" s="330"/>
      <c r="L85" s="79"/>
      <c r="M85" s="80"/>
      <c r="N85" s="79"/>
      <c r="O85" s="80"/>
      <c r="P85" s="79"/>
      <c r="Q85" s="80"/>
      <c r="R85" s="79"/>
      <c r="S85" s="80"/>
      <c r="T85" s="79"/>
      <c r="U85" s="80"/>
      <c r="V85" s="79"/>
      <c r="W85" s="80"/>
      <c r="X85" s="79"/>
      <c r="Y85" s="80"/>
      <c r="Z85" s="50">
        <f t="shared" si="1"/>
        <v>0</v>
      </c>
      <c r="AA85" s="60"/>
      <c r="AB85" s="60"/>
    </row>
    <row r="86" spans="1:28" x14ac:dyDescent="0.25">
      <c r="A86" s="443"/>
      <c r="B86" s="443"/>
      <c r="C86" s="443"/>
      <c r="D86" s="330"/>
      <c r="E86" s="330"/>
      <c r="F86" s="330"/>
      <c r="G86" s="330"/>
      <c r="H86" s="330"/>
      <c r="I86" s="330"/>
      <c r="J86" s="330"/>
      <c r="K86" s="330"/>
      <c r="L86" s="79"/>
      <c r="M86" s="80"/>
      <c r="N86" s="79"/>
      <c r="O86" s="80"/>
      <c r="P86" s="79"/>
      <c r="Q86" s="80"/>
      <c r="R86" s="79"/>
      <c r="S86" s="80"/>
      <c r="T86" s="79"/>
      <c r="U86" s="80"/>
      <c r="V86" s="79"/>
      <c r="W86" s="80"/>
      <c r="X86" s="79"/>
      <c r="Y86" s="80"/>
      <c r="Z86" s="50">
        <f t="shared" si="1"/>
        <v>0</v>
      </c>
      <c r="AA86" s="60"/>
      <c r="AB86" s="60"/>
    </row>
    <row r="87" spans="1:28" x14ac:dyDescent="0.25">
      <c r="A87" s="443"/>
      <c r="B87" s="443"/>
      <c r="C87" s="443"/>
      <c r="D87" s="330"/>
      <c r="E87" s="330"/>
      <c r="F87" s="330"/>
      <c r="G87" s="330"/>
      <c r="H87" s="330"/>
      <c r="I87" s="330"/>
      <c r="J87" s="330"/>
      <c r="K87" s="330"/>
      <c r="L87" s="79"/>
      <c r="M87" s="80"/>
      <c r="N87" s="79"/>
      <c r="O87" s="80"/>
      <c r="P87" s="79"/>
      <c r="Q87" s="80"/>
      <c r="R87" s="79"/>
      <c r="S87" s="80"/>
      <c r="T87" s="79"/>
      <c r="U87" s="80"/>
      <c r="V87" s="79"/>
      <c r="W87" s="80"/>
      <c r="X87" s="79"/>
      <c r="Y87" s="80"/>
      <c r="Z87" s="50">
        <f t="shared" si="1"/>
        <v>0</v>
      </c>
      <c r="AA87" s="60"/>
      <c r="AB87" s="60"/>
    </row>
    <row r="88" spans="1:28" x14ac:dyDescent="0.25">
      <c r="A88" s="443"/>
      <c r="B88" s="443"/>
      <c r="C88" s="443"/>
      <c r="D88" s="330"/>
      <c r="E88" s="330"/>
      <c r="F88" s="330"/>
      <c r="G88" s="330"/>
      <c r="H88" s="330"/>
      <c r="I88" s="330"/>
      <c r="J88" s="330"/>
      <c r="K88" s="330"/>
      <c r="L88" s="79"/>
      <c r="M88" s="80"/>
      <c r="N88" s="79"/>
      <c r="O88" s="80"/>
      <c r="P88" s="79"/>
      <c r="Q88" s="80"/>
      <c r="R88" s="79"/>
      <c r="S88" s="80"/>
      <c r="T88" s="79"/>
      <c r="U88" s="80"/>
      <c r="V88" s="79"/>
      <c r="W88" s="80"/>
      <c r="X88" s="79"/>
      <c r="Y88" s="80"/>
      <c r="Z88" s="50">
        <f t="shared" si="1"/>
        <v>0</v>
      </c>
      <c r="AA88" s="60"/>
      <c r="AB88" s="60"/>
    </row>
    <row r="89" spans="1:28" x14ac:dyDescent="0.25">
      <c r="A89" s="443"/>
      <c r="B89" s="443"/>
      <c r="C89" s="443"/>
      <c r="D89" s="330"/>
      <c r="E89" s="330"/>
      <c r="F89" s="330"/>
      <c r="G89" s="330"/>
      <c r="H89" s="330"/>
      <c r="I89" s="330"/>
      <c r="J89" s="330"/>
      <c r="K89" s="330"/>
      <c r="L89" s="79"/>
      <c r="M89" s="80"/>
      <c r="N89" s="79"/>
      <c r="O89" s="80"/>
      <c r="P89" s="79"/>
      <c r="Q89" s="80"/>
      <c r="R89" s="79"/>
      <c r="S89" s="80"/>
      <c r="T89" s="79"/>
      <c r="U89" s="80"/>
      <c r="V89" s="79"/>
      <c r="W89" s="80"/>
      <c r="X89" s="79"/>
      <c r="Y89" s="80"/>
      <c r="Z89" s="50">
        <f t="shared" si="1"/>
        <v>0</v>
      </c>
      <c r="AA89" s="60"/>
      <c r="AB89" s="60"/>
    </row>
    <row r="90" spans="1:28" x14ac:dyDescent="0.25">
      <c r="A90" s="443"/>
      <c r="B90" s="443"/>
      <c r="C90" s="443"/>
      <c r="D90" s="330"/>
      <c r="E90" s="330"/>
      <c r="F90" s="330"/>
      <c r="G90" s="330"/>
      <c r="H90" s="330"/>
      <c r="I90" s="330"/>
      <c r="J90" s="330"/>
      <c r="K90" s="330"/>
      <c r="L90" s="79"/>
      <c r="M90" s="80"/>
      <c r="N90" s="79"/>
      <c r="O90" s="80"/>
      <c r="P90" s="79"/>
      <c r="Q90" s="80"/>
      <c r="R90" s="79"/>
      <c r="S90" s="80"/>
      <c r="T90" s="79"/>
      <c r="U90" s="80"/>
      <c r="V90" s="79"/>
      <c r="W90" s="80"/>
      <c r="X90" s="79"/>
      <c r="Y90" s="80"/>
      <c r="Z90" s="50">
        <f t="shared" si="1"/>
        <v>0</v>
      </c>
      <c r="AA90" s="60"/>
      <c r="AB90" s="60"/>
    </row>
    <row r="91" spans="1:28" x14ac:dyDescent="0.25">
      <c r="A91" s="443"/>
      <c r="B91" s="443"/>
      <c r="C91" s="443"/>
      <c r="D91" s="330"/>
      <c r="E91" s="330"/>
      <c r="F91" s="330"/>
      <c r="G91" s="330"/>
      <c r="H91" s="330"/>
      <c r="I91" s="330"/>
      <c r="J91" s="330"/>
      <c r="K91" s="330"/>
      <c r="L91" s="79"/>
      <c r="M91" s="80"/>
      <c r="N91" s="79"/>
      <c r="O91" s="80"/>
      <c r="P91" s="79"/>
      <c r="Q91" s="80"/>
      <c r="R91" s="79"/>
      <c r="S91" s="80"/>
      <c r="T91" s="79"/>
      <c r="U91" s="80"/>
      <c r="V91" s="79"/>
      <c r="W91" s="80"/>
      <c r="X91" s="79"/>
      <c r="Y91" s="80"/>
      <c r="Z91" s="50">
        <f t="shared" si="1"/>
        <v>0</v>
      </c>
      <c r="AA91" s="60"/>
      <c r="AB91" s="60"/>
    </row>
    <row r="92" spans="1:28" x14ac:dyDescent="0.25">
      <c r="A92" s="443"/>
      <c r="B92" s="443"/>
      <c r="C92" s="443"/>
      <c r="D92" s="330"/>
      <c r="E92" s="330"/>
      <c r="F92" s="330"/>
      <c r="G92" s="330"/>
      <c r="H92" s="330"/>
      <c r="I92" s="330"/>
      <c r="J92" s="330"/>
      <c r="K92" s="330"/>
      <c r="L92" s="79"/>
      <c r="M92" s="80"/>
      <c r="N92" s="79"/>
      <c r="O92" s="80"/>
      <c r="P92" s="79"/>
      <c r="Q92" s="80"/>
      <c r="R92" s="79"/>
      <c r="S92" s="80"/>
      <c r="T92" s="79"/>
      <c r="U92" s="80"/>
      <c r="V92" s="79"/>
      <c r="W92" s="80"/>
      <c r="X92" s="79"/>
      <c r="Y92" s="80"/>
      <c r="Z92" s="50">
        <f t="shared" si="1"/>
        <v>0</v>
      </c>
      <c r="AA92" s="60"/>
      <c r="AB92" s="60"/>
    </row>
    <row r="93" spans="1:28" x14ac:dyDescent="0.25">
      <c r="A93" s="443"/>
      <c r="B93" s="443"/>
      <c r="C93" s="443"/>
      <c r="D93" s="330"/>
      <c r="E93" s="330"/>
      <c r="F93" s="330"/>
      <c r="G93" s="330"/>
      <c r="H93" s="330"/>
      <c r="I93" s="330"/>
      <c r="J93" s="330"/>
      <c r="K93" s="330"/>
      <c r="L93" s="79"/>
      <c r="M93" s="80"/>
      <c r="N93" s="79"/>
      <c r="O93" s="80"/>
      <c r="P93" s="79"/>
      <c r="Q93" s="80"/>
      <c r="R93" s="79"/>
      <c r="S93" s="80"/>
      <c r="T93" s="79"/>
      <c r="U93" s="80"/>
      <c r="V93" s="79"/>
      <c r="W93" s="80"/>
      <c r="X93" s="79"/>
      <c r="Y93" s="80"/>
      <c r="Z93" s="50">
        <f t="shared" si="1"/>
        <v>0</v>
      </c>
      <c r="AA93" s="60"/>
      <c r="AB93" s="60"/>
    </row>
    <row r="94" spans="1:28" x14ac:dyDescent="0.25">
      <c r="A94" s="443"/>
      <c r="B94" s="443"/>
      <c r="C94" s="443"/>
      <c r="D94" s="330"/>
      <c r="E94" s="330"/>
      <c r="F94" s="330"/>
      <c r="G94" s="330"/>
      <c r="H94" s="330"/>
      <c r="I94" s="330"/>
      <c r="J94" s="330"/>
      <c r="K94" s="330"/>
      <c r="L94" s="79"/>
      <c r="M94" s="80"/>
      <c r="N94" s="79"/>
      <c r="O94" s="80"/>
      <c r="P94" s="79"/>
      <c r="Q94" s="80"/>
      <c r="R94" s="79"/>
      <c r="S94" s="80"/>
      <c r="T94" s="79"/>
      <c r="U94" s="80"/>
      <c r="V94" s="79"/>
      <c r="W94" s="80"/>
      <c r="X94" s="79"/>
      <c r="Y94" s="80"/>
      <c r="Z94" s="50">
        <f t="shared" si="1"/>
        <v>0</v>
      </c>
      <c r="AA94" s="60"/>
      <c r="AB94" s="60"/>
    </row>
    <row r="95" spans="1:28" x14ac:dyDescent="0.25">
      <c r="A95" s="443"/>
      <c r="B95" s="443"/>
      <c r="C95" s="443"/>
      <c r="D95" s="330"/>
      <c r="E95" s="330"/>
      <c r="F95" s="330"/>
      <c r="G95" s="330"/>
      <c r="H95" s="330"/>
      <c r="I95" s="330"/>
      <c r="J95" s="330"/>
      <c r="K95" s="330"/>
      <c r="L95" s="79"/>
      <c r="M95" s="80"/>
      <c r="N95" s="79"/>
      <c r="O95" s="80"/>
      <c r="P95" s="79"/>
      <c r="Q95" s="80"/>
      <c r="R95" s="79"/>
      <c r="S95" s="80"/>
      <c r="T95" s="79"/>
      <c r="U95" s="80"/>
      <c r="V95" s="79"/>
      <c r="W95" s="80"/>
      <c r="X95" s="79"/>
      <c r="Y95" s="80"/>
      <c r="Z95" s="50">
        <f t="shared" si="1"/>
        <v>0</v>
      </c>
      <c r="AA95" s="60"/>
      <c r="AB95" s="60"/>
    </row>
    <row r="96" spans="1:28" x14ac:dyDescent="0.25">
      <c r="A96" s="443"/>
      <c r="B96" s="443"/>
      <c r="C96" s="443"/>
      <c r="D96" s="330"/>
      <c r="E96" s="330"/>
      <c r="F96" s="330"/>
      <c r="G96" s="330"/>
      <c r="H96" s="330"/>
      <c r="I96" s="330"/>
      <c r="J96" s="330"/>
      <c r="K96" s="330"/>
      <c r="L96" s="79"/>
      <c r="M96" s="80"/>
      <c r="N96" s="79"/>
      <c r="O96" s="80"/>
      <c r="P96" s="79"/>
      <c r="Q96" s="80"/>
      <c r="R96" s="79"/>
      <c r="S96" s="80"/>
      <c r="T96" s="79"/>
      <c r="U96" s="80"/>
      <c r="V96" s="79"/>
      <c r="W96" s="80"/>
      <c r="X96" s="79"/>
      <c r="Y96" s="80"/>
      <c r="Z96" s="50">
        <f t="shared" si="1"/>
        <v>0</v>
      </c>
      <c r="AA96" s="60"/>
      <c r="AB96" s="60"/>
    </row>
    <row r="97" spans="1:28" x14ac:dyDescent="0.25">
      <c r="A97" s="443"/>
      <c r="B97" s="443"/>
      <c r="C97" s="443"/>
      <c r="D97" s="330"/>
      <c r="E97" s="330"/>
      <c r="F97" s="330"/>
      <c r="G97" s="330"/>
      <c r="H97" s="330"/>
      <c r="I97" s="330"/>
      <c r="J97" s="330"/>
      <c r="K97" s="330"/>
      <c r="L97" s="79"/>
      <c r="M97" s="80"/>
      <c r="N97" s="79"/>
      <c r="O97" s="80"/>
      <c r="P97" s="79"/>
      <c r="Q97" s="80"/>
      <c r="R97" s="79"/>
      <c r="S97" s="80"/>
      <c r="T97" s="79"/>
      <c r="U97" s="80"/>
      <c r="V97" s="79"/>
      <c r="W97" s="80"/>
      <c r="X97" s="79"/>
      <c r="Y97" s="80"/>
      <c r="Z97" s="50">
        <f t="shared" si="1"/>
        <v>0</v>
      </c>
      <c r="AA97" s="60"/>
      <c r="AB97" s="60"/>
    </row>
    <row r="98" spans="1:28" x14ac:dyDescent="0.25">
      <c r="A98" s="443"/>
      <c r="B98" s="443"/>
      <c r="C98" s="443"/>
      <c r="D98" s="330"/>
      <c r="E98" s="330"/>
      <c r="F98" s="330"/>
      <c r="G98" s="330"/>
      <c r="H98" s="330"/>
      <c r="I98" s="330"/>
      <c r="J98" s="330"/>
      <c r="K98" s="330"/>
      <c r="L98" s="79"/>
      <c r="M98" s="80"/>
      <c r="N98" s="79"/>
      <c r="O98" s="80"/>
      <c r="P98" s="79"/>
      <c r="Q98" s="80"/>
      <c r="R98" s="79"/>
      <c r="S98" s="80"/>
      <c r="T98" s="79"/>
      <c r="U98" s="80"/>
      <c r="V98" s="79"/>
      <c r="W98" s="80"/>
      <c r="X98" s="79"/>
      <c r="Y98" s="80"/>
      <c r="Z98" s="50">
        <f t="shared" si="1"/>
        <v>0</v>
      </c>
      <c r="AA98" s="60"/>
      <c r="AB98" s="60"/>
    </row>
    <row r="99" spans="1:28" x14ac:dyDescent="0.25">
      <c r="A99" s="443"/>
      <c r="B99" s="443"/>
      <c r="C99" s="443"/>
      <c r="D99" s="330"/>
      <c r="E99" s="330"/>
      <c r="F99" s="330"/>
      <c r="G99" s="330"/>
      <c r="H99" s="330"/>
      <c r="I99" s="330"/>
      <c r="J99" s="330"/>
      <c r="K99" s="330"/>
      <c r="L99" s="79"/>
      <c r="M99" s="80"/>
      <c r="N99" s="79"/>
      <c r="O99" s="80"/>
      <c r="P99" s="79"/>
      <c r="Q99" s="80"/>
      <c r="R99" s="79"/>
      <c r="S99" s="80"/>
      <c r="T99" s="79"/>
      <c r="U99" s="80"/>
      <c r="V99" s="79"/>
      <c r="W99" s="80"/>
      <c r="X99" s="79"/>
      <c r="Y99" s="80"/>
      <c r="Z99" s="50">
        <f t="shared" si="1"/>
        <v>0</v>
      </c>
      <c r="AA99" s="60"/>
      <c r="AB99" s="60"/>
    </row>
    <row r="100" spans="1:28" x14ac:dyDescent="0.25">
      <c r="A100" s="443"/>
      <c r="B100" s="443"/>
      <c r="C100" s="443"/>
      <c r="D100" s="330"/>
      <c r="E100" s="330"/>
      <c r="F100" s="330"/>
      <c r="G100" s="330"/>
      <c r="H100" s="330"/>
      <c r="I100" s="330"/>
      <c r="J100" s="330"/>
      <c r="K100" s="330"/>
      <c r="L100" s="79"/>
      <c r="M100" s="80"/>
      <c r="N100" s="79"/>
      <c r="O100" s="80"/>
      <c r="P100" s="79"/>
      <c r="Q100" s="80"/>
      <c r="R100" s="79"/>
      <c r="S100" s="80"/>
      <c r="T100" s="79"/>
      <c r="U100" s="80"/>
      <c r="V100" s="79"/>
      <c r="W100" s="80"/>
      <c r="X100" s="79"/>
      <c r="Y100" s="80"/>
      <c r="Z100" s="50">
        <f t="shared" si="1"/>
        <v>0</v>
      </c>
      <c r="AA100" s="60"/>
      <c r="AB100" s="60"/>
    </row>
    <row r="101" spans="1:28" x14ac:dyDescent="0.25">
      <c r="A101" s="443"/>
      <c r="B101" s="443"/>
      <c r="C101" s="443"/>
      <c r="D101" s="330"/>
      <c r="E101" s="330"/>
      <c r="F101" s="330"/>
      <c r="G101" s="330"/>
      <c r="H101" s="330"/>
      <c r="I101" s="330"/>
      <c r="J101" s="330"/>
      <c r="K101" s="330"/>
      <c r="L101" s="79"/>
      <c r="M101" s="80"/>
      <c r="N101" s="79"/>
      <c r="O101" s="80"/>
      <c r="P101" s="79"/>
      <c r="Q101" s="80"/>
      <c r="R101" s="79"/>
      <c r="S101" s="80"/>
      <c r="T101" s="79"/>
      <c r="U101" s="80"/>
      <c r="V101" s="79"/>
      <c r="W101" s="80"/>
      <c r="X101" s="79"/>
      <c r="Y101" s="80"/>
      <c r="Z101" s="50">
        <f t="shared" si="1"/>
        <v>0</v>
      </c>
      <c r="AA101" s="60"/>
      <c r="AB101" s="60"/>
    </row>
    <row r="102" spans="1:28" x14ac:dyDescent="0.25">
      <c r="A102" s="443"/>
      <c r="B102" s="443"/>
      <c r="C102" s="443"/>
      <c r="D102" s="330"/>
      <c r="E102" s="330"/>
      <c r="F102" s="330"/>
      <c r="G102" s="330"/>
      <c r="H102" s="330"/>
      <c r="I102" s="330"/>
      <c r="J102" s="330"/>
      <c r="K102" s="330"/>
      <c r="L102" s="79"/>
      <c r="M102" s="80"/>
      <c r="N102" s="79"/>
      <c r="O102" s="80"/>
      <c r="P102" s="79"/>
      <c r="Q102" s="80"/>
      <c r="R102" s="79"/>
      <c r="S102" s="80"/>
      <c r="T102" s="79"/>
      <c r="U102" s="80"/>
      <c r="V102" s="79"/>
      <c r="W102" s="80"/>
      <c r="X102" s="79"/>
      <c r="Y102" s="80"/>
      <c r="Z102" s="50">
        <f t="shared" si="1"/>
        <v>0</v>
      </c>
      <c r="AA102" s="60"/>
      <c r="AB102" s="60"/>
    </row>
    <row r="103" spans="1:28" x14ac:dyDescent="0.25">
      <c r="A103" s="443"/>
      <c r="B103" s="443"/>
      <c r="C103" s="443"/>
      <c r="D103" s="330"/>
      <c r="E103" s="330"/>
      <c r="F103" s="330"/>
      <c r="G103" s="330"/>
      <c r="H103" s="330"/>
      <c r="I103" s="330"/>
      <c r="J103" s="330"/>
      <c r="K103" s="330"/>
      <c r="L103" s="79"/>
      <c r="M103" s="80"/>
      <c r="N103" s="79"/>
      <c r="O103" s="80"/>
      <c r="P103" s="79"/>
      <c r="Q103" s="80"/>
      <c r="R103" s="79"/>
      <c r="S103" s="80"/>
      <c r="T103" s="79"/>
      <c r="U103" s="80"/>
      <c r="V103" s="79"/>
      <c r="W103" s="80"/>
      <c r="X103" s="79"/>
      <c r="Y103" s="80"/>
      <c r="Z103" s="50">
        <f t="shared" si="1"/>
        <v>0</v>
      </c>
      <c r="AA103" s="60"/>
      <c r="AB103" s="60"/>
    </row>
    <row r="104" spans="1:28" x14ac:dyDescent="0.25">
      <c r="A104" s="443"/>
      <c r="B104" s="443"/>
      <c r="C104" s="443"/>
      <c r="D104" s="330"/>
      <c r="E104" s="330"/>
      <c r="F104" s="330"/>
      <c r="G104" s="330"/>
      <c r="H104" s="330"/>
      <c r="I104" s="330"/>
      <c r="J104" s="330"/>
      <c r="K104" s="330"/>
      <c r="L104" s="79"/>
      <c r="M104" s="80"/>
      <c r="N104" s="79"/>
      <c r="O104" s="80"/>
      <c r="P104" s="79"/>
      <c r="Q104" s="80"/>
      <c r="R104" s="79"/>
      <c r="S104" s="80"/>
      <c r="T104" s="79"/>
      <c r="U104" s="80"/>
      <c r="V104" s="79"/>
      <c r="W104" s="80"/>
      <c r="X104" s="79"/>
      <c r="Y104" s="80"/>
      <c r="Z104" s="50">
        <f t="shared" si="1"/>
        <v>0</v>
      </c>
      <c r="AA104" s="60"/>
      <c r="AB104" s="60"/>
    </row>
    <row r="105" spans="1:28" x14ac:dyDescent="0.25">
      <c r="A105" s="443"/>
      <c r="B105" s="443"/>
      <c r="C105" s="443"/>
      <c r="D105" s="330"/>
      <c r="E105" s="330"/>
      <c r="F105" s="330"/>
      <c r="G105" s="330"/>
      <c r="H105" s="330"/>
      <c r="I105" s="330"/>
      <c r="J105" s="330"/>
      <c r="K105" s="330"/>
      <c r="L105" s="79"/>
      <c r="M105" s="80"/>
      <c r="N105" s="79"/>
      <c r="O105" s="80"/>
      <c r="P105" s="79"/>
      <c r="Q105" s="80"/>
      <c r="R105" s="79"/>
      <c r="S105" s="80"/>
      <c r="T105" s="79"/>
      <c r="U105" s="80"/>
      <c r="V105" s="79"/>
      <c r="W105" s="80"/>
      <c r="X105" s="79"/>
      <c r="Y105" s="80"/>
      <c r="Z105" s="50">
        <f t="shared" si="1"/>
        <v>0</v>
      </c>
      <c r="AA105" s="60"/>
      <c r="AB105" s="60"/>
    </row>
    <row r="106" spans="1:28" x14ac:dyDescent="0.25">
      <c r="A106" s="443"/>
      <c r="B106" s="443"/>
      <c r="C106" s="443"/>
      <c r="D106" s="330"/>
      <c r="E106" s="330"/>
      <c r="F106" s="330"/>
      <c r="G106" s="330"/>
      <c r="H106" s="330"/>
      <c r="I106" s="330"/>
      <c r="J106" s="330"/>
      <c r="K106" s="330"/>
      <c r="L106" s="79"/>
      <c r="M106" s="80"/>
      <c r="N106" s="79"/>
      <c r="O106" s="80"/>
      <c r="P106" s="79"/>
      <c r="Q106" s="80"/>
      <c r="R106" s="79"/>
      <c r="S106" s="80"/>
      <c r="T106" s="79"/>
      <c r="U106" s="80"/>
      <c r="V106" s="79"/>
      <c r="W106" s="80"/>
      <c r="X106" s="79"/>
      <c r="Y106" s="80"/>
      <c r="Z106" s="50">
        <f t="shared" si="1"/>
        <v>0</v>
      </c>
      <c r="AA106" s="60"/>
      <c r="AB106" s="60"/>
    </row>
    <row r="107" spans="1:28" x14ac:dyDescent="0.25">
      <c r="A107" s="443"/>
      <c r="B107" s="443"/>
      <c r="C107" s="443"/>
      <c r="D107" s="330"/>
      <c r="E107" s="330"/>
      <c r="F107" s="330"/>
      <c r="G107" s="330"/>
      <c r="H107" s="330"/>
      <c r="I107" s="330"/>
      <c r="J107" s="330"/>
      <c r="K107" s="330"/>
      <c r="L107" s="79"/>
      <c r="M107" s="80"/>
      <c r="N107" s="79"/>
      <c r="O107" s="80"/>
      <c r="P107" s="79"/>
      <c r="Q107" s="80"/>
      <c r="R107" s="79"/>
      <c r="S107" s="80"/>
      <c r="T107" s="79"/>
      <c r="U107" s="80"/>
      <c r="V107" s="79"/>
      <c r="W107" s="80"/>
      <c r="X107" s="79"/>
      <c r="Y107" s="80"/>
      <c r="Z107" s="50">
        <f t="shared" si="1"/>
        <v>0</v>
      </c>
      <c r="AA107" s="60"/>
      <c r="AB107" s="60"/>
    </row>
    <row r="108" spans="1:28" x14ac:dyDescent="0.25">
      <c r="A108" s="443"/>
      <c r="B108" s="443"/>
      <c r="C108" s="443"/>
      <c r="D108" s="330"/>
      <c r="E108" s="330"/>
      <c r="F108" s="330"/>
      <c r="G108" s="330"/>
      <c r="H108" s="330"/>
      <c r="I108" s="330"/>
      <c r="J108" s="330"/>
      <c r="K108" s="330"/>
      <c r="L108" s="79"/>
      <c r="M108" s="80"/>
      <c r="N108" s="79"/>
      <c r="O108" s="80"/>
      <c r="P108" s="79"/>
      <c r="Q108" s="80"/>
      <c r="R108" s="79"/>
      <c r="S108" s="80"/>
      <c r="T108" s="79"/>
      <c r="U108" s="80"/>
      <c r="V108" s="79"/>
      <c r="W108" s="80"/>
      <c r="X108" s="79"/>
      <c r="Y108" s="80"/>
      <c r="Z108" s="50">
        <f t="shared" si="1"/>
        <v>0</v>
      </c>
      <c r="AA108" s="60"/>
      <c r="AB108" s="60"/>
    </row>
    <row r="109" spans="1:28" x14ac:dyDescent="0.25">
      <c r="A109" s="443"/>
      <c r="B109" s="443"/>
      <c r="C109" s="443"/>
      <c r="D109" s="330"/>
      <c r="E109" s="330"/>
      <c r="F109" s="330"/>
      <c r="G109" s="330"/>
      <c r="H109" s="330"/>
      <c r="I109" s="330"/>
      <c r="J109" s="330"/>
      <c r="K109" s="330"/>
      <c r="L109" s="79"/>
      <c r="M109" s="80"/>
      <c r="N109" s="79"/>
      <c r="O109" s="80"/>
      <c r="P109" s="79"/>
      <c r="Q109" s="80"/>
      <c r="R109" s="79"/>
      <c r="S109" s="80"/>
      <c r="T109" s="79"/>
      <c r="U109" s="80"/>
      <c r="V109" s="79"/>
      <c r="W109" s="80"/>
      <c r="X109" s="79"/>
      <c r="Y109" s="80"/>
      <c r="Z109" s="50">
        <f t="shared" si="1"/>
        <v>0</v>
      </c>
      <c r="AA109" s="60"/>
      <c r="AB109" s="60"/>
    </row>
    <row r="110" spans="1:28" x14ac:dyDescent="0.25">
      <c r="A110" s="443"/>
      <c r="B110" s="443"/>
      <c r="C110" s="443"/>
      <c r="D110" s="330"/>
      <c r="E110" s="330"/>
      <c r="F110" s="330"/>
      <c r="G110" s="330"/>
      <c r="H110" s="330"/>
      <c r="I110" s="330"/>
      <c r="J110" s="330"/>
      <c r="K110" s="330"/>
      <c r="L110" s="79"/>
      <c r="M110" s="80"/>
      <c r="N110" s="79"/>
      <c r="O110" s="80"/>
      <c r="P110" s="79"/>
      <c r="Q110" s="80"/>
      <c r="R110" s="79"/>
      <c r="S110" s="80"/>
      <c r="T110" s="79"/>
      <c r="U110" s="80"/>
      <c r="V110" s="79"/>
      <c r="W110" s="80"/>
      <c r="X110" s="79"/>
      <c r="Y110" s="80"/>
      <c r="Z110" s="50">
        <f t="shared" si="1"/>
        <v>0</v>
      </c>
      <c r="AA110" s="60"/>
      <c r="AB110" s="60"/>
    </row>
    <row r="111" spans="1:28" x14ac:dyDescent="0.25">
      <c r="A111" s="443"/>
      <c r="B111" s="443"/>
      <c r="C111" s="443"/>
      <c r="D111" s="330"/>
      <c r="E111" s="330"/>
      <c r="F111" s="330"/>
      <c r="G111" s="330"/>
      <c r="H111" s="330"/>
      <c r="I111" s="330"/>
      <c r="J111" s="330"/>
      <c r="K111" s="330"/>
      <c r="L111" s="79"/>
      <c r="M111" s="80"/>
      <c r="N111" s="79"/>
      <c r="O111" s="80"/>
      <c r="P111" s="79"/>
      <c r="Q111" s="80"/>
      <c r="R111" s="79"/>
      <c r="S111" s="80"/>
      <c r="T111" s="79"/>
      <c r="U111" s="80"/>
      <c r="V111" s="79"/>
      <c r="W111" s="80"/>
      <c r="X111" s="79"/>
      <c r="Y111" s="80"/>
      <c r="Z111" s="50">
        <f t="shared" si="1"/>
        <v>0</v>
      </c>
      <c r="AA111" s="60"/>
      <c r="AB111" s="60"/>
    </row>
    <row r="112" spans="1:28" x14ac:dyDescent="0.25">
      <c r="A112" s="443"/>
      <c r="B112" s="443"/>
      <c r="C112" s="443"/>
      <c r="D112" s="330"/>
      <c r="E112" s="330"/>
      <c r="F112" s="330"/>
      <c r="G112" s="330"/>
      <c r="H112" s="330"/>
      <c r="I112" s="330"/>
      <c r="J112" s="330"/>
      <c r="K112" s="330"/>
      <c r="L112" s="79"/>
      <c r="M112" s="80"/>
      <c r="N112" s="79"/>
      <c r="O112" s="80"/>
      <c r="P112" s="79"/>
      <c r="Q112" s="80"/>
      <c r="R112" s="79"/>
      <c r="S112" s="80"/>
      <c r="T112" s="79"/>
      <c r="U112" s="80"/>
      <c r="V112" s="79"/>
      <c r="W112" s="80"/>
      <c r="X112" s="79"/>
      <c r="Y112" s="80"/>
      <c r="Z112" s="50">
        <f t="shared" si="1"/>
        <v>0</v>
      </c>
      <c r="AA112" s="60"/>
      <c r="AB112" s="60"/>
    </row>
    <row r="113" spans="1:28" x14ac:dyDescent="0.25">
      <c r="A113" s="443"/>
      <c r="B113" s="443"/>
      <c r="C113" s="443"/>
      <c r="D113" s="330"/>
      <c r="E113" s="330"/>
      <c r="F113" s="330"/>
      <c r="G113" s="330"/>
      <c r="H113" s="330"/>
      <c r="I113" s="330"/>
      <c r="J113" s="330"/>
      <c r="K113" s="330"/>
      <c r="L113" s="79"/>
      <c r="M113" s="80"/>
      <c r="N113" s="79"/>
      <c r="O113" s="80"/>
      <c r="P113" s="79"/>
      <c r="Q113" s="80"/>
      <c r="R113" s="79"/>
      <c r="S113" s="80"/>
      <c r="T113" s="79"/>
      <c r="U113" s="80"/>
      <c r="V113" s="79"/>
      <c r="W113" s="80"/>
      <c r="X113" s="79"/>
      <c r="Y113" s="80"/>
      <c r="Z113" s="50">
        <f t="shared" si="1"/>
        <v>0</v>
      </c>
      <c r="AA113" s="60"/>
      <c r="AB113" s="60"/>
    </row>
    <row r="114" spans="1:28" x14ac:dyDescent="0.25">
      <c r="A114" s="443"/>
      <c r="B114" s="443"/>
      <c r="C114" s="443"/>
      <c r="D114" s="330"/>
      <c r="E114" s="330"/>
      <c r="F114" s="330"/>
      <c r="G114" s="330"/>
      <c r="H114" s="330"/>
      <c r="I114" s="330"/>
      <c r="J114" s="330"/>
      <c r="K114" s="330"/>
      <c r="L114" s="79"/>
      <c r="M114" s="80"/>
      <c r="N114" s="79"/>
      <c r="O114" s="80"/>
      <c r="P114" s="79"/>
      <c r="Q114" s="80"/>
      <c r="R114" s="79"/>
      <c r="S114" s="80"/>
      <c r="T114" s="79"/>
      <c r="U114" s="80"/>
      <c r="V114" s="79"/>
      <c r="W114" s="80"/>
      <c r="X114" s="79"/>
      <c r="Y114" s="80"/>
      <c r="Z114" s="50">
        <f t="shared" si="1"/>
        <v>0</v>
      </c>
      <c r="AA114" s="60"/>
      <c r="AB114" s="60"/>
    </row>
    <row r="115" spans="1:28" x14ac:dyDescent="0.25">
      <c r="A115" s="443"/>
      <c r="B115" s="443"/>
      <c r="C115" s="443"/>
      <c r="D115" s="330"/>
      <c r="E115" s="330"/>
      <c r="F115" s="330"/>
      <c r="G115" s="330"/>
      <c r="H115" s="330"/>
      <c r="I115" s="330"/>
      <c r="J115" s="330"/>
      <c r="K115" s="330"/>
      <c r="L115" s="79"/>
      <c r="M115" s="80"/>
      <c r="N115" s="79"/>
      <c r="O115" s="80"/>
      <c r="P115" s="79"/>
      <c r="Q115" s="80"/>
      <c r="R115" s="79"/>
      <c r="S115" s="80"/>
      <c r="T115" s="79"/>
      <c r="U115" s="80"/>
      <c r="V115" s="79"/>
      <c r="W115" s="80"/>
      <c r="X115" s="79"/>
      <c r="Y115" s="80"/>
      <c r="Z115" s="50">
        <f t="shared" si="1"/>
        <v>0</v>
      </c>
      <c r="AA115" s="60"/>
      <c r="AB115" s="60"/>
    </row>
    <row r="116" spans="1:28" x14ac:dyDescent="0.25">
      <c r="A116" s="443"/>
      <c r="B116" s="443"/>
      <c r="C116" s="443"/>
      <c r="D116" s="330"/>
      <c r="E116" s="330"/>
      <c r="F116" s="330"/>
      <c r="G116" s="330"/>
      <c r="H116" s="330"/>
      <c r="I116" s="330"/>
      <c r="J116" s="330"/>
      <c r="K116" s="330"/>
      <c r="L116" s="79"/>
      <c r="M116" s="80"/>
      <c r="N116" s="79"/>
      <c r="O116" s="80"/>
      <c r="P116" s="79"/>
      <c r="Q116" s="80"/>
      <c r="R116" s="79"/>
      <c r="S116" s="80"/>
      <c r="T116" s="79"/>
      <c r="U116" s="80"/>
      <c r="V116" s="79"/>
      <c r="W116" s="80"/>
      <c r="X116" s="79"/>
      <c r="Y116" s="80"/>
      <c r="Z116" s="50">
        <f t="shared" si="1"/>
        <v>0</v>
      </c>
      <c r="AA116" s="60"/>
      <c r="AB116" s="60"/>
    </row>
    <row r="117" spans="1:28" x14ac:dyDescent="0.25">
      <c r="A117" s="443"/>
      <c r="B117" s="443"/>
      <c r="C117" s="443"/>
      <c r="D117" s="330"/>
      <c r="E117" s="330"/>
      <c r="F117" s="330"/>
      <c r="G117" s="330"/>
      <c r="H117" s="330"/>
      <c r="I117" s="330"/>
      <c r="J117" s="330"/>
      <c r="K117" s="330"/>
      <c r="L117" s="79"/>
      <c r="M117" s="80"/>
      <c r="N117" s="79"/>
      <c r="O117" s="80"/>
      <c r="P117" s="79"/>
      <c r="Q117" s="80"/>
      <c r="R117" s="79"/>
      <c r="S117" s="80"/>
      <c r="T117" s="79"/>
      <c r="U117" s="80"/>
      <c r="V117" s="79"/>
      <c r="W117" s="80"/>
      <c r="X117" s="79"/>
      <c r="Y117" s="80"/>
      <c r="Z117" s="50">
        <f t="shared" si="1"/>
        <v>0</v>
      </c>
      <c r="AA117" s="60"/>
      <c r="AB117" s="60"/>
    </row>
    <row r="118" spans="1:28" x14ac:dyDescent="0.25">
      <c r="A118" s="443"/>
      <c r="B118" s="443"/>
      <c r="C118" s="443"/>
      <c r="D118" s="330"/>
      <c r="E118" s="330"/>
      <c r="F118" s="330"/>
      <c r="G118" s="330"/>
      <c r="H118" s="330"/>
      <c r="I118" s="330"/>
      <c r="J118" s="330"/>
      <c r="K118" s="330"/>
      <c r="L118" s="79"/>
      <c r="M118" s="80"/>
      <c r="N118" s="79"/>
      <c r="O118" s="80"/>
      <c r="P118" s="79"/>
      <c r="Q118" s="80"/>
      <c r="R118" s="79"/>
      <c r="S118" s="80"/>
      <c r="T118" s="79"/>
      <c r="U118" s="80"/>
      <c r="V118" s="79"/>
      <c r="W118" s="80"/>
      <c r="X118" s="79"/>
      <c r="Y118" s="80"/>
      <c r="Z118" s="50">
        <f t="shared" si="1"/>
        <v>0</v>
      </c>
      <c r="AA118" s="60"/>
      <c r="AB118" s="60"/>
    </row>
    <row r="119" spans="1:28" x14ac:dyDescent="0.25">
      <c r="A119" s="443"/>
      <c r="B119" s="443"/>
      <c r="C119" s="443"/>
      <c r="D119" s="330"/>
      <c r="E119" s="330"/>
      <c r="F119" s="330"/>
      <c r="G119" s="330"/>
      <c r="H119" s="330"/>
      <c r="I119" s="330"/>
      <c r="J119" s="330"/>
      <c r="K119" s="330"/>
      <c r="L119" s="79"/>
      <c r="M119" s="80"/>
      <c r="N119" s="79"/>
      <c r="O119" s="80"/>
      <c r="P119" s="79"/>
      <c r="Q119" s="80"/>
      <c r="R119" s="79"/>
      <c r="S119" s="80"/>
      <c r="T119" s="79"/>
      <c r="U119" s="80"/>
      <c r="V119" s="79"/>
      <c r="W119" s="80"/>
      <c r="X119" s="79"/>
      <c r="Y119" s="80"/>
      <c r="Z119" s="50">
        <f t="shared" si="1"/>
        <v>0</v>
      </c>
      <c r="AA119" s="60"/>
      <c r="AB119" s="60"/>
    </row>
    <row r="120" spans="1:28" x14ac:dyDescent="0.25">
      <c r="A120" s="443"/>
      <c r="B120" s="443"/>
      <c r="C120" s="443"/>
      <c r="D120" s="330"/>
      <c r="E120" s="330"/>
      <c r="F120" s="330"/>
      <c r="G120" s="330"/>
      <c r="H120" s="330"/>
      <c r="I120" s="330"/>
      <c r="J120" s="330"/>
      <c r="K120" s="330"/>
      <c r="L120" s="79"/>
      <c r="M120" s="80"/>
      <c r="N120" s="79"/>
      <c r="O120" s="80"/>
      <c r="P120" s="79"/>
      <c r="Q120" s="80"/>
      <c r="R120" s="79"/>
      <c r="S120" s="80"/>
      <c r="T120" s="79"/>
      <c r="U120" s="80"/>
      <c r="V120" s="79"/>
      <c r="W120" s="80"/>
      <c r="X120" s="79"/>
      <c r="Y120" s="80"/>
      <c r="Z120" s="50">
        <f t="shared" si="1"/>
        <v>0</v>
      </c>
      <c r="AA120" s="60"/>
      <c r="AB120" s="60"/>
    </row>
    <row r="121" spans="1:28" x14ac:dyDescent="0.25">
      <c r="A121" s="443"/>
      <c r="B121" s="443"/>
      <c r="C121" s="443"/>
      <c r="D121" s="330"/>
      <c r="E121" s="330"/>
      <c r="F121" s="330"/>
      <c r="G121" s="330"/>
      <c r="H121" s="330"/>
      <c r="I121" s="330"/>
      <c r="J121" s="330"/>
      <c r="K121" s="330"/>
      <c r="L121" s="79"/>
      <c r="M121" s="80"/>
      <c r="N121" s="79"/>
      <c r="O121" s="80"/>
      <c r="P121" s="79"/>
      <c r="Q121" s="80"/>
      <c r="R121" s="79"/>
      <c r="S121" s="80"/>
      <c r="T121" s="79"/>
      <c r="U121" s="80"/>
      <c r="V121" s="79"/>
      <c r="W121" s="80"/>
      <c r="X121" s="79"/>
      <c r="Y121" s="80"/>
      <c r="Z121" s="50">
        <f t="shared" si="1"/>
        <v>0</v>
      </c>
      <c r="AA121" s="60"/>
      <c r="AB121" s="60"/>
    </row>
    <row r="122" spans="1:28" x14ac:dyDescent="0.25">
      <c r="A122" s="443"/>
      <c r="B122" s="443"/>
      <c r="C122" s="443"/>
      <c r="D122" s="330"/>
      <c r="E122" s="330"/>
      <c r="F122" s="330"/>
      <c r="G122" s="330"/>
      <c r="H122" s="330"/>
      <c r="I122" s="330"/>
      <c r="J122" s="330"/>
      <c r="K122" s="330"/>
      <c r="L122" s="79"/>
      <c r="M122" s="80"/>
      <c r="N122" s="79"/>
      <c r="O122" s="80"/>
      <c r="P122" s="79"/>
      <c r="Q122" s="80"/>
      <c r="R122" s="79"/>
      <c r="S122" s="80"/>
      <c r="T122" s="79"/>
      <c r="U122" s="80"/>
      <c r="V122" s="79"/>
      <c r="W122" s="80"/>
      <c r="X122" s="79"/>
      <c r="Y122" s="80"/>
      <c r="Z122" s="50">
        <f t="shared" si="1"/>
        <v>0</v>
      </c>
      <c r="AA122" s="60"/>
      <c r="AB122" s="60"/>
    </row>
    <row r="123" spans="1:28" x14ac:dyDescent="0.25">
      <c r="A123" s="443"/>
      <c r="B123" s="443"/>
      <c r="C123" s="443"/>
      <c r="D123" s="330"/>
      <c r="E123" s="330"/>
      <c r="F123" s="330"/>
      <c r="G123" s="330"/>
      <c r="H123" s="330"/>
      <c r="I123" s="330"/>
      <c r="J123" s="330"/>
      <c r="K123" s="330"/>
      <c r="L123" s="79"/>
      <c r="M123" s="80"/>
      <c r="N123" s="79"/>
      <c r="O123" s="80"/>
      <c r="P123" s="79"/>
      <c r="Q123" s="80"/>
      <c r="R123" s="79"/>
      <c r="S123" s="80"/>
      <c r="T123" s="79"/>
      <c r="U123" s="80"/>
      <c r="V123" s="79"/>
      <c r="W123" s="80"/>
      <c r="X123" s="79"/>
      <c r="Y123" s="80"/>
      <c r="Z123" s="50">
        <f t="shared" si="1"/>
        <v>0</v>
      </c>
      <c r="AA123" s="60"/>
      <c r="AB123" s="60"/>
    </row>
    <row r="124" spans="1:28" x14ac:dyDescent="0.25">
      <c r="A124" s="443"/>
      <c r="B124" s="443"/>
      <c r="C124" s="443"/>
      <c r="D124" s="330"/>
      <c r="E124" s="330"/>
      <c r="F124" s="330"/>
      <c r="G124" s="330"/>
      <c r="H124" s="330"/>
      <c r="I124" s="330"/>
      <c r="J124" s="330"/>
      <c r="K124" s="330"/>
      <c r="L124" s="79"/>
      <c r="M124" s="80"/>
      <c r="N124" s="79"/>
      <c r="O124" s="80"/>
      <c r="P124" s="79"/>
      <c r="Q124" s="80"/>
      <c r="R124" s="79"/>
      <c r="S124" s="80"/>
      <c r="T124" s="79"/>
      <c r="U124" s="80"/>
      <c r="V124" s="79"/>
      <c r="W124" s="80"/>
      <c r="X124" s="79"/>
      <c r="Y124" s="80"/>
      <c r="Z124" s="50">
        <f t="shared" si="1"/>
        <v>0</v>
      </c>
      <c r="AA124" s="60"/>
      <c r="AB124" s="60"/>
    </row>
    <row r="125" spans="1:28" x14ac:dyDescent="0.25">
      <c r="A125" s="443"/>
      <c r="B125" s="443"/>
      <c r="C125" s="443"/>
      <c r="D125" s="330"/>
      <c r="E125" s="330"/>
      <c r="F125" s="330"/>
      <c r="G125" s="330"/>
      <c r="H125" s="330"/>
      <c r="I125" s="330"/>
      <c r="J125" s="330"/>
      <c r="K125" s="330"/>
      <c r="L125" s="79"/>
      <c r="M125" s="80"/>
      <c r="N125" s="79"/>
      <c r="O125" s="80"/>
      <c r="P125" s="79"/>
      <c r="Q125" s="80"/>
      <c r="R125" s="79"/>
      <c r="S125" s="80"/>
      <c r="T125" s="79"/>
      <c r="U125" s="80"/>
      <c r="V125" s="79"/>
      <c r="W125" s="80"/>
      <c r="X125" s="79"/>
      <c r="Y125" s="80"/>
      <c r="Z125" s="50">
        <f t="shared" si="1"/>
        <v>0</v>
      </c>
      <c r="AA125" s="60"/>
      <c r="AB125" s="60"/>
    </row>
    <row r="126" spans="1:28" x14ac:dyDescent="0.25">
      <c r="A126" s="443"/>
      <c r="B126" s="443"/>
      <c r="C126" s="443"/>
      <c r="D126" s="330"/>
      <c r="E126" s="330"/>
      <c r="F126" s="330"/>
      <c r="G126" s="330"/>
      <c r="H126" s="330"/>
      <c r="I126" s="330"/>
      <c r="J126" s="330"/>
      <c r="K126" s="330"/>
      <c r="L126" s="79"/>
      <c r="M126" s="80"/>
      <c r="N126" s="79"/>
      <c r="O126" s="80"/>
      <c r="P126" s="79"/>
      <c r="Q126" s="80"/>
      <c r="R126" s="79"/>
      <c r="S126" s="80"/>
      <c r="T126" s="79"/>
      <c r="U126" s="80"/>
      <c r="V126" s="79"/>
      <c r="W126" s="80"/>
      <c r="X126" s="79"/>
      <c r="Y126" s="80"/>
      <c r="Z126" s="50">
        <f t="shared" si="1"/>
        <v>0</v>
      </c>
      <c r="AA126" s="60"/>
      <c r="AB126" s="60"/>
    </row>
    <row r="127" spans="1:28" x14ac:dyDescent="0.25">
      <c r="A127" s="443"/>
      <c r="B127" s="443"/>
      <c r="C127" s="443"/>
      <c r="D127" s="330"/>
      <c r="E127" s="330"/>
      <c r="F127" s="330"/>
      <c r="G127" s="330"/>
      <c r="H127" s="330"/>
      <c r="I127" s="330"/>
      <c r="J127" s="330"/>
      <c r="K127" s="330"/>
      <c r="L127" s="79"/>
      <c r="M127" s="80"/>
      <c r="N127" s="79"/>
      <c r="O127" s="80"/>
      <c r="P127" s="79"/>
      <c r="Q127" s="80"/>
      <c r="R127" s="79"/>
      <c r="S127" s="80"/>
      <c r="T127" s="79"/>
      <c r="U127" s="80"/>
      <c r="V127" s="79"/>
      <c r="W127" s="80"/>
      <c r="X127" s="79"/>
      <c r="Y127" s="80"/>
      <c r="Z127" s="50">
        <f t="shared" si="1"/>
        <v>0</v>
      </c>
      <c r="AA127" s="60"/>
      <c r="AB127" s="60"/>
    </row>
    <row r="128" spans="1:28" x14ac:dyDescent="0.25">
      <c r="A128" s="443"/>
      <c r="B128" s="443"/>
      <c r="C128" s="443"/>
      <c r="D128" s="330"/>
      <c r="E128" s="330"/>
      <c r="F128" s="330"/>
      <c r="G128" s="330"/>
      <c r="H128" s="330"/>
      <c r="I128" s="330"/>
      <c r="J128" s="330"/>
      <c r="K128" s="330"/>
      <c r="L128" s="79"/>
      <c r="M128" s="80"/>
      <c r="N128" s="79"/>
      <c r="O128" s="80"/>
      <c r="P128" s="79"/>
      <c r="Q128" s="80"/>
      <c r="R128" s="79"/>
      <c r="S128" s="80"/>
      <c r="T128" s="79"/>
      <c r="U128" s="80"/>
      <c r="V128" s="79"/>
      <c r="W128" s="80"/>
      <c r="X128" s="79"/>
      <c r="Y128" s="80"/>
      <c r="Z128" s="50">
        <f t="shared" si="1"/>
        <v>0</v>
      </c>
      <c r="AA128" s="60"/>
      <c r="AB128" s="60"/>
    </row>
    <row r="129" spans="1:28" x14ac:dyDescent="0.25">
      <c r="A129" s="443"/>
      <c r="B129" s="443"/>
      <c r="C129" s="443"/>
      <c r="D129" s="330"/>
      <c r="E129" s="330"/>
      <c r="F129" s="330"/>
      <c r="G129" s="330"/>
      <c r="H129" s="330"/>
      <c r="I129" s="330"/>
      <c r="J129" s="330"/>
      <c r="K129" s="330"/>
      <c r="L129" s="79"/>
      <c r="M129" s="80"/>
      <c r="N129" s="79"/>
      <c r="O129" s="80"/>
      <c r="P129" s="79"/>
      <c r="Q129" s="80"/>
      <c r="R129" s="79"/>
      <c r="S129" s="80"/>
      <c r="T129" s="79"/>
      <c r="U129" s="80"/>
      <c r="V129" s="79"/>
      <c r="W129" s="80"/>
      <c r="X129" s="79"/>
      <c r="Y129" s="80"/>
      <c r="Z129" s="50">
        <f t="shared" si="1"/>
        <v>0</v>
      </c>
      <c r="AA129" s="60"/>
      <c r="AB129" s="60"/>
    </row>
    <row r="130" spans="1:28" x14ac:dyDescent="0.25">
      <c r="A130" s="443"/>
      <c r="B130" s="443"/>
      <c r="C130" s="443"/>
      <c r="D130" s="330"/>
      <c r="E130" s="330"/>
      <c r="F130" s="330"/>
      <c r="G130" s="330"/>
      <c r="H130" s="330"/>
      <c r="I130" s="330"/>
      <c r="J130" s="330"/>
      <c r="K130" s="330"/>
      <c r="L130" s="79"/>
      <c r="M130" s="80"/>
      <c r="N130" s="79"/>
      <c r="O130" s="80"/>
      <c r="P130" s="79"/>
      <c r="Q130" s="80"/>
      <c r="R130" s="79"/>
      <c r="S130" s="80"/>
      <c r="T130" s="79"/>
      <c r="U130" s="80"/>
      <c r="V130" s="79"/>
      <c r="W130" s="80"/>
      <c r="X130" s="79"/>
      <c r="Y130" s="80"/>
      <c r="Z130" s="50">
        <f t="shared" si="1"/>
        <v>0</v>
      </c>
      <c r="AA130" s="60"/>
      <c r="AB130" s="60"/>
    </row>
    <row r="131" spans="1:28" x14ac:dyDescent="0.25">
      <c r="A131" s="443"/>
      <c r="B131" s="443"/>
      <c r="C131" s="443"/>
      <c r="D131" s="330"/>
      <c r="E131" s="330"/>
      <c r="F131" s="330"/>
      <c r="G131" s="330"/>
      <c r="H131" s="330"/>
      <c r="I131" s="330"/>
      <c r="J131" s="330"/>
      <c r="K131" s="330"/>
      <c r="L131" s="79"/>
      <c r="M131" s="80"/>
      <c r="N131" s="79"/>
      <c r="O131" s="80"/>
      <c r="P131" s="79"/>
      <c r="Q131" s="80"/>
      <c r="R131" s="79"/>
      <c r="S131" s="80"/>
      <c r="T131" s="79"/>
      <c r="U131" s="80"/>
      <c r="V131" s="79"/>
      <c r="W131" s="80"/>
      <c r="X131" s="79"/>
      <c r="Y131" s="80"/>
      <c r="Z131" s="50">
        <f t="shared" si="1"/>
        <v>0</v>
      </c>
      <c r="AA131" s="60"/>
      <c r="AB131" s="60"/>
    </row>
    <row r="132" spans="1:28" x14ac:dyDescent="0.25">
      <c r="A132" s="443"/>
      <c r="B132" s="443"/>
      <c r="C132" s="443"/>
      <c r="D132" s="330"/>
      <c r="E132" s="330"/>
      <c r="F132" s="330"/>
      <c r="G132" s="330"/>
      <c r="H132" s="330"/>
      <c r="I132" s="330"/>
      <c r="J132" s="330"/>
      <c r="K132" s="330"/>
      <c r="L132" s="79"/>
      <c r="M132" s="80"/>
      <c r="N132" s="79"/>
      <c r="O132" s="80"/>
      <c r="P132" s="79"/>
      <c r="Q132" s="80"/>
      <c r="R132" s="79"/>
      <c r="S132" s="80"/>
      <c r="T132" s="79"/>
      <c r="U132" s="80"/>
      <c r="V132" s="79"/>
      <c r="W132" s="80"/>
      <c r="X132" s="79"/>
      <c r="Y132" s="80"/>
      <c r="Z132" s="50">
        <f t="shared" si="1"/>
        <v>0</v>
      </c>
      <c r="AA132" s="60"/>
      <c r="AB132" s="60"/>
    </row>
    <row r="133" spans="1:28" x14ac:dyDescent="0.25">
      <c r="A133" s="443"/>
      <c r="B133" s="443"/>
      <c r="C133" s="443"/>
      <c r="D133" s="330"/>
      <c r="E133" s="330"/>
      <c r="F133" s="330"/>
      <c r="G133" s="330"/>
      <c r="H133" s="330"/>
      <c r="I133" s="330"/>
      <c r="J133" s="330"/>
      <c r="K133" s="330"/>
      <c r="L133" s="79"/>
      <c r="M133" s="80"/>
      <c r="N133" s="79"/>
      <c r="O133" s="80"/>
      <c r="P133" s="79"/>
      <c r="Q133" s="80"/>
      <c r="R133" s="79"/>
      <c r="S133" s="80"/>
      <c r="T133" s="79"/>
      <c r="U133" s="80"/>
      <c r="V133" s="79"/>
      <c r="W133" s="80"/>
      <c r="X133" s="79"/>
      <c r="Y133" s="80"/>
      <c r="Z133" s="50">
        <f t="shared" si="1"/>
        <v>0</v>
      </c>
      <c r="AA133" s="60"/>
      <c r="AB133" s="60"/>
    </row>
    <row r="134" spans="1:28" x14ac:dyDescent="0.25">
      <c r="A134" s="443"/>
      <c r="B134" s="443"/>
      <c r="C134" s="443"/>
      <c r="D134" s="330"/>
      <c r="E134" s="330"/>
      <c r="F134" s="330"/>
      <c r="G134" s="330"/>
      <c r="H134" s="330"/>
      <c r="I134" s="330"/>
      <c r="J134" s="330"/>
      <c r="K134" s="330"/>
      <c r="L134" s="79"/>
      <c r="M134" s="80"/>
      <c r="N134" s="79"/>
      <c r="O134" s="80"/>
      <c r="P134" s="79"/>
      <c r="Q134" s="80"/>
      <c r="R134" s="79"/>
      <c r="S134" s="80"/>
      <c r="T134" s="79"/>
      <c r="U134" s="80"/>
      <c r="V134" s="79"/>
      <c r="W134" s="80"/>
      <c r="X134" s="79"/>
      <c r="Y134" s="80"/>
      <c r="Z134" s="50">
        <f t="shared" si="1"/>
        <v>0</v>
      </c>
      <c r="AA134" s="60"/>
      <c r="AB134" s="60"/>
    </row>
    <row r="135" spans="1:28" x14ac:dyDescent="0.25">
      <c r="A135" s="443"/>
      <c r="B135" s="443"/>
      <c r="C135" s="443"/>
      <c r="D135" s="330"/>
      <c r="E135" s="330"/>
      <c r="F135" s="330"/>
      <c r="G135" s="330"/>
      <c r="H135" s="330"/>
      <c r="I135" s="330"/>
      <c r="J135" s="330"/>
      <c r="K135" s="330"/>
      <c r="L135" s="79"/>
      <c r="M135" s="80"/>
      <c r="N135" s="79"/>
      <c r="O135" s="80"/>
      <c r="P135" s="79"/>
      <c r="Q135" s="80"/>
      <c r="R135" s="79"/>
      <c r="S135" s="80"/>
      <c r="T135" s="79"/>
      <c r="U135" s="80"/>
      <c r="V135" s="79"/>
      <c r="W135" s="80"/>
      <c r="X135" s="79"/>
      <c r="Y135" s="80"/>
      <c r="Z135" s="50">
        <f t="shared" si="1"/>
        <v>0</v>
      </c>
      <c r="AA135" s="60"/>
      <c r="AB135" s="60"/>
    </row>
    <row r="136" spans="1:28" x14ac:dyDescent="0.25">
      <c r="A136" s="443"/>
      <c r="B136" s="443"/>
      <c r="C136" s="443"/>
      <c r="D136" s="330"/>
      <c r="E136" s="330"/>
      <c r="F136" s="330"/>
      <c r="G136" s="330"/>
      <c r="H136" s="330"/>
      <c r="I136" s="330"/>
      <c r="J136" s="330"/>
      <c r="K136" s="330"/>
      <c r="L136" s="79"/>
      <c r="M136" s="80"/>
      <c r="N136" s="79"/>
      <c r="O136" s="80"/>
      <c r="P136" s="79"/>
      <c r="Q136" s="80"/>
      <c r="R136" s="79"/>
      <c r="S136" s="80"/>
      <c r="T136" s="79"/>
      <c r="U136" s="80"/>
      <c r="V136" s="79"/>
      <c r="W136" s="80"/>
      <c r="X136" s="79"/>
      <c r="Y136" s="80"/>
      <c r="Z136" s="50">
        <f t="shared" si="1"/>
        <v>0</v>
      </c>
      <c r="AA136" s="60"/>
      <c r="AB136" s="60"/>
    </row>
    <row r="137" spans="1:28" x14ac:dyDescent="0.25">
      <c r="A137" s="443"/>
      <c r="B137" s="443"/>
      <c r="C137" s="443"/>
      <c r="D137" s="330"/>
      <c r="E137" s="330"/>
      <c r="F137" s="330"/>
      <c r="G137" s="330"/>
      <c r="H137" s="330"/>
      <c r="I137" s="330"/>
      <c r="J137" s="330"/>
      <c r="K137" s="330"/>
      <c r="L137" s="79"/>
      <c r="M137" s="80"/>
      <c r="N137" s="79"/>
      <c r="O137" s="80"/>
      <c r="P137" s="79"/>
      <c r="Q137" s="80"/>
      <c r="R137" s="79"/>
      <c r="S137" s="80"/>
      <c r="T137" s="79"/>
      <c r="U137" s="80"/>
      <c r="V137" s="79"/>
      <c r="W137" s="80"/>
      <c r="X137" s="79"/>
      <c r="Y137" s="80"/>
      <c r="Z137" s="50">
        <f t="shared" si="1"/>
        <v>0</v>
      </c>
      <c r="AA137" s="60"/>
      <c r="AB137" s="60"/>
    </row>
    <row r="138" spans="1:28" x14ac:dyDescent="0.25">
      <c r="A138" s="443"/>
      <c r="B138" s="443"/>
      <c r="C138" s="443"/>
      <c r="D138" s="330"/>
      <c r="E138" s="330"/>
      <c r="F138" s="330"/>
      <c r="G138" s="330"/>
      <c r="H138" s="330"/>
      <c r="I138" s="330"/>
      <c r="J138" s="330"/>
      <c r="K138" s="330"/>
      <c r="L138" s="79"/>
      <c r="M138" s="80"/>
      <c r="N138" s="79"/>
      <c r="O138" s="80"/>
      <c r="P138" s="79"/>
      <c r="Q138" s="80"/>
      <c r="R138" s="79"/>
      <c r="S138" s="80"/>
      <c r="T138" s="79"/>
      <c r="U138" s="80"/>
      <c r="V138" s="79"/>
      <c r="W138" s="80"/>
      <c r="X138" s="79"/>
      <c r="Y138" s="80"/>
      <c r="Z138" s="50">
        <f t="shared" ref="Z138:Z201" si="2">SUM(L138:Y138)</f>
        <v>0</v>
      </c>
      <c r="AA138" s="60"/>
      <c r="AB138" s="60"/>
    </row>
    <row r="139" spans="1:28" x14ac:dyDescent="0.25">
      <c r="A139" s="443"/>
      <c r="B139" s="443"/>
      <c r="C139" s="443"/>
      <c r="D139" s="330"/>
      <c r="E139" s="330"/>
      <c r="F139" s="330"/>
      <c r="G139" s="330"/>
      <c r="H139" s="330"/>
      <c r="I139" s="330"/>
      <c r="J139" s="330"/>
      <c r="K139" s="330"/>
      <c r="L139" s="79"/>
      <c r="M139" s="80"/>
      <c r="N139" s="79"/>
      <c r="O139" s="80"/>
      <c r="P139" s="79"/>
      <c r="Q139" s="80"/>
      <c r="R139" s="79"/>
      <c r="S139" s="80"/>
      <c r="T139" s="79"/>
      <c r="U139" s="80"/>
      <c r="V139" s="79"/>
      <c r="W139" s="80"/>
      <c r="X139" s="79"/>
      <c r="Y139" s="80"/>
      <c r="Z139" s="50">
        <f t="shared" si="2"/>
        <v>0</v>
      </c>
      <c r="AA139" s="60"/>
      <c r="AB139" s="60"/>
    </row>
    <row r="140" spans="1:28" x14ac:dyDescent="0.25">
      <c r="A140" s="443"/>
      <c r="B140" s="443"/>
      <c r="C140" s="443"/>
      <c r="D140" s="330"/>
      <c r="E140" s="330"/>
      <c r="F140" s="330"/>
      <c r="G140" s="330"/>
      <c r="H140" s="330"/>
      <c r="I140" s="330"/>
      <c r="J140" s="330"/>
      <c r="K140" s="330"/>
      <c r="L140" s="79"/>
      <c r="M140" s="80"/>
      <c r="N140" s="79"/>
      <c r="O140" s="80"/>
      <c r="P140" s="79"/>
      <c r="Q140" s="80"/>
      <c r="R140" s="79"/>
      <c r="S140" s="80"/>
      <c r="T140" s="79"/>
      <c r="U140" s="80"/>
      <c r="V140" s="79"/>
      <c r="W140" s="80"/>
      <c r="X140" s="79"/>
      <c r="Y140" s="80"/>
      <c r="Z140" s="50">
        <f t="shared" si="2"/>
        <v>0</v>
      </c>
      <c r="AA140" s="60"/>
      <c r="AB140" s="60"/>
    </row>
    <row r="141" spans="1:28" x14ac:dyDescent="0.25">
      <c r="A141" s="443"/>
      <c r="B141" s="443"/>
      <c r="C141" s="443"/>
      <c r="D141" s="330"/>
      <c r="E141" s="330"/>
      <c r="F141" s="330"/>
      <c r="G141" s="330"/>
      <c r="H141" s="330"/>
      <c r="I141" s="330"/>
      <c r="J141" s="330"/>
      <c r="K141" s="330"/>
      <c r="L141" s="79"/>
      <c r="M141" s="80"/>
      <c r="N141" s="79"/>
      <c r="O141" s="80"/>
      <c r="P141" s="79"/>
      <c r="Q141" s="80"/>
      <c r="R141" s="79"/>
      <c r="S141" s="80"/>
      <c r="T141" s="79"/>
      <c r="U141" s="80"/>
      <c r="V141" s="79"/>
      <c r="W141" s="80"/>
      <c r="X141" s="79"/>
      <c r="Y141" s="80"/>
      <c r="Z141" s="50">
        <f t="shared" si="2"/>
        <v>0</v>
      </c>
      <c r="AA141" s="60"/>
      <c r="AB141" s="60"/>
    </row>
    <row r="142" spans="1:28" x14ac:dyDescent="0.25">
      <c r="A142" s="443"/>
      <c r="B142" s="443"/>
      <c r="C142" s="443"/>
      <c r="D142" s="330"/>
      <c r="E142" s="330"/>
      <c r="F142" s="330"/>
      <c r="G142" s="330"/>
      <c r="H142" s="330"/>
      <c r="I142" s="330"/>
      <c r="J142" s="330"/>
      <c r="K142" s="330"/>
      <c r="L142" s="79"/>
      <c r="M142" s="80"/>
      <c r="N142" s="79"/>
      <c r="O142" s="80"/>
      <c r="P142" s="79"/>
      <c r="Q142" s="80"/>
      <c r="R142" s="79"/>
      <c r="S142" s="80"/>
      <c r="T142" s="79"/>
      <c r="U142" s="80"/>
      <c r="V142" s="79"/>
      <c r="W142" s="80"/>
      <c r="X142" s="79"/>
      <c r="Y142" s="80"/>
      <c r="Z142" s="50">
        <f t="shared" si="2"/>
        <v>0</v>
      </c>
      <c r="AA142" s="60"/>
      <c r="AB142" s="60"/>
    </row>
    <row r="143" spans="1:28" x14ac:dyDescent="0.25">
      <c r="A143" s="443"/>
      <c r="B143" s="443"/>
      <c r="C143" s="443"/>
      <c r="D143" s="330"/>
      <c r="E143" s="330"/>
      <c r="F143" s="330"/>
      <c r="G143" s="330"/>
      <c r="H143" s="330"/>
      <c r="I143" s="330"/>
      <c r="J143" s="330"/>
      <c r="K143" s="330"/>
      <c r="L143" s="79"/>
      <c r="M143" s="80"/>
      <c r="N143" s="79"/>
      <c r="O143" s="80"/>
      <c r="P143" s="79"/>
      <c r="Q143" s="80"/>
      <c r="R143" s="79"/>
      <c r="S143" s="80"/>
      <c r="T143" s="79"/>
      <c r="U143" s="80"/>
      <c r="V143" s="79"/>
      <c r="W143" s="80"/>
      <c r="X143" s="79"/>
      <c r="Y143" s="80"/>
      <c r="Z143" s="50">
        <f t="shared" si="2"/>
        <v>0</v>
      </c>
      <c r="AA143" s="60"/>
      <c r="AB143" s="60"/>
    </row>
    <row r="144" spans="1:28" x14ac:dyDescent="0.25">
      <c r="A144" s="443"/>
      <c r="B144" s="443"/>
      <c r="C144" s="443"/>
      <c r="D144" s="330"/>
      <c r="E144" s="330"/>
      <c r="F144" s="330"/>
      <c r="G144" s="330"/>
      <c r="H144" s="330"/>
      <c r="I144" s="330"/>
      <c r="J144" s="330"/>
      <c r="K144" s="330"/>
      <c r="L144" s="79"/>
      <c r="M144" s="80"/>
      <c r="N144" s="79"/>
      <c r="O144" s="80"/>
      <c r="P144" s="79"/>
      <c r="Q144" s="80"/>
      <c r="R144" s="79"/>
      <c r="S144" s="80"/>
      <c r="T144" s="79"/>
      <c r="U144" s="80"/>
      <c r="V144" s="79"/>
      <c r="W144" s="80"/>
      <c r="X144" s="79"/>
      <c r="Y144" s="80"/>
      <c r="Z144" s="50">
        <f t="shared" si="2"/>
        <v>0</v>
      </c>
      <c r="AA144" s="60"/>
      <c r="AB144" s="60"/>
    </row>
    <row r="145" spans="1:28" x14ac:dyDescent="0.25">
      <c r="A145" s="443"/>
      <c r="B145" s="443"/>
      <c r="C145" s="443"/>
      <c r="D145" s="330"/>
      <c r="E145" s="330"/>
      <c r="F145" s="330"/>
      <c r="G145" s="330"/>
      <c r="H145" s="330"/>
      <c r="I145" s="330"/>
      <c r="J145" s="330"/>
      <c r="K145" s="330"/>
      <c r="L145" s="79"/>
      <c r="M145" s="80"/>
      <c r="N145" s="79"/>
      <c r="O145" s="80"/>
      <c r="P145" s="79"/>
      <c r="Q145" s="80"/>
      <c r="R145" s="79"/>
      <c r="S145" s="80"/>
      <c r="T145" s="79"/>
      <c r="U145" s="80"/>
      <c r="V145" s="79"/>
      <c r="W145" s="80"/>
      <c r="X145" s="79"/>
      <c r="Y145" s="80"/>
      <c r="Z145" s="50">
        <f t="shared" si="2"/>
        <v>0</v>
      </c>
      <c r="AA145" s="60"/>
      <c r="AB145" s="60"/>
    </row>
    <row r="146" spans="1:28" x14ac:dyDescent="0.25">
      <c r="A146" s="443"/>
      <c r="B146" s="443"/>
      <c r="C146" s="443"/>
      <c r="D146" s="330"/>
      <c r="E146" s="330"/>
      <c r="F146" s="330"/>
      <c r="G146" s="330"/>
      <c r="H146" s="330"/>
      <c r="I146" s="330"/>
      <c r="J146" s="330"/>
      <c r="K146" s="330"/>
      <c r="L146" s="79"/>
      <c r="M146" s="80"/>
      <c r="N146" s="79"/>
      <c r="O146" s="80"/>
      <c r="P146" s="79"/>
      <c r="Q146" s="80"/>
      <c r="R146" s="79"/>
      <c r="S146" s="80"/>
      <c r="T146" s="79"/>
      <c r="U146" s="80"/>
      <c r="V146" s="79"/>
      <c r="W146" s="80"/>
      <c r="X146" s="79"/>
      <c r="Y146" s="80"/>
      <c r="Z146" s="50">
        <f t="shared" si="2"/>
        <v>0</v>
      </c>
      <c r="AA146" s="60"/>
      <c r="AB146" s="60"/>
    </row>
    <row r="147" spans="1:28" x14ac:dyDescent="0.25">
      <c r="A147" s="443"/>
      <c r="B147" s="443"/>
      <c r="C147" s="443"/>
      <c r="D147" s="330"/>
      <c r="E147" s="330"/>
      <c r="F147" s="330"/>
      <c r="G147" s="330"/>
      <c r="H147" s="330"/>
      <c r="I147" s="330"/>
      <c r="J147" s="330"/>
      <c r="K147" s="330"/>
      <c r="L147" s="79"/>
      <c r="M147" s="80"/>
      <c r="N147" s="79"/>
      <c r="O147" s="80"/>
      <c r="P147" s="79"/>
      <c r="Q147" s="80"/>
      <c r="R147" s="79"/>
      <c r="S147" s="80"/>
      <c r="T147" s="79"/>
      <c r="U147" s="80"/>
      <c r="V147" s="79"/>
      <c r="W147" s="80"/>
      <c r="X147" s="79"/>
      <c r="Y147" s="80"/>
      <c r="Z147" s="50">
        <f t="shared" si="2"/>
        <v>0</v>
      </c>
      <c r="AA147" s="60"/>
      <c r="AB147" s="60"/>
    </row>
    <row r="148" spans="1:28" x14ac:dyDescent="0.25">
      <c r="A148" s="443"/>
      <c r="B148" s="443"/>
      <c r="C148" s="443"/>
      <c r="D148" s="330"/>
      <c r="E148" s="330"/>
      <c r="F148" s="330"/>
      <c r="G148" s="330"/>
      <c r="H148" s="330"/>
      <c r="I148" s="330"/>
      <c r="J148" s="330"/>
      <c r="K148" s="330"/>
      <c r="L148" s="79"/>
      <c r="M148" s="80"/>
      <c r="N148" s="79"/>
      <c r="O148" s="80"/>
      <c r="P148" s="79"/>
      <c r="Q148" s="80"/>
      <c r="R148" s="79"/>
      <c r="S148" s="80"/>
      <c r="T148" s="79"/>
      <c r="U148" s="80"/>
      <c r="V148" s="79"/>
      <c r="W148" s="80"/>
      <c r="X148" s="79"/>
      <c r="Y148" s="80"/>
      <c r="Z148" s="50">
        <f t="shared" si="2"/>
        <v>0</v>
      </c>
      <c r="AA148" s="60"/>
      <c r="AB148" s="60"/>
    </row>
    <row r="149" spans="1:28" x14ac:dyDescent="0.25">
      <c r="A149" s="443"/>
      <c r="B149" s="443"/>
      <c r="C149" s="443"/>
      <c r="D149" s="330"/>
      <c r="E149" s="330"/>
      <c r="F149" s="330"/>
      <c r="G149" s="330"/>
      <c r="H149" s="330"/>
      <c r="I149" s="330"/>
      <c r="J149" s="330"/>
      <c r="K149" s="330"/>
      <c r="L149" s="79"/>
      <c r="M149" s="80"/>
      <c r="N149" s="79"/>
      <c r="O149" s="80"/>
      <c r="P149" s="79"/>
      <c r="Q149" s="80"/>
      <c r="R149" s="79"/>
      <c r="S149" s="80"/>
      <c r="T149" s="79"/>
      <c r="U149" s="80"/>
      <c r="V149" s="79"/>
      <c r="W149" s="80"/>
      <c r="X149" s="79"/>
      <c r="Y149" s="80"/>
      <c r="Z149" s="50">
        <f t="shared" si="2"/>
        <v>0</v>
      </c>
      <c r="AA149" s="60"/>
      <c r="AB149" s="60"/>
    </row>
    <row r="150" spans="1:28" x14ac:dyDescent="0.25">
      <c r="A150" s="443"/>
      <c r="B150" s="443"/>
      <c r="C150" s="443"/>
      <c r="D150" s="330"/>
      <c r="E150" s="330"/>
      <c r="F150" s="330"/>
      <c r="G150" s="330"/>
      <c r="H150" s="330"/>
      <c r="I150" s="330"/>
      <c r="J150" s="330"/>
      <c r="K150" s="330"/>
      <c r="L150" s="79"/>
      <c r="M150" s="80"/>
      <c r="N150" s="79"/>
      <c r="O150" s="80"/>
      <c r="P150" s="79"/>
      <c r="Q150" s="80"/>
      <c r="R150" s="79"/>
      <c r="S150" s="80"/>
      <c r="T150" s="79"/>
      <c r="U150" s="80"/>
      <c r="V150" s="79"/>
      <c r="W150" s="80"/>
      <c r="X150" s="79"/>
      <c r="Y150" s="80"/>
      <c r="Z150" s="50">
        <f t="shared" si="2"/>
        <v>0</v>
      </c>
      <c r="AA150" s="60"/>
      <c r="AB150" s="60"/>
    </row>
    <row r="151" spans="1:28" x14ac:dyDescent="0.25">
      <c r="A151" s="443"/>
      <c r="B151" s="443"/>
      <c r="C151" s="443"/>
      <c r="D151" s="330"/>
      <c r="E151" s="330"/>
      <c r="F151" s="330"/>
      <c r="G151" s="330"/>
      <c r="H151" s="330"/>
      <c r="I151" s="330"/>
      <c r="J151" s="330"/>
      <c r="K151" s="330"/>
      <c r="L151" s="79"/>
      <c r="M151" s="80"/>
      <c r="N151" s="79"/>
      <c r="O151" s="80"/>
      <c r="P151" s="79"/>
      <c r="Q151" s="80"/>
      <c r="R151" s="79"/>
      <c r="S151" s="80"/>
      <c r="T151" s="79"/>
      <c r="U151" s="80"/>
      <c r="V151" s="79"/>
      <c r="W151" s="80"/>
      <c r="X151" s="79"/>
      <c r="Y151" s="80"/>
      <c r="Z151" s="50">
        <f t="shared" si="2"/>
        <v>0</v>
      </c>
      <c r="AA151" s="60"/>
      <c r="AB151" s="60"/>
    </row>
    <row r="152" spans="1:28" x14ac:dyDescent="0.25">
      <c r="A152" s="443"/>
      <c r="B152" s="443"/>
      <c r="C152" s="443"/>
      <c r="D152" s="330"/>
      <c r="E152" s="330"/>
      <c r="F152" s="330"/>
      <c r="G152" s="330"/>
      <c r="H152" s="330"/>
      <c r="I152" s="330"/>
      <c r="J152" s="330"/>
      <c r="K152" s="330"/>
      <c r="L152" s="79"/>
      <c r="M152" s="80"/>
      <c r="N152" s="79"/>
      <c r="O152" s="80"/>
      <c r="P152" s="79"/>
      <c r="Q152" s="80"/>
      <c r="R152" s="79"/>
      <c r="S152" s="80"/>
      <c r="T152" s="79"/>
      <c r="U152" s="80"/>
      <c r="V152" s="79"/>
      <c r="W152" s="80"/>
      <c r="X152" s="79"/>
      <c r="Y152" s="80"/>
      <c r="Z152" s="50">
        <f t="shared" si="2"/>
        <v>0</v>
      </c>
      <c r="AA152" s="60"/>
      <c r="AB152" s="60"/>
    </row>
    <row r="153" spans="1:28" x14ac:dyDescent="0.25">
      <c r="A153" s="443"/>
      <c r="B153" s="443"/>
      <c r="C153" s="443"/>
      <c r="D153" s="330"/>
      <c r="E153" s="330"/>
      <c r="F153" s="330"/>
      <c r="G153" s="330"/>
      <c r="H153" s="330"/>
      <c r="I153" s="330"/>
      <c r="J153" s="330"/>
      <c r="K153" s="330"/>
      <c r="L153" s="79"/>
      <c r="M153" s="80"/>
      <c r="N153" s="79"/>
      <c r="O153" s="80"/>
      <c r="P153" s="79"/>
      <c r="Q153" s="80"/>
      <c r="R153" s="79"/>
      <c r="S153" s="80"/>
      <c r="T153" s="79"/>
      <c r="U153" s="80"/>
      <c r="V153" s="79"/>
      <c r="W153" s="80"/>
      <c r="X153" s="79"/>
      <c r="Y153" s="80"/>
      <c r="Z153" s="50">
        <f t="shared" si="2"/>
        <v>0</v>
      </c>
      <c r="AA153" s="60"/>
      <c r="AB153" s="60"/>
    </row>
    <row r="154" spans="1:28" x14ac:dyDescent="0.25">
      <c r="A154" s="443"/>
      <c r="B154" s="443"/>
      <c r="C154" s="443"/>
      <c r="D154" s="330"/>
      <c r="E154" s="330"/>
      <c r="F154" s="330"/>
      <c r="G154" s="330"/>
      <c r="H154" s="330"/>
      <c r="I154" s="330"/>
      <c r="J154" s="330"/>
      <c r="K154" s="330"/>
      <c r="L154" s="79"/>
      <c r="M154" s="80"/>
      <c r="N154" s="79"/>
      <c r="O154" s="80"/>
      <c r="P154" s="79"/>
      <c r="Q154" s="80"/>
      <c r="R154" s="79"/>
      <c r="S154" s="80"/>
      <c r="T154" s="79"/>
      <c r="U154" s="80"/>
      <c r="V154" s="79"/>
      <c r="W154" s="80"/>
      <c r="X154" s="79"/>
      <c r="Y154" s="80"/>
      <c r="Z154" s="50">
        <f t="shared" si="2"/>
        <v>0</v>
      </c>
      <c r="AA154" s="60"/>
      <c r="AB154" s="60"/>
    </row>
    <row r="155" spans="1:28" x14ac:dyDescent="0.25">
      <c r="A155" s="443"/>
      <c r="B155" s="443"/>
      <c r="C155" s="443"/>
      <c r="D155" s="330"/>
      <c r="E155" s="330"/>
      <c r="F155" s="330"/>
      <c r="G155" s="330"/>
      <c r="H155" s="330"/>
      <c r="I155" s="330"/>
      <c r="J155" s="330"/>
      <c r="K155" s="330"/>
      <c r="L155" s="79"/>
      <c r="M155" s="80"/>
      <c r="N155" s="79"/>
      <c r="O155" s="80"/>
      <c r="P155" s="79"/>
      <c r="Q155" s="80"/>
      <c r="R155" s="79"/>
      <c r="S155" s="80"/>
      <c r="T155" s="79"/>
      <c r="U155" s="80"/>
      <c r="V155" s="79"/>
      <c r="W155" s="80"/>
      <c r="X155" s="79"/>
      <c r="Y155" s="80"/>
      <c r="Z155" s="50">
        <f t="shared" si="2"/>
        <v>0</v>
      </c>
      <c r="AA155" s="60"/>
      <c r="AB155" s="60"/>
    </row>
    <row r="156" spans="1:28" x14ac:dyDescent="0.25">
      <c r="A156" s="443"/>
      <c r="B156" s="443"/>
      <c r="C156" s="443"/>
      <c r="D156" s="330"/>
      <c r="E156" s="330"/>
      <c r="F156" s="330"/>
      <c r="G156" s="330"/>
      <c r="H156" s="330"/>
      <c r="I156" s="330"/>
      <c r="J156" s="330"/>
      <c r="K156" s="330"/>
      <c r="L156" s="79"/>
      <c r="M156" s="80"/>
      <c r="N156" s="79"/>
      <c r="O156" s="80"/>
      <c r="P156" s="79"/>
      <c r="Q156" s="80"/>
      <c r="R156" s="79"/>
      <c r="S156" s="80"/>
      <c r="T156" s="79"/>
      <c r="U156" s="80"/>
      <c r="V156" s="79"/>
      <c r="W156" s="80"/>
      <c r="X156" s="79"/>
      <c r="Y156" s="80"/>
      <c r="Z156" s="50">
        <f t="shared" si="2"/>
        <v>0</v>
      </c>
      <c r="AA156" s="60"/>
      <c r="AB156" s="60"/>
    </row>
    <row r="157" spans="1:28" x14ac:dyDescent="0.25">
      <c r="A157" s="443"/>
      <c r="B157" s="443"/>
      <c r="C157" s="443"/>
      <c r="D157" s="330"/>
      <c r="E157" s="330"/>
      <c r="F157" s="330"/>
      <c r="G157" s="330"/>
      <c r="H157" s="330"/>
      <c r="I157" s="330"/>
      <c r="J157" s="330"/>
      <c r="K157" s="330"/>
      <c r="L157" s="79"/>
      <c r="M157" s="80"/>
      <c r="N157" s="79"/>
      <c r="O157" s="80"/>
      <c r="P157" s="79"/>
      <c r="Q157" s="80"/>
      <c r="R157" s="79"/>
      <c r="S157" s="80"/>
      <c r="T157" s="79"/>
      <c r="U157" s="80"/>
      <c r="V157" s="79"/>
      <c r="W157" s="80"/>
      <c r="X157" s="79"/>
      <c r="Y157" s="80"/>
      <c r="Z157" s="50">
        <f t="shared" si="2"/>
        <v>0</v>
      </c>
      <c r="AA157" s="60"/>
      <c r="AB157" s="60"/>
    </row>
    <row r="158" spans="1:28" x14ac:dyDescent="0.25">
      <c r="A158" s="443"/>
      <c r="B158" s="443"/>
      <c r="C158" s="443"/>
      <c r="D158" s="330"/>
      <c r="E158" s="330"/>
      <c r="F158" s="330"/>
      <c r="G158" s="330"/>
      <c r="H158" s="330"/>
      <c r="I158" s="330"/>
      <c r="J158" s="330"/>
      <c r="K158" s="330"/>
      <c r="L158" s="79"/>
      <c r="M158" s="80"/>
      <c r="N158" s="79"/>
      <c r="O158" s="80"/>
      <c r="P158" s="79"/>
      <c r="Q158" s="80"/>
      <c r="R158" s="79"/>
      <c r="S158" s="80"/>
      <c r="T158" s="79"/>
      <c r="U158" s="80"/>
      <c r="V158" s="79"/>
      <c r="W158" s="80"/>
      <c r="X158" s="79"/>
      <c r="Y158" s="80"/>
      <c r="Z158" s="50">
        <f t="shared" si="2"/>
        <v>0</v>
      </c>
      <c r="AA158" s="60"/>
      <c r="AB158" s="60"/>
    </row>
    <row r="159" spans="1:28" x14ac:dyDescent="0.25">
      <c r="A159" s="443"/>
      <c r="B159" s="443"/>
      <c r="C159" s="443"/>
      <c r="D159" s="330"/>
      <c r="E159" s="330"/>
      <c r="F159" s="330"/>
      <c r="G159" s="330"/>
      <c r="H159" s="330"/>
      <c r="I159" s="330"/>
      <c r="J159" s="330"/>
      <c r="K159" s="330"/>
      <c r="L159" s="79"/>
      <c r="M159" s="80"/>
      <c r="N159" s="79"/>
      <c r="O159" s="80"/>
      <c r="P159" s="79"/>
      <c r="Q159" s="80"/>
      <c r="R159" s="79"/>
      <c r="S159" s="80"/>
      <c r="T159" s="79"/>
      <c r="U159" s="80"/>
      <c r="V159" s="79"/>
      <c r="W159" s="80"/>
      <c r="X159" s="79"/>
      <c r="Y159" s="80"/>
      <c r="Z159" s="50">
        <f t="shared" si="2"/>
        <v>0</v>
      </c>
      <c r="AA159" s="60"/>
      <c r="AB159" s="60"/>
    </row>
    <row r="160" spans="1:28" x14ac:dyDescent="0.25">
      <c r="A160" s="443"/>
      <c r="B160" s="443"/>
      <c r="C160" s="443"/>
      <c r="D160" s="330"/>
      <c r="E160" s="330"/>
      <c r="F160" s="330"/>
      <c r="G160" s="330"/>
      <c r="H160" s="330"/>
      <c r="I160" s="330"/>
      <c r="J160" s="330"/>
      <c r="K160" s="330"/>
      <c r="L160" s="79"/>
      <c r="M160" s="80"/>
      <c r="N160" s="79"/>
      <c r="O160" s="80"/>
      <c r="P160" s="79"/>
      <c r="Q160" s="80"/>
      <c r="R160" s="79"/>
      <c r="S160" s="80"/>
      <c r="T160" s="79"/>
      <c r="U160" s="80"/>
      <c r="V160" s="79"/>
      <c r="W160" s="80"/>
      <c r="X160" s="79"/>
      <c r="Y160" s="80"/>
      <c r="Z160" s="50">
        <f t="shared" si="2"/>
        <v>0</v>
      </c>
      <c r="AA160" s="60"/>
      <c r="AB160" s="60"/>
    </row>
    <row r="161" spans="1:28" x14ac:dyDescent="0.25">
      <c r="A161" s="443"/>
      <c r="B161" s="443"/>
      <c r="C161" s="443"/>
      <c r="D161" s="330"/>
      <c r="E161" s="330"/>
      <c r="F161" s="330"/>
      <c r="G161" s="330"/>
      <c r="H161" s="330"/>
      <c r="I161" s="330"/>
      <c r="J161" s="330"/>
      <c r="K161" s="330"/>
      <c r="L161" s="79"/>
      <c r="M161" s="80"/>
      <c r="N161" s="79"/>
      <c r="O161" s="80"/>
      <c r="P161" s="79"/>
      <c r="Q161" s="80"/>
      <c r="R161" s="79"/>
      <c r="S161" s="80"/>
      <c r="T161" s="79"/>
      <c r="U161" s="80"/>
      <c r="V161" s="79"/>
      <c r="W161" s="80"/>
      <c r="X161" s="79"/>
      <c r="Y161" s="80"/>
      <c r="Z161" s="50">
        <f t="shared" si="2"/>
        <v>0</v>
      </c>
      <c r="AA161" s="60"/>
      <c r="AB161" s="60"/>
    </row>
    <row r="162" spans="1:28" x14ac:dyDescent="0.25">
      <c r="A162" s="443"/>
      <c r="B162" s="443"/>
      <c r="C162" s="443"/>
      <c r="D162" s="330"/>
      <c r="E162" s="330"/>
      <c r="F162" s="330"/>
      <c r="G162" s="330"/>
      <c r="H162" s="330"/>
      <c r="I162" s="330"/>
      <c r="J162" s="330"/>
      <c r="K162" s="330"/>
      <c r="L162" s="79"/>
      <c r="M162" s="80"/>
      <c r="N162" s="79"/>
      <c r="O162" s="80"/>
      <c r="P162" s="79"/>
      <c r="Q162" s="80"/>
      <c r="R162" s="79"/>
      <c r="S162" s="80"/>
      <c r="T162" s="79"/>
      <c r="U162" s="80"/>
      <c r="V162" s="79"/>
      <c r="W162" s="80"/>
      <c r="X162" s="79"/>
      <c r="Y162" s="80"/>
      <c r="Z162" s="50">
        <f t="shared" si="2"/>
        <v>0</v>
      </c>
      <c r="AA162" s="60"/>
      <c r="AB162" s="60"/>
    </row>
    <row r="163" spans="1:28" x14ac:dyDescent="0.25">
      <c r="A163" s="443"/>
      <c r="B163" s="443"/>
      <c r="C163" s="443"/>
      <c r="D163" s="330"/>
      <c r="E163" s="330"/>
      <c r="F163" s="330"/>
      <c r="G163" s="330"/>
      <c r="H163" s="330"/>
      <c r="I163" s="330"/>
      <c r="J163" s="330"/>
      <c r="K163" s="330"/>
      <c r="L163" s="79"/>
      <c r="M163" s="80"/>
      <c r="N163" s="79"/>
      <c r="O163" s="80"/>
      <c r="P163" s="79"/>
      <c r="Q163" s="80"/>
      <c r="R163" s="79"/>
      <c r="S163" s="80"/>
      <c r="T163" s="79"/>
      <c r="U163" s="80"/>
      <c r="V163" s="79"/>
      <c r="W163" s="80"/>
      <c r="X163" s="79"/>
      <c r="Y163" s="80"/>
      <c r="Z163" s="50">
        <f t="shared" si="2"/>
        <v>0</v>
      </c>
      <c r="AA163" s="60"/>
      <c r="AB163" s="60"/>
    </row>
    <row r="164" spans="1:28" x14ac:dyDescent="0.25">
      <c r="A164" s="443"/>
      <c r="B164" s="443"/>
      <c r="C164" s="443"/>
      <c r="D164" s="330"/>
      <c r="E164" s="330"/>
      <c r="F164" s="330"/>
      <c r="G164" s="330"/>
      <c r="H164" s="330"/>
      <c r="I164" s="330"/>
      <c r="J164" s="330"/>
      <c r="K164" s="330"/>
      <c r="L164" s="79"/>
      <c r="M164" s="80"/>
      <c r="N164" s="79"/>
      <c r="O164" s="80"/>
      <c r="P164" s="79"/>
      <c r="Q164" s="80"/>
      <c r="R164" s="79"/>
      <c r="S164" s="80"/>
      <c r="T164" s="79"/>
      <c r="U164" s="80"/>
      <c r="V164" s="79"/>
      <c r="W164" s="80"/>
      <c r="X164" s="79"/>
      <c r="Y164" s="80"/>
      <c r="Z164" s="50">
        <f t="shared" si="2"/>
        <v>0</v>
      </c>
      <c r="AA164" s="60"/>
      <c r="AB164" s="60"/>
    </row>
    <row r="165" spans="1:28" x14ac:dyDescent="0.25">
      <c r="A165" s="443"/>
      <c r="B165" s="443"/>
      <c r="C165" s="443"/>
      <c r="D165" s="330"/>
      <c r="E165" s="330"/>
      <c r="F165" s="330"/>
      <c r="G165" s="330"/>
      <c r="H165" s="330"/>
      <c r="I165" s="330"/>
      <c r="J165" s="330"/>
      <c r="K165" s="330"/>
      <c r="L165" s="79"/>
      <c r="M165" s="80"/>
      <c r="N165" s="79"/>
      <c r="O165" s="80"/>
      <c r="P165" s="79"/>
      <c r="Q165" s="80"/>
      <c r="R165" s="79"/>
      <c r="S165" s="80"/>
      <c r="T165" s="79"/>
      <c r="U165" s="80"/>
      <c r="V165" s="79"/>
      <c r="W165" s="80"/>
      <c r="X165" s="79"/>
      <c r="Y165" s="80"/>
      <c r="Z165" s="50">
        <f t="shared" si="2"/>
        <v>0</v>
      </c>
      <c r="AA165" s="60"/>
      <c r="AB165" s="60"/>
    </row>
    <row r="166" spans="1:28" x14ac:dyDescent="0.25">
      <c r="A166" s="443"/>
      <c r="B166" s="443"/>
      <c r="C166" s="443"/>
      <c r="D166" s="330"/>
      <c r="E166" s="330"/>
      <c r="F166" s="330"/>
      <c r="G166" s="330"/>
      <c r="H166" s="330"/>
      <c r="I166" s="330"/>
      <c r="J166" s="330"/>
      <c r="K166" s="330"/>
      <c r="L166" s="79"/>
      <c r="M166" s="80"/>
      <c r="N166" s="79"/>
      <c r="O166" s="80"/>
      <c r="P166" s="79"/>
      <c r="Q166" s="80"/>
      <c r="R166" s="79"/>
      <c r="S166" s="80"/>
      <c r="T166" s="79"/>
      <c r="U166" s="80"/>
      <c r="V166" s="79"/>
      <c r="W166" s="80"/>
      <c r="X166" s="79"/>
      <c r="Y166" s="80"/>
      <c r="Z166" s="50">
        <f t="shared" si="2"/>
        <v>0</v>
      </c>
      <c r="AA166" s="60"/>
      <c r="AB166" s="60"/>
    </row>
    <row r="167" spans="1:28" x14ac:dyDescent="0.25">
      <c r="A167" s="443"/>
      <c r="B167" s="443"/>
      <c r="C167" s="443"/>
      <c r="D167" s="330"/>
      <c r="E167" s="330"/>
      <c r="F167" s="330"/>
      <c r="G167" s="330"/>
      <c r="H167" s="330"/>
      <c r="I167" s="330"/>
      <c r="J167" s="330"/>
      <c r="K167" s="330"/>
      <c r="L167" s="79"/>
      <c r="M167" s="80"/>
      <c r="N167" s="79"/>
      <c r="O167" s="80"/>
      <c r="P167" s="79"/>
      <c r="Q167" s="80"/>
      <c r="R167" s="79"/>
      <c r="S167" s="80"/>
      <c r="T167" s="79"/>
      <c r="U167" s="80"/>
      <c r="V167" s="79"/>
      <c r="W167" s="80"/>
      <c r="X167" s="79"/>
      <c r="Y167" s="80"/>
      <c r="Z167" s="50">
        <f t="shared" si="2"/>
        <v>0</v>
      </c>
      <c r="AA167" s="60"/>
      <c r="AB167" s="60"/>
    </row>
    <row r="168" spans="1:28" x14ac:dyDescent="0.25">
      <c r="A168" s="443"/>
      <c r="B168" s="443"/>
      <c r="C168" s="443"/>
      <c r="D168" s="330"/>
      <c r="E168" s="330"/>
      <c r="F168" s="330"/>
      <c r="G168" s="330"/>
      <c r="H168" s="330"/>
      <c r="I168" s="330"/>
      <c r="J168" s="330"/>
      <c r="K168" s="330"/>
      <c r="L168" s="79"/>
      <c r="M168" s="80"/>
      <c r="N168" s="79"/>
      <c r="O168" s="80"/>
      <c r="P168" s="79"/>
      <c r="Q168" s="80"/>
      <c r="R168" s="79"/>
      <c r="S168" s="80"/>
      <c r="T168" s="79"/>
      <c r="U168" s="80"/>
      <c r="V168" s="79"/>
      <c r="W168" s="80"/>
      <c r="X168" s="79"/>
      <c r="Y168" s="80"/>
      <c r="Z168" s="50">
        <f t="shared" si="2"/>
        <v>0</v>
      </c>
      <c r="AA168" s="60"/>
      <c r="AB168" s="60"/>
    </row>
    <row r="169" spans="1:28" x14ac:dyDescent="0.25">
      <c r="A169" s="443"/>
      <c r="B169" s="443"/>
      <c r="C169" s="443"/>
      <c r="D169" s="330"/>
      <c r="E169" s="330"/>
      <c r="F169" s="330"/>
      <c r="G169" s="330"/>
      <c r="H169" s="330"/>
      <c r="I169" s="330"/>
      <c r="J169" s="330"/>
      <c r="K169" s="330"/>
      <c r="L169" s="79"/>
      <c r="M169" s="80"/>
      <c r="N169" s="79"/>
      <c r="O169" s="80"/>
      <c r="P169" s="79"/>
      <c r="Q169" s="80"/>
      <c r="R169" s="79"/>
      <c r="S169" s="80"/>
      <c r="T169" s="79"/>
      <c r="U169" s="80"/>
      <c r="V169" s="79"/>
      <c r="W169" s="80"/>
      <c r="X169" s="79"/>
      <c r="Y169" s="80"/>
      <c r="Z169" s="50">
        <f t="shared" si="2"/>
        <v>0</v>
      </c>
      <c r="AA169" s="60"/>
      <c r="AB169" s="60"/>
    </row>
    <row r="170" spans="1:28" x14ac:dyDescent="0.25">
      <c r="A170" s="443"/>
      <c r="B170" s="443"/>
      <c r="C170" s="443"/>
      <c r="D170" s="330"/>
      <c r="E170" s="330"/>
      <c r="F170" s="330"/>
      <c r="G170" s="330"/>
      <c r="H170" s="330"/>
      <c r="I170" s="330"/>
      <c r="J170" s="330"/>
      <c r="K170" s="330"/>
      <c r="L170" s="79"/>
      <c r="M170" s="80"/>
      <c r="N170" s="79"/>
      <c r="O170" s="80"/>
      <c r="P170" s="79"/>
      <c r="Q170" s="80"/>
      <c r="R170" s="79"/>
      <c r="S170" s="80"/>
      <c r="T170" s="79"/>
      <c r="U170" s="80"/>
      <c r="V170" s="79"/>
      <c r="W170" s="80"/>
      <c r="X170" s="79"/>
      <c r="Y170" s="80"/>
      <c r="Z170" s="50">
        <f t="shared" si="2"/>
        <v>0</v>
      </c>
      <c r="AA170" s="60"/>
      <c r="AB170" s="60"/>
    </row>
    <row r="171" spans="1:28" x14ac:dyDescent="0.25">
      <c r="A171" s="443"/>
      <c r="B171" s="443"/>
      <c r="C171" s="443"/>
      <c r="D171" s="330"/>
      <c r="E171" s="330"/>
      <c r="F171" s="330"/>
      <c r="G171" s="330"/>
      <c r="H171" s="330"/>
      <c r="I171" s="330"/>
      <c r="J171" s="330"/>
      <c r="K171" s="330"/>
      <c r="L171" s="79"/>
      <c r="M171" s="80"/>
      <c r="N171" s="79"/>
      <c r="O171" s="80"/>
      <c r="P171" s="79"/>
      <c r="Q171" s="80"/>
      <c r="R171" s="79"/>
      <c r="S171" s="80"/>
      <c r="T171" s="79"/>
      <c r="U171" s="80"/>
      <c r="V171" s="79"/>
      <c r="W171" s="80"/>
      <c r="X171" s="79"/>
      <c r="Y171" s="80"/>
      <c r="Z171" s="50">
        <f t="shared" si="2"/>
        <v>0</v>
      </c>
      <c r="AA171" s="60"/>
      <c r="AB171" s="60"/>
    </row>
    <row r="172" spans="1:28" x14ac:dyDescent="0.25">
      <c r="A172" s="443"/>
      <c r="B172" s="443"/>
      <c r="C172" s="443"/>
      <c r="D172" s="330"/>
      <c r="E172" s="330"/>
      <c r="F172" s="330"/>
      <c r="G172" s="330"/>
      <c r="H172" s="330"/>
      <c r="I172" s="330"/>
      <c r="J172" s="330"/>
      <c r="K172" s="330"/>
      <c r="L172" s="79"/>
      <c r="M172" s="80"/>
      <c r="N172" s="79"/>
      <c r="O172" s="80"/>
      <c r="P172" s="79"/>
      <c r="Q172" s="80"/>
      <c r="R172" s="79"/>
      <c r="S172" s="80"/>
      <c r="T172" s="79"/>
      <c r="U172" s="80"/>
      <c r="V172" s="79"/>
      <c r="W172" s="80"/>
      <c r="X172" s="79"/>
      <c r="Y172" s="80"/>
      <c r="Z172" s="50">
        <f t="shared" si="2"/>
        <v>0</v>
      </c>
      <c r="AA172" s="60"/>
      <c r="AB172" s="60"/>
    </row>
    <row r="173" spans="1:28" x14ac:dyDescent="0.25">
      <c r="A173" s="443"/>
      <c r="B173" s="443"/>
      <c r="C173" s="443"/>
      <c r="D173" s="330"/>
      <c r="E173" s="330"/>
      <c r="F173" s="330"/>
      <c r="G173" s="330"/>
      <c r="H173" s="330"/>
      <c r="I173" s="330"/>
      <c r="J173" s="330"/>
      <c r="K173" s="330"/>
      <c r="L173" s="79"/>
      <c r="M173" s="80"/>
      <c r="N173" s="79"/>
      <c r="O173" s="80"/>
      <c r="P173" s="79"/>
      <c r="Q173" s="80"/>
      <c r="R173" s="79"/>
      <c r="S173" s="80"/>
      <c r="T173" s="79"/>
      <c r="U173" s="80"/>
      <c r="V173" s="79"/>
      <c r="W173" s="80"/>
      <c r="X173" s="79"/>
      <c r="Y173" s="80"/>
      <c r="Z173" s="50">
        <f t="shared" si="2"/>
        <v>0</v>
      </c>
      <c r="AA173" s="60"/>
      <c r="AB173" s="60"/>
    </row>
    <row r="174" spans="1:28" x14ac:dyDescent="0.25">
      <c r="A174" s="443"/>
      <c r="B174" s="443"/>
      <c r="C174" s="443"/>
      <c r="D174" s="330"/>
      <c r="E174" s="330"/>
      <c r="F174" s="330"/>
      <c r="G174" s="330"/>
      <c r="H174" s="330"/>
      <c r="I174" s="330"/>
      <c r="J174" s="330"/>
      <c r="K174" s="330"/>
      <c r="L174" s="79"/>
      <c r="M174" s="80"/>
      <c r="N174" s="79"/>
      <c r="O174" s="80"/>
      <c r="P174" s="79"/>
      <c r="Q174" s="80"/>
      <c r="R174" s="79"/>
      <c r="S174" s="80"/>
      <c r="T174" s="79"/>
      <c r="U174" s="80"/>
      <c r="V174" s="79"/>
      <c r="W174" s="80"/>
      <c r="X174" s="79"/>
      <c r="Y174" s="80"/>
      <c r="Z174" s="50">
        <f t="shared" si="2"/>
        <v>0</v>
      </c>
      <c r="AA174" s="60"/>
      <c r="AB174" s="60"/>
    </row>
    <row r="175" spans="1:28" x14ac:dyDescent="0.25">
      <c r="A175" s="443"/>
      <c r="B175" s="443"/>
      <c r="C175" s="443"/>
      <c r="D175" s="330"/>
      <c r="E175" s="330"/>
      <c r="F175" s="330"/>
      <c r="G175" s="330"/>
      <c r="H175" s="330"/>
      <c r="I175" s="330"/>
      <c r="J175" s="330"/>
      <c r="K175" s="330"/>
      <c r="L175" s="79"/>
      <c r="M175" s="80"/>
      <c r="N175" s="79"/>
      <c r="O175" s="80"/>
      <c r="P175" s="79"/>
      <c r="Q175" s="80"/>
      <c r="R175" s="79"/>
      <c r="S175" s="80"/>
      <c r="T175" s="79"/>
      <c r="U175" s="80"/>
      <c r="V175" s="79"/>
      <c r="W175" s="80"/>
      <c r="X175" s="79"/>
      <c r="Y175" s="80"/>
      <c r="Z175" s="50">
        <f t="shared" si="2"/>
        <v>0</v>
      </c>
      <c r="AA175" s="60"/>
      <c r="AB175" s="60"/>
    </row>
    <row r="176" spans="1:28" x14ac:dyDescent="0.25">
      <c r="A176" s="443"/>
      <c r="B176" s="443"/>
      <c r="C176" s="443"/>
      <c r="D176" s="330"/>
      <c r="E176" s="330"/>
      <c r="F176" s="330"/>
      <c r="G176" s="330"/>
      <c r="H176" s="330"/>
      <c r="I176" s="330"/>
      <c r="J176" s="330"/>
      <c r="K176" s="330"/>
      <c r="L176" s="79"/>
      <c r="M176" s="80"/>
      <c r="N176" s="79"/>
      <c r="O176" s="80"/>
      <c r="P176" s="79"/>
      <c r="Q176" s="80"/>
      <c r="R176" s="79"/>
      <c r="S176" s="80"/>
      <c r="T176" s="79"/>
      <c r="U176" s="80"/>
      <c r="V176" s="79"/>
      <c r="W176" s="80"/>
      <c r="X176" s="79"/>
      <c r="Y176" s="80"/>
      <c r="Z176" s="50">
        <f t="shared" si="2"/>
        <v>0</v>
      </c>
      <c r="AA176" s="60"/>
      <c r="AB176" s="60"/>
    </row>
    <row r="177" spans="1:28" x14ac:dyDescent="0.25">
      <c r="A177" s="443"/>
      <c r="B177" s="443"/>
      <c r="C177" s="443"/>
      <c r="D177" s="330"/>
      <c r="E177" s="330"/>
      <c r="F177" s="330"/>
      <c r="G177" s="330"/>
      <c r="H177" s="330"/>
      <c r="I177" s="330"/>
      <c r="J177" s="330"/>
      <c r="K177" s="330"/>
      <c r="L177" s="79"/>
      <c r="M177" s="80"/>
      <c r="N177" s="79"/>
      <c r="O177" s="80"/>
      <c r="P177" s="79"/>
      <c r="Q177" s="80"/>
      <c r="R177" s="79"/>
      <c r="S177" s="80"/>
      <c r="T177" s="79"/>
      <c r="U177" s="80"/>
      <c r="V177" s="79"/>
      <c r="W177" s="80"/>
      <c r="X177" s="79"/>
      <c r="Y177" s="80"/>
      <c r="Z177" s="50">
        <f t="shared" si="2"/>
        <v>0</v>
      </c>
      <c r="AA177" s="60"/>
      <c r="AB177" s="60"/>
    </row>
    <row r="178" spans="1:28" x14ac:dyDescent="0.25">
      <c r="A178" s="443"/>
      <c r="B178" s="443"/>
      <c r="C178" s="443"/>
      <c r="D178" s="330"/>
      <c r="E178" s="330"/>
      <c r="F178" s="330"/>
      <c r="G178" s="330"/>
      <c r="H178" s="330"/>
      <c r="I178" s="330"/>
      <c r="J178" s="330"/>
      <c r="K178" s="330"/>
      <c r="L178" s="79"/>
      <c r="M178" s="80"/>
      <c r="N178" s="79"/>
      <c r="O178" s="80"/>
      <c r="P178" s="79"/>
      <c r="Q178" s="80"/>
      <c r="R178" s="79"/>
      <c r="S178" s="80"/>
      <c r="T178" s="79"/>
      <c r="U178" s="80"/>
      <c r="V178" s="79"/>
      <c r="W178" s="80"/>
      <c r="X178" s="79"/>
      <c r="Y178" s="80"/>
      <c r="Z178" s="50">
        <f t="shared" si="2"/>
        <v>0</v>
      </c>
      <c r="AA178" s="60"/>
      <c r="AB178" s="60"/>
    </row>
    <row r="179" spans="1:28" x14ac:dyDescent="0.25">
      <c r="A179" s="443"/>
      <c r="B179" s="443"/>
      <c r="C179" s="443"/>
      <c r="D179" s="330"/>
      <c r="E179" s="330"/>
      <c r="F179" s="330"/>
      <c r="G179" s="330"/>
      <c r="H179" s="330"/>
      <c r="I179" s="330"/>
      <c r="J179" s="330"/>
      <c r="K179" s="330"/>
      <c r="L179" s="79"/>
      <c r="M179" s="80"/>
      <c r="N179" s="79"/>
      <c r="O179" s="80"/>
      <c r="P179" s="79"/>
      <c r="Q179" s="80"/>
      <c r="R179" s="79"/>
      <c r="S179" s="80"/>
      <c r="T179" s="79"/>
      <c r="U179" s="80"/>
      <c r="V179" s="79"/>
      <c r="W179" s="80"/>
      <c r="X179" s="79"/>
      <c r="Y179" s="80"/>
      <c r="Z179" s="50">
        <f t="shared" si="2"/>
        <v>0</v>
      </c>
      <c r="AA179" s="60"/>
      <c r="AB179" s="60"/>
    </row>
    <row r="180" spans="1:28" x14ac:dyDescent="0.25">
      <c r="A180" s="443"/>
      <c r="B180" s="443"/>
      <c r="C180" s="443"/>
      <c r="D180" s="330"/>
      <c r="E180" s="330"/>
      <c r="F180" s="330"/>
      <c r="G180" s="330"/>
      <c r="H180" s="330"/>
      <c r="I180" s="330"/>
      <c r="J180" s="330"/>
      <c r="K180" s="330"/>
      <c r="L180" s="79"/>
      <c r="M180" s="80"/>
      <c r="N180" s="79"/>
      <c r="O180" s="80"/>
      <c r="P180" s="79"/>
      <c r="Q180" s="80"/>
      <c r="R180" s="79"/>
      <c r="S180" s="80"/>
      <c r="T180" s="79"/>
      <c r="U180" s="80"/>
      <c r="V180" s="79"/>
      <c r="W180" s="80"/>
      <c r="X180" s="79"/>
      <c r="Y180" s="80"/>
      <c r="Z180" s="50">
        <f t="shared" si="2"/>
        <v>0</v>
      </c>
      <c r="AA180" s="60"/>
      <c r="AB180" s="60"/>
    </row>
    <row r="181" spans="1:28" x14ac:dyDescent="0.25">
      <c r="A181" s="443"/>
      <c r="B181" s="443"/>
      <c r="C181" s="443"/>
      <c r="D181" s="330"/>
      <c r="E181" s="330"/>
      <c r="F181" s="330"/>
      <c r="G181" s="330"/>
      <c r="H181" s="330"/>
      <c r="I181" s="330"/>
      <c r="J181" s="330"/>
      <c r="K181" s="330"/>
      <c r="L181" s="79"/>
      <c r="M181" s="80"/>
      <c r="N181" s="79"/>
      <c r="O181" s="80"/>
      <c r="P181" s="79"/>
      <c r="Q181" s="80"/>
      <c r="R181" s="79"/>
      <c r="S181" s="80"/>
      <c r="T181" s="79"/>
      <c r="U181" s="80"/>
      <c r="V181" s="79"/>
      <c r="W181" s="80"/>
      <c r="X181" s="79"/>
      <c r="Y181" s="80"/>
      <c r="Z181" s="50">
        <f t="shared" si="2"/>
        <v>0</v>
      </c>
      <c r="AA181" s="60"/>
      <c r="AB181" s="60"/>
    </row>
    <row r="182" spans="1:28" x14ac:dyDescent="0.25">
      <c r="A182" s="443"/>
      <c r="B182" s="443"/>
      <c r="C182" s="443"/>
      <c r="D182" s="330"/>
      <c r="E182" s="330"/>
      <c r="F182" s="330"/>
      <c r="G182" s="330"/>
      <c r="H182" s="330"/>
      <c r="I182" s="330"/>
      <c r="J182" s="330"/>
      <c r="K182" s="330"/>
      <c r="L182" s="79"/>
      <c r="M182" s="80"/>
      <c r="N182" s="79"/>
      <c r="O182" s="80"/>
      <c r="P182" s="79"/>
      <c r="Q182" s="80"/>
      <c r="R182" s="79"/>
      <c r="S182" s="80"/>
      <c r="T182" s="79"/>
      <c r="U182" s="80"/>
      <c r="V182" s="79"/>
      <c r="W182" s="80"/>
      <c r="X182" s="79"/>
      <c r="Y182" s="80"/>
      <c r="Z182" s="50">
        <f t="shared" si="2"/>
        <v>0</v>
      </c>
      <c r="AA182" s="60"/>
      <c r="AB182" s="60"/>
    </row>
    <row r="183" spans="1:28" x14ac:dyDescent="0.25">
      <c r="A183" s="443"/>
      <c r="B183" s="443"/>
      <c r="C183" s="443"/>
      <c r="D183" s="330"/>
      <c r="E183" s="330"/>
      <c r="F183" s="330"/>
      <c r="G183" s="330"/>
      <c r="H183" s="330"/>
      <c r="I183" s="330"/>
      <c r="J183" s="330"/>
      <c r="K183" s="330"/>
      <c r="L183" s="79"/>
      <c r="M183" s="80"/>
      <c r="N183" s="79"/>
      <c r="O183" s="80"/>
      <c r="P183" s="79"/>
      <c r="Q183" s="80"/>
      <c r="R183" s="79"/>
      <c r="S183" s="80"/>
      <c r="T183" s="79"/>
      <c r="U183" s="80"/>
      <c r="V183" s="79"/>
      <c r="W183" s="80"/>
      <c r="X183" s="79"/>
      <c r="Y183" s="80"/>
      <c r="Z183" s="50">
        <f t="shared" si="2"/>
        <v>0</v>
      </c>
      <c r="AA183" s="60"/>
      <c r="AB183" s="60"/>
    </row>
    <row r="184" spans="1:28" x14ac:dyDescent="0.25">
      <c r="A184" s="443"/>
      <c r="B184" s="443"/>
      <c r="C184" s="443"/>
      <c r="D184" s="330"/>
      <c r="E184" s="330"/>
      <c r="F184" s="330"/>
      <c r="G184" s="330"/>
      <c r="H184" s="330"/>
      <c r="I184" s="330"/>
      <c r="J184" s="330"/>
      <c r="K184" s="330"/>
      <c r="L184" s="79"/>
      <c r="M184" s="80"/>
      <c r="N184" s="79"/>
      <c r="O184" s="80"/>
      <c r="P184" s="79"/>
      <c r="Q184" s="80"/>
      <c r="R184" s="79"/>
      <c r="S184" s="80"/>
      <c r="T184" s="79"/>
      <c r="U184" s="80"/>
      <c r="V184" s="79"/>
      <c r="W184" s="80"/>
      <c r="X184" s="79"/>
      <c r="Y184" s="80"/>
      <c r="Z184" s="50">
        <f t="shared" si="2"/>
        <v>0</v>
      </c>
      <c r="AA184" s="60"/>
      <c r="AB184" s="60"/>
    </row>
    <row r="185" spans="1:28" x14ac:dyDescent="0.25">
      <c r="A185" s="443"/>
      <c r="B185" s="443"/>
      <c r="C185" s="443"/>
      <c r="D185" s="330"/>
      <c r="E185" s="330"/>
      <c r="F185" s="330"/>
      <c r="G185" s="330"/>
      <c r="H185" s="330"/>
      <c r="I185" s="330"/>
      <c r="J185" s="330"/>
      <c r="K185" s="330"/>
      <c r="L185" s="79"/>
      <c r="M185" s="80"/>
      <c r="N185" s="79"/>
      <c r="O185" s="80"/>
      <c r="P185" s="79"/>
      <c r="Q185" s="80"/>
      <c r="R185" s="79"/>
      <c r="S185" s="80"/>
      <c r="T185" s="79"/>
      <c r="U185" s="80"/>
      <c r="V185" s="79"/>
      <c r="W185" s="80"/>
      <c r="X185" s="79"/>
      <c r="Y185" s="80"/>
      <c r="Z185" s="50">
        <f t="shared" si="2"/>
        <v>0</v>
      </c>
      <c r="AA185" s="60"/>
      <c r="AB185" s="60"/>
    </row>
    <row r="186" spans="1:28" x14ac:dyDescent="0.25">
      <c r="A186" s="443"/>
      <c r="B186" s="443"/>
      <c r="C186" s="443"/>
      <c r="D186" s="330"/>
      <c r="E186" s="330"/>
      <c r="F186" s="330"/>
      <c r="G186" s="330"/>
      <c r="H186" s="330"/>
      <c r="I186" s="330"/>
      <c r="J186" s="330"/>
      <c r="K186" s="330"/>
      <c r="L186" s="79"/>
      <c r="M186" s="80"/>
      <c r="N186" s="79"/>
      <c r="O186" s="80"/>
      <c r="P186" s="79"/>
      <c r="Q186" s="80"/>
      <c r="R186" s="79"/>
      <c r="S186" s="80"/>
      <c r="T186" s="79"/>
      <c r="U186" s="80"/>
      <c r="V186" s="79"/>
      <c r="W186" s="80"/>
      <c r="X186" s="79"/>
      <c r="Y186" s="80"/>
      <c r="Z186" s="50">
        <f t="shared" si="2"/>
        <v>0</v>
      </c>
      <c r="AA186" s="60"/>
      <c r="AB186" s="60"/>
    </row>
    <row r="187" spans="1:28" x14ac:dyDescent="0.25">
      <c r="A187" s="443"/>
      <c r="B187" s="443"/>
      <c r="C187" s="443"/>
      <c r="D187" s="330"/>
      <c r="E187" s="330"/>
      <c r="F187" s="330"/>
      <c r="G187" s="330"/>
      <c r="H187" s="330"/>
      <c r="I187" s="330"/>
      <c r="J187" s="330"/>
      <c r="K187" s="330"/>
      <c r="L187" s="79"/>
      <c r="M187" s="80"/>
      <c r="N187" s="79"/>
      <c r="O187" s="80"/>
      <c r="P187" s="79"/>
      <c r="Q187" s="80"/>
      <c r="R187" s="79"/>
      <c r="S187" s="80"/>
      <c r="T187" s="79"/>
      <c r="U187" s="80"/>
      <c r="V187" s="79"/>
      <c r="W187" s="80"/>
      <c r="X187" s="79"/>
      <c r="Y187" s="80"/>
      <c r="Z187" s="50">
        <f t="shared" si="2"/>
        <v>0</v>
      </c>
      <c r="AA187" s="60"/>
      <c r="AB187" s="60"/>
    </row>
    <row r="188" spans="1:28" x14ac:dyDescent="0.25">
      <c r="A188" s="443"/>
      <c r="B188" s="443"/>
      <c r="C188" s="443"/>
      <c r="D188" s="330"/>
      <c r="E188" s="330"/>
      <c r="F188" s="330"/>
      <c r="G188" s="330"/>
      <c r="H188" s="330"/>
      <c r="I188" s="330"/>
      <c r="J188" s="330"/>
      <c r="K188" s="330"/>
      <c r="L188" s="79"/>
      <c r="M188" s="80"/>
      <c r="N188" s="79"/>
      <c r="O188" s="80"/>
      <c r="P188" s="79"/>
      <c r="Q188" s="80"/>
      <c r="R188" s="79"/>
      <c r="S188" s="80"/>
      <c r="T188" s="79"/>
      <c r="U188" s="80"/>
      <c r="V188" s="79"/>
      <c r="W188" s="80"/>
      <c r="X188" s="79"/>
      <c r="Y188" s="80"/>
      <c r="Z188" s="50">
        <f t="shared" si="2"/>
        <v>0</v>
      </c>
      <c r="AA188" s="60"/>
      <c r="AB188" s="60"/>
    </row>
    <row r="189" spans="1:28" x14ac:dyDescent="0.25">
      <c r="A189" s="443"/>
      <c r="B189" s="443"/>
      <c r="C189" s="443"/>
      <c r="D189" s="330"/>
      <c r="E189" s="330"/>
      <c r="F189" s="330"/>
      <c r="G189" s="330"/>
      <c r="H189" s="330"/>
      <c r="I189" s="330"/>
      <c r="J189" s="330"/>
      <c r="K189" s="330"/>
      <c r="L189" s="79"/>
      <c r="M189" s="80"/>
      <c r="N189" s="79"/>
      <c r="O189" s="80"/>
      <c r="P189" s="79"/>
      <c r="Q189" s="80"/>
      <c r="R189" s="79"/>
      <c r="S189" s="80"/>
      <c r="T189" s="79"/>
      <c r="U189" s="80"/>
      <c r="V189" s="79"/>
      <c r="W189" s="80"/>
      <c r="X189" s="79"/>
      <c r="Y189" s="80"/>
      <c r="Z189" s="50">
        <f t="shared" si="2"/>
        <v>0</v>
      </c>
      <c r="AA189" s="60"/>
      <c r="AB189" s="60"/>
    </row>
    <row r="190" spans="1:28" x14ac:dyDescent="0.25">
      <c r="A190" s="443"/>
      <c r="B190" s="443"/>
      <c r="C190" s="443"/>
      <c r="D190" s="330"/>
      <c r="E190" s="330"/>
      <c r="F190" s="330"/>
      <c r="G190" s="330"/>
      <c r="H190" s="330"/>
      <c r="I190" s="330"/>
      <c r="J190" s="330"/>
      <c r="K190" s="330"/>
      <c r="L190" s="79"/>
      <c r="M190" s="80"/>
      <c r="N190" s="79"/>
      <c r="O190" s="80"/>
      <c r="P190" s="79"/>
      <c r="Q190" s="80"/>
      <c r="R190" s="79"/>
      <c r="S190" s="80"/>
      <c r="T190" s="79"/>
      <c r="U190" s="80"/>
      <c r="V190" s="79"/>
      <c r="W190" s="80"/>
      <c r="X190" s="79"/>
      <c r="Y190" s="80"/>
      <c r="Z190" s="50">
        <f t="shared" si="2"/>
        <v>0</v>
      </c>
      <c r="AA190" s="60"/>
      <c r="AB190" s="60"/>
    </row>
    <row r="191" spans="1:28" x14ac:dyDescent="0.25">
      <c r="A191" s="443"/>
      <c r="B191" s="443"/>
      <c r="C191" s="443"/>
      <c r="D191" s="330"/>
      <c r="E191" s="330"/>
      <c r="F191" s="330"/>
      <c r="G191" s="330"/>
      <c r="H191" s="330"/>
      <c r="I191" s="330"/>
      <c r="J191" s="330"/>
      <c r="K191" s="330"/>
      <c r="L191" s="79"/>
      <c r="M191" s="80"/>
      <c r="N191" s="79"/>
      <c r="O191" s="80"/>
      <c r="P191" s="79"/>
      <c r="Q191" s="80"/>
      <c r="R191" s="79"/>
      <c r="S191" s="80"/>
      <c r="T191" s="79"/>
      <c r="U191" s="80"/>
      <c r="V191" s="79"/>
      <c r="W191" s="80"/>
      <c r="X191" s="79"/>
      <c r="Y191" s="80"/>
      <c r="Z191" s="50">
        <f t="shared" si="2"/>
        <v>0</v>
      </c>
      <c r="AA191" s="60"/>
      <c r="AB191" s="60"/>
    </row>
    <row r="192" spans="1:28" x14ac:dyDescent="0.25">
      <c r="A192" s="443"/>
      <c r="B192" s="443"/>
      <c r="C192" s="443"/>
      <c r="D192" s="330"/>
      <c r="E192" s="330"/>
      <c r="F192" s="330"/>
      <c r="G192" s="330"/>
      <c r="H192" s="330"/>
      <c r="I192" s="330"/>
      <c r="J192" s="330"/>
      <c r="K192" s="330"/>
      <c r="L192" s="79"/>
      <c r="M192" s="80"/>
      <c r="N192" s="79"/>
      <c r="O192" s="80"/>
      <c r="P192" s="79"/>
      <c r="Q192" s="80"/>
      <c r="R192" s="79"/>
      <c r="S192" s="80"/>
      <c r="T192" s="79"/>
      <c r="U192" s="80"/>
      <c r="V192" s="79"/>
      <c r="W192" s="80"/>
      <c r="X192" s="79"/>
      <c r="Y192" s="80"/>
      <c r="Z192" s="50">
        <f t="shared" si="2"/>
        <v>0</v>
      </c>
      <c r="AA192" s="60"/>
      <c r="AB192" s="60"/>
    </row>
    <row r="193" spans="1:28" x14ac:dyDescent="0.25">
      <c r="A193" s="443"/>
      <c r="B193" s="443"/>
      <c r="C193" s="443"/>
      <c r="D193" s="330"/>
      <c r="E193" s="330"/>
      <c r="F193" s="330"/>
      <c r="G193" s="330"/>
      <c r="H193" s="330"/>
      <c r="I193" s="330"/>
      <c r="J193" s="330"/>
      <c r="K193" s="330"/>
      <c r="L193" s="79"/>
      <c r="M193" s="80"/>
      <c r="N193" s="79"/>
      <c r="O193" s="80"/>
      <c r="P193" s="79"/>
      <c r="Q193" s="80"/>
      <c r="R193" s="79"/>
      <c r="S193" s="80"/>
      <c r="T193" s="79"/>
      <c r="U193" s="80"/>
      <c r="V193" s="79"/>
      <c r="W193" s="80"/>
      <c r="X193" s="79"/>
      <c r="Y193" s="80"/>
      <c r="Z193" s="50">
        <f t="shared" si="2"/>
        <v>0</v>
      </c>
      <c r="AA193" s="60"/>
      <c r="AB193" s="60"/>
    </row>
    <row r="194" spans="1:28" x14ac:dyDescent="0.25">
      <c r="A194" s="443"/>
      <c r="B194" s="443"/>
      <c r="C194" s="443"/>
      <c r="D194" s="330"/>
      <c r="E194" s="330"/>
      <c r="F194" s="330"/>
      <c r="G194" s="330"/>
      <c r="H194" s="330"/>
      <c r="I194" s="330"/>
      <c r="J194" s="330"/>
      <c r="K194" s="330"/>
      <c r="L194" s="79"/>
      <c r="M194" s="80"/>
      <c r="N194" s="79"/>
      <c r="O194" s="80"/>
      <c r="P194" s="79"/>
      <c r="Q194" s="80"/>
      <c r="R194" s="79"/>
      <c r="S194" s="80"/>
      <c r="T194" s="79"/>
      <c r="U194" s="80"/>
      <c r="V194" s="79"/>
      <c r="W194" s="80"/>
      <c r="X194" s="79"/>
      <c r="Y194" s="80"/>
      <c r="Z194" s="50">
        <f t="shared" si="2"/>
        <v>0</v>
      </c>
      <c r="AA194" s="60"/>
      <c r="AB194" s="60"/>
    </row>
    <row r="195" spans="1:28" x14ac:dyDescent="0.25">
      <c r="A195" s="443"/>
      <c r="B195" s="443"/>
      <c r="C195" s="443"/>
      <c r="D195" s="330"/>
      <c r="E195" s="330"/>
      <c r="F195" s="330"/>
      <c r="G195" s="330"/>
      <c r="H195" s="330"/>
      <c r="I195" s="330"/>
      <c r="J195" s="330"/>
      <c r="K195" s="330"/>
      <c r="L195" s="79"/>
      <c r="M195" s="80"/>
      <c r="N195" s="79"/>
      <c r="O195" s="80"/>
      <c r="P195" s="79"/>
      <c r="Q195" s="80"/>
      <c r="R195" s="79"/>
      <c r="S195" s="80"/>
      <c r="T195" s="79"/>
      <c r="U195" s="80"/>
      <c r="V195" s="79"/>
      <c r="W195" s="80"/>
      <c r="X195" s="79"/>
      <c r="Y195" s="80"/>
      <c r="Z195" s="50">
        <f t="shared" si="2"/>
        <v>0</v>
      </c>
      <c r="AA195" s="60"/>
      <c r="AB195" s="60"/>
    </row>
    <row r="196" spans="1:28" x14ac:dyDescent="0.25">
      <c r="A196" s="443"/>
      <c r="B196" s="443"/>
      <c r="C196" s="443"/>
      <c r="D196" s="330"/>
      <c r="E196" s="330"/>
      <c r="F196" s="330"/>
      <c r="G196" s="330"/>
      <c r="H196" s="330"/>
      <c r="I196" s="330"/>
      <c r="J196" s="330"/>
      <c r="K196" s="330"/>
      <c r="L196" s="79"/>
      <c r="M196" s="80"/>
      <c r="N196" s="79"/>
      <c r="O196" s="80"/>
      <c r="P196" s="79"/>
      <c r="Q196" s="80"/>
      <c r="R196" s="79"/>
      <c r="S196" s="80"/>
      <c r="T196" s="79"/>
      <c r="U196" s="80"/>
      <c r="V196" s="79"/>
      <c r="W196" s="80"/>
      <c r="X196" s="79"/>
      <c r="Y196" s="80"/>
      <c r="Z196" s="50">
        <f t="shared" si="2"/>
        <v>0</v>
      </c>
      <c r="AA196" s="60"/>
      <c r="AB196" s="60"/>
    </row>
    <row r="197" spans="1:28" x14ac:dyDescent="0.25">
      <c r="A197" s="443"/>
      <c r="B197" s="443"/>
      <c r="C197" s="443"/>
      <c r="D197" s="330"/>
      <c r="E197" s="330"/>
      <c r="F197" s="330"/>
      <c r="G197" s="330"/>
      <c r="H197" s="330"/>
      <c r="I197" s="330"/>
      <c r="J197" s="330"/>
      <c r="K197" s="330"/>
      <c r="L197" s="79"/>
      <c r="M197" s="80"/>
      <c r="N197" s="79"/>
      <c r="O197" s="80"/>
      <c r="P197" s="79"/>
      <c r="Q197" s="80"/>
      <c r="R197" s="79"/>
      <c r="S197" s="80"/>
      <c r="T197" s="79"/>
      <c r="U197" s="80"/>
      <c r="V197" s="79"/>
      <c r="W197" s="80"/>
      <c r="X197" s="79"/>
      <c r="Y197" s="80"/>
      <c r="Z197" s="50">
        <f t="shared" si="2"/>
        <v>0</v>
      </c>
      <c r="AA197" s="60"/>
      <c r="AB197" s="60"/>
    </row>
    <row r="198" spans="1:28" x14ac:dyDescent="0.25">
      <c r="A198" s="443"/>
      <c r="B198" s="443"/>
      <c r="C198" s="443"/>
      <c r="D198" s="330"/>
      <c r="E198" s="330"/>
      <c r="F198" s="330"/>
      <c r="G198" s="330"/>
      <c r="H198" s="330"/>
      <c r="I198" s="330"/>
      <c r="J198" s="330"/>
      <c r="K198" s="330"/>
      <c r="L198" s="79"/>
      <c r="M198" s="80"/>
      <c r="N198" s="79"/>
      <c r="O198" s="80"/>
      <c r="P198" s="79"/>
      <c r="Q198" s="80"/>
      <c r="R198" s="79"/>
      <c r="S198" s="80"/>
      <c r="T198" s="79"/>
      <c r="U198" s="80"/>
      <c r="V198" s="79"/>
      <c r="W198" s="80"/>
      <c r="X198" s="79"/>
      <c r="Y198" s="80"/>
      <c r="Z198" s="50">
        <f t="shared" si="2"/>
        <v>0</v>
      </c>
      <c r="AA198" s="60"/>
      <c r="AB198" s="60"/>
    </row>
    <row r="199" spans="1:28" x14ac:dyDescent="0.25">
      <c r="A199" s="443"/>
      <c r="B199" s="443"/>
      <c r="C199" s="443"/>
      <c r="D199" s="330"/>
      <c r="E199" s="330"/>
      <c r="F199" s="330"/>
      <c r="G199" s="330"/>
      <c r="H199" s="330"/>
      <c r="I199" s="330"/>
      <c r="J199" s="330"/>
      <c r="K199" s="330"/>
      <c r="L199" s="79"/>
      <c r="M199" s="80"/>
      <c r="N199" s="79"/>
      <c r="O199" s="80"/>
      <c r="P199" s="79"/>
      <c r="Q199" s="80"/>
      <c r="R199" s="79"/>
      <c r="S199" s="80"/>
      <c r="T199" s="79"/>
      <c r="U199" s="80"/>
      <c r="V199" s="79"/>
      <c r="W199" s="80"/>
      <c r="X199" s="79"/>
      <c r="Y199" s="80"/>
      <c r="Z199" s="50">
        <f t="shared" si="2"/>
        <v>0</v>
      </c>
      <c r="AA199" s="60"/>
      <c r="AB199" s="60"/>
    </row>
    <row r="200" spans="1:28" x14ac:dyDescent="0.25">
      <c r="A200" s="443"/>
      <c r="B200" s="443"/>
      <c r="C200" s="443"/>
      <c r="D200" s="330"/>
      <c r="E200" s="330"/>
      <c r="F200" s="330"/>
      <c r="G200" s="330"/>
      <c r="H200" s="330"/>
      <c r="I200" s="330"/>
      <c r="J200" s="330"/>
      <c r="K200" s="330"/>
      <c r="L200" s="79"/>
      <c r="M200" s="80"/>
      <c r="N200" s="79"/>
      <c r="O200" s="80"/>
      <c r="P200" s="79"/>
      <c r="Q200" s="80"/>
      <c r="R200" s="79"/>
      <c r="S200" s="80"/>
      <c r="T200" s="79"/>
      <c r="U200" s="80"/>
      <c r="V200" s="79"/>
      <c r="W200" s="80"/>
      <c r="X200" s="79"/>
      <c r="Y200" s="80"/>
      <c r="Z200" s="50">
        <f t="shared" si="2"/>
        <v>0</v>
      </c>
      <c r="AA200" s="60"/>
      <c r="AB200" s="60"/>
    </row>
    <row r="201" spans="1:28" x14ac:dyDescent="0.25">
      <c r="A201" s="443"/>
      <c r="B201" s="443"/>
      <c r="C201" s="443"/>
      <c r="D201" s="330"/>
      <c r="E201" s="330"/>
      <c r="F201" s="330"/>
      <c r="G201" s="330"/>
      <c r="H201" s="330"/>
      <c r="I201" s="330"/>
      <c r="J201" s="330"/>
      <c r="K201" s="330"/>
      <c r="L201" s="79"/>
      <c r="M201" s="80"/>
      <c r="N201" s="79"/>
      <c r="O201" s="80"/>
      <c r="P201" s="79"/>
      <c r="Q201" s="80"/>
      <c r="R201" s="79"/>
      <c r="S201" s="80"/>
      <c r="T201" s="79"/>
      <c r="U201" s="80"/>
      <c r="V201" s="79"/>
      <c r="W201" s="80"/>
      <c r="X201" s="79"/>
      <c r="Y201" s="80"/>
      <c r="Z201" s="50">
        <f t="shared" si="2"/>
        <v>0</v>
      </c>
      <c r="AA201" s="60"/>
      <c r="AB201" s="60"/>
    </row>
    <row r="202" spans="1:28" x14ac:dyDescent="0.25">
      <c r="A202" s="443"/>
      <c r="B202" s="443"/>
      <c r="C202" s="443"/>
      <c r="D202" s="330"/>
      <c r="E202" s="330"/>
      <c r="F202" s="330"/>
      <c r="G202" s="330"/>
      <c r="H202" s="330"/>
      <c r="I202" s="330"/>
      <c r="J202" s="330"/>
      <c r="K202" s="330"/>
      <c r="L202" s="79"/>
      <c r="M202" s="80"/>
      <c r="N202" s="79"/>
      <c r="O202" s="80"/>
      <c r="P202" s="79"/>
      <c r="Q202" s="80"/>
      <c r="R202" s="79"/>
      <c r="S202" s="80"/>
      <c r="T202" s="79"/>
      <c r="U202" s="80"/>
      <c r="V202" s="79"/>
      <c r="W202" s="80"/>
      <c r="X202" s="79"/>
      <c r="Y202" s="80"/>
      <c r="Z202" s="50">
        <f t="shared" ref="Z202:Z265" si="3">SUM(L202:Y202)</f>
        <v>0</v>
      </c>
      <c r="AA202" s="60"/>
      <c r="AB202" s="60"/>
    </row>
    <row r="203" spans="1:28" x14ac:dyDescent="0.25">
      <c r="A203" s="443"/>
      <c r="B203" s="443"/>
      <c r="C203" s="443"/>
      <c r="D203" s="330"/>
      <c r="E203" s="330"/>
      <c r="F203" s="330"/>
      <c r="G203" s="330"/>
      <c r="H203" s="330"/>
      <c r="I203" s="330"/>
      <c r="J203" s="330"/>
      <c r="K203" s="330"/>
      <c r="L203" s="79"/>
      <c r="M203" s="80"/>
      <c r="N203" s="79"/>
      <c r="O203" s="80"/>
      <c r="P203" s="79"/>
      <c r="Q203" s="80"/>
      <c r="R203" s="79"/>
      <c r="S203" s="80"/>
      <c r="T203" s="79"/>
      <c r="U203" s="80"/>
      <c r="V203" s="79"/>
      <c r="W203" s="80"/>
      <c r="X203" s="79"/>
      <c r="Y203" s="80"/>
      <c r="Z203" s="50">
        <f t="shared" si="3"/>
        <v>0</v>
      </c>
      <c r="AA203" s="60"/>
      <c r="AB203" s="60"/>
    </row>
    <row r="204" spans="1:28" x14ac:dyDescent="0.25">
      <c r="A204" s="443"/>
      <c r="B204" s="443"/>
      <c r="C204" s="443"/>
      <c r="D204" s="330"/>
      <c r="E204" s="330"/>
      <c r="F204" s="330"/>
      <c r="G204" s="330"/>
      <c r="H204" s="330"/>
      <c r="I204" s="330"/>
      <c r="J204" s="330"/>
      <c r="K204" s="330"/>
      <c r="L204" s="79"/>
      <c r="M204" s="80"/>
      <c r="N204" s="79"/>
      <c r="O204" s="80"/>
      <c r="P204" s="79"/>
      <c r="Q204" s="80"/>
      <c r="R204" s="79"/>
      <c r="S204" s="80"/>
      <c r="T204" s="79"/>
      <c r="U204" s="80"/>
      <c r="V204" s="79"/>
      <c r="W204" s="80"/>
      <c r="X204" s="79"/>
      <c r="Y204" s="80"/>
      <c r="Z204" s="50">
        <f t="shared" si="3"/>
        <v>0</v>
      </c>
      <c r="AA204" s="60"/>
      <c r="AB204" s="60"/>
    </row>
    <row r="205" spans="1:28" x14ac:dyDescent="0.25">
      <c r="A205" s="443"/>
      <c r="B205" s="443"/>
      <c r="C205" s="443"/>
      <c r="D205" s="330"/>
      <c r="E205" s="330"/>
      <c r="F205" s="330"/>
      <c r="G205" s="330"/>
      <c r="H205" s="330"/>
      <c r="I205" s="330"/>
      <c r="J205" s="330"/>
      <c r="K205" s="330"/>
      <c r="L205" s="79"/>
      <c r="M205" s="80"/>
      <c r="N205" s="79"/>
      <c r="O205" s="80"/>
      <c r="P205" s="79"/>
      <c r="Q205" s="80"/>
      <c r="R205" s="79"/>
      <c r="S205" s="80"/>
      <c r="T205" s="79"/>
      <c r="U205" s="80"/>
      <c r="V205" s="79"/>
      <c r="W205" s="80"/>
      <c r="X205" s="79"/>
      <c r="Y205" s="80"/>
      <c r="Z205" s="50">
        <f t="shared" si="3"/>
        <v>0</v>
      </c>
      <c r="AA205" s="60"/>
      <c r="AB205" s="60"/>
    </row>
    <row r="206" spans="1:28" x14ac:dyDescent="0.25">
      <c r="A206" s="443"/>
      <c r="B206" s="443"/>
      <c r="C206" s="443"/>
      <c r="D206" s="330"/>
      <c r="E206" s="330"/>
      <c r="F206" s="330"/>
      <c r="G206" s="330"/>
      <c r="H206" s="330"/>
      <c r="I206" s="330"/>
      <c r="J206" s="330"/>
      <c r="K206" s="330"/>
      <c r="L206" s="79"/>
      <c r="M206" s="80"/>
      <c r="N206" s="79"/>
      <c r="O206" s="80"/>
      <c r="P206" s="79"/>
      <c r="Q206" s="80"/>
      <c r="R206" s="79"/>
      <c r="S206" s="80"/>
      <c r="T206" s="79"/>
      <c r="U206" s="80"/>
      <c r="V206" s="79"/>
      <c r="W206" s="80"/>
      <c r="X206" s="79"/>
      <c r="Y206" s="80"/>
      <c r="Z206" s="50">
        <f t="shared" si="3"/>
        <v>0</v>
      </c>
      <c r="AA206" s="60"/>
      <c r="AB206" s="60"/>
    </row>
    <row r="207" spans="1:28" x14ac:dyDescent="0.25">
      <c r="A207" s="443"/>
      <c r="B207" s="443"/>
      <c r="C207" s="443"/>
      <c r="D207" s="330"/>
      <c r="E207" s="330"/>
      <c r="F207" s="330"/>
      <c r="G207" s="330"/>
      <c r="H207" s="330"/>
      <c r="I207" s="330"/>
      <c r="J207" s="330"/>
      <c r="K207" s="330"/>
      <c r="L207" s="79"/>
      <c r="M207" s="80"/>
      <c r="N207" s="79"/>
      <c r="O207" s="80"/>
      <c r="P207" s="79"/>
      <c r="Q207" s="80"/>
      <c r="R207" s="79"/>
      <c r="S207" s="80"/>
      <c r="T207" s="79"/>
      <c r="U207" s="80"/>
      <c r="V207" s="79"/>
      <c r="W207" s="80"/>
      <c r="X207" s="79"/>
      <c r="Y207" s="80"/>
      <c r="Z207" s="50">
        <f t="shared" si="3"/>
        <v>0</v>
      </c>
      <c r="AA207" s="60"/>
      <c r="AB207" s="60"/>
    </row>
    <row r="208" spans="1:28" x14ac:dyDescent="0.25">
      <c r="A208" s="443"/>
      <c r="B208" s="443"/>
      <c r="C208" s="443"/>
      <c r="D208" s="330"/>
      <c r="E208" s="330"/>
      <c r="F208" s="330"/>
      <c r="G208" s="330"/>
      <c r="H208" s="330"/>
      <c r="I208" s="330"/>
      <c r="J208" s="330"/>
      <c r="K208" s="330"/>
      <c r="L208" s="79"/>
      <c r="M208" s="80"/>
      <c r="N208" s="79"/>
      <c r="O208" s="80"/>
      <c r="P208" s="79"/>
      <c r="Q208" s="80"/>
      <c r="R208" s="79"/>
      <c r="S208" s="80"/>
      <c r="T208" s="79"/>
      <c r="U208" s="80"/>
      <c r="V208" s="79"/>
      <c r="W208" s="80"/>
      <c r="X208" s="79"/>
      <c r="Y208" s="80"/>
      <c r="Z208" s="50">
        <f t="shared" si="3"/>
        <v>0</v>
      </c>
      <c r="AA208" s="60"/>
      <c r="AB208" s="60"/>
    </row>
    <row r="209" spans="1:28" x14ac:dyDescent="0.25">
      <c r="A209" s="443"/>
      <c r="B209" s="443"/>
      <c r="C209" s="443"/>
      <c r="D209" s="330"/>
      <c r="E209" s="330"/>
      <c r="F209" s="330"/>
      <c r="G209" s="330"/>
      <c r="H209" s="330"/>
      <c r="I209" s="330"/>
      <c r="J209" s="330"/>
      <c r="K209" s="330"/>
      <c r="L209" s="79"/>
      <c r="M209" s="80"/>
      <c r="N209" s="79"/>
      <c r="O209" s="80"/>
      <c r="P209" s="79"/>
      <c r="Q209" s="80"/>
      <c r="R209" s="79"/>
      <c r="S209" s="80"/>
      <c r="T209" s="79"/>
      <c r="U209" s="80"/>
      <c r="V209" s="79"/>
      <c r="W209" s="80"/>
      <c r="X209" s="79"/>
      <c r="Y209" s="80"/>
      <c r="Z209" s="50">
        <f t="shared" si="3"/>
        <v>0</v>
      </c>
      <c r="AA209" s="60"/>
      <c r="AB209" s="60"/>
    </row>
    <row r="210" spans="1:28" x14ac:dyDescent="0.25">
      <c r="A210" s="443"/>
      <c r="B210" s="443"/>
      <c r="C210" s="443"/>
      <c r="D210" s="330"/>
      <c r="E210" s="330"/>
      <c r="F210" s="330"/>
      <c r="G210" s="330"/>
      <c r="H210" s="330"/>
      <c r="I210" s="330"/>
      <c r="J210" s="330"/>
      <c r="K210" s="330"/>
      <c r="L210" s="79"/>
      <c r="M210" s="80"/>
      <c r="N210" s="79"/>
      <c r="O210" s="80"/>
      <c r="P210" s="79"/>
      <c r="Q210" s="80"/>
      <c r="R210" s="79"/>
      <c r="S210" s="80"/>
      <c r="T210" s="79"/>
      <c r="U210" s="80"/>
      <c r="V210" s="79"/>
      <c r="W210" s="80"/>
      <c r="X210" s="79"/>
      <c r="Y210" s="80"/>
      <c r="Z210" s="50">
        <f t="shared" si="3"/>
        <v>0</v>
      </c>
      <c r="AA210" s="60"/>
      <c r="AB210" s="60"/>
    </row>
    <row r="211" spans="1:28" x14ac:dyDescent="0.25">
      <c r="A211" s="443"/>
      <c r="B211" s="443"/>
      <c r="C211" s="443"/>
      <c r="D211" s="330"/>
      <c r="E211" s="330"/>
      <c r="F211" s="330"/>
      <c r="G211" s="330"/>
      <c r="H211" s="330"/>
      <c r="I211" s="330"/>
      <c r="J211" s="330"/>
      <c r="K211" s="330"/>
      <c r="L211" s="79"/>
      <c r="M211" s="80"/>
      <c r="N211" s="79"/>
      <c r="O211" s="80"/>
      <c r="P211" s="79"/>
      <c r="Q211" s="80"/>
      <c r="R211" s="79"/>
      <c r="S211" s="80"/>
      <c r="T211" s="79"/>
      <c r="U211" s="80"/>
      <c r="V211" s="79"/>
      <c r="W211" s="80"/>
      <c r="X211" s="79"/>
      <c r="Y211" s="80"/>
      <c r="Z211" s="50">
        <f t="shared" si="3"/>
        <v>0</v>
      </c>
      <c r="AA211" s="60"/>
      <c r="AB211" s="60"/>
    </row>
    <row r="212" spans="1:28" x14ac:dyDescent="0.25">
      <c r="A212" s="443"/>
      <c r="B212" s="443"/>
      <c r="C212" s="443"/>
      <c r="D212" s="330"/>
      <c r="E212" s="330"/>
      <c r="F212" s="330"/>
      <c r="G212" s="330"/>
      <c r="H212" s="330"/>
      <c r="I212" s="330"/>
      <c r="J212" s="330"/>
      <c r="K212" s="330"/>
      <c r="L212" s="79"/>
      <c r="M212" s="80"/>
      <c r="N212" s="79"/>
      <c r="O212" s="80"/>
      <c r="P212" s="79"/>
      <c r="Q212" s="80"/>
      <c r="R212" s="79"/>
      <c r="S212" s="80"/>
      <c r="T212" s="79"/>
      <c r="U212" s="80"/>
      <c r="V212" s="79"/>
      <c r="W212" s="80"/>
      <c r="X212" s="79"/>
      <c r="Y212" s="80"/>
      <c r="Z212" s="50">
        <f t="shared" si="3"/>
        <v>0</v>
      </c>
      <c r="AA212" s="60"/>
      <c r="AB212" s="60"/>
    </row>
    <row r="213" spans="1:28" x14ac:dyDescent="0.25">
      <c r="A213" s="443"/>
      <c r="B213" s="443"/>
      <c r="C213" s="443"/>
      <c r="D213" s="330"/>
      <c r="E213" s="330"/>
      <c r="F213" s="330"/>
      <c r="G213" s="330"/>
      <c r="H213" s="330"/>
      <c r="I213" s="330"/>
      <c r="J213" s="330"/>
      <c r="K213" s="330"/>
      <c r="L213" s="79"/>
      <c r="M213" s="80"/>
      <c r="N213" s="79"/>
      <c r="O213" s="80"/>
      <c r="P213" s="79"/>
      <c r="Q213" s="80"/>
      <c r="R213" s="79"/>
      <c r="S213" s="80"/>
      <c r="T213" s="79"/>
      <c r="U213" s="80"/>
      <c r="V213" s="79"/>
      <c r="W213" s="80"/>
      <c r="X213" s="79"/>
      <c r="Y213" s="80"/>
      <c r="Z213" s="50">
        <f t="shared" si="3"/>
        <v>0</v>
      </c>
      <c r="AA213" s="60"/>
      <c r="AB213" s="60"/>
    </row>
    <row r="214" spans="1:28" x14ac:dyDescent="0.25">
      <c r="A214" s="443"/>
      <c r="B214" s="443"/>
      <c r="C214" s="443"/>
      <c r="D214" s="330"/>
      <c r="E214" s="330"/>
      <c r="F214" s="330"/>
      <c r="G214" s="330"/>
      <c r="H214" s="330"/>
      <c r="I214" s="330"/>
      <c r="J214" s="330"/>
      <c r="K214" s="330"/>
      <c r="L214" s="79"/>
      <c r="M214" s="80"/>
      <c r="N214" s="79"/>
      <c r="O214" s="80"/>
      <c r="P214" s="79"/>
      <c r="Q214" s="80"/>
      <c r="R214" s="79"/>
      <c r="S214" s="80"/>
      <c r="T214" s="79"/>
      <c r="U214" s="80"/>
      <c r="V214" s="79"/>
      <c r="W214" s="80"/>
      <c r="X214" s="79"/>
      <c r="Y214" s="80"/>
      <c r="Z214" s="50">
        <f t="shared" si="3"/>
        <v>0</v>
      </c>
      <c r="AA214" s="60"/>
      <c r="AB214" s="60"/>
    </row>
    <row r="215" spans="1:28" x14ac:dyDescent="0.25">
      <c r="A215" s="443"/>
      <c r="B215" s="443"/>
      <c r="C215" s="443"/>
      <c r="D215" s="330"/>
      <c r="E215" s="330"/>
      <c r="F215" s="330"/>
      <c r="G215" s="330"/>
      <c r="H215" s="330"/>
      <c r="I215" s="330"/>
      <c r="J215" s="330"/>
      <c r="K215" s="330"/>
      <c r="L215" s="79"/>
      <c r="M215" s="80"/>
      <c r="N215" s="79"/>
      <c r="O215" s="80"/>
      <c r="P215" s="79"/>
      <c r="Q215" s="80"/>
      <c r="R215" s="79"/>
      <c r="S215" s="80"/>
      <c r="T215" s="79"/>
      <c r="U215" s="80"/>
      <c r="V215" s="79"/>
      <c r="W215" s="80"/>
      <c r="X215" s="79"/>
      <c r="Y215" s="80"/>
      <c r="Z215" s="50">
        <f t="shared" si="3"/>
        <v>0</v>
      </c>
      <c r="AA215" s="60"/>
      <c r="AB215" s="60"/>
    </row>
    <row r="216" spans="1:28" x14ac:dyDescent="0.25">
      <c r="A216" s="443"/>
      <c r="B216" s="443"/>
      <c r="C216" s="443"/>
      <c r="D216" s="330"/>
      <c r="E216" s="330"/>
      <c r="F216" s="330"/>
      <c r="G216" s="330"/>
      <c r="H216" s="330"/>
      <c r="I216" s="330"/>
      <c r="J216" s="330"/>
      <c r="K216" s="330"/>
      <c r="L216" s="79"/>
      <c r="M216" s="80"/>
      <c r="N216" s="79"/>
      <c r="O216" s="80"/>
      <c r="P216" s="79"/>
      <c r="Q216" s="80"/>
      <c r="R216" s="79"/>
      <c r="S216" s="80"/>
      <c r="T216" s="79"/>
      <c r="U216" s="80"/>
      <c r="V216" s="79"/>
      <c r="W216" s="80"/>
      <c r="X216" s="79"/>
      <c r="Y216" s="80"/>
      <c r="Z216" s="50">
        <f t="shared" si="3"/>
        <v>0</v>
      </c>
      <c r="AA216" s="60"/>
      <c r="AB216" s="60"/>
    </row>
    <row r="217" spans="1:28" x14ac:dyDescent="0.25">
      <c r="A217" s="443"/>
      <c r="B217" s="443"/>
      <c r="C217" s="443"/>
      <c r="D217" s="330"/>
      <c r="E217" s="330"/>
      <c r="F217" s="330"/>
      <c r="G217" s="330"/>
      <c r="H217" s="330"/>
      <c r="I217" s="330"/>
      <c r="J217" s="330"/>
      <c r="K217" s="330"/>
      <c r="L217" s="79"/>
      <c r="M217" s="80"/>
      <c r="N217" s="79"/>
      <c r="O217" s="80"/>
      <c r="P217" s="79"/>
      <c r="Q217" s="80"/>
      <c r="R217" s="79"/>
      <c r="S217" s="80"/>
      <c r="T217" s="79"/>
      <c r="U217" s="80"/>
      <c r="V217" s="79"/>
      <c r="W217" s="80"/>
      <c r="X217" s="79"/>
      <c r="Y217" s="80"/>
      <c r="Z217" s="50">
        <f t="shared" si="3"/>
        <v>0</v>
      </c>
      <c r="AA217" s="60"/>
      <c r="AB217" s="60"/>
    </row>
    <row r="218" spans="1:28" x14ac:dyDescent="0.25">
      <c r="A218" s="443"/>
      <c r="B218" s="443"/>
      <c r="C218" s="443"/>
      <c r="D218" s="330"/>
      <c r="E218" s="330"/>
      <c r="F218" s="330"/>
      <c r="G218" s="330"/>
      <c r="H218" s="330"/>
      <c r="I218" s="330"/>
      <c r="J218" s="330"/>
      <c r="K218" s="330"/>
      <c r="L218" s="79"/>
      <c r="M218" s="80"/>
      <c r="N218" s="79"/>
      <c r="O218" s="80"/>
      <c r="P218" s="79"/>
      <c r="Q218" s="80"/>
      <c r="R218" s="79"/>
      <c r="S218" s="80"/>
      <c r="T218" s="79"/>
      <c r="U218" s="80"/>
      <c r="V218" s="79"/>
      <c r="W218" s="80"/>
      <c r="X218" s="79"/>
      <c r="Y218" s="80"/>
      <c r="Z218" s="50">
        <f t="shared" si="3"/>
        <v>0</v>
      </c>
      <c r="AA218" s="60"/>
      <c r="AB218" s="60"/>
    </row>
    <row r="219" spans="1:28" x14ac:dyDescent="0.25">
      <c r="A219" s="443"/>
      <c r="B219" s="443"/>
      <c r="C219" s="443"/>
      <c r="D219" s="330"/>
      <c r="E219" s="330"/>
      <c r="F219" s="330"/>
      <c r="G219" s="330"/>
      <c r="H219" s="330"/>
      <c r="I219" s="330"/>
      <c r="J219" s="330"/>
      <c r="K219" s="330"/>
      <c r="L219" s="79"/>
      <c r="M219" s="80"/>
      <c r="N219" s="79"/>
      <c r="O219" s="80"/>
      <c r="P219" s="79"/>
      <c r="Q219" s="80"/>
      <c r="R219" s="79"/>
      <c r="S219" s="80"/>
      <c r="T219" s="79"/>
      <c r="U219" s="80"/>
      <c r="V219" s="79"/>
      <c r="W219" s="80"/>
      <c r="X219" s="79"/>
      <c r="Y219" s="80"/>
      <c r="Z219" s="50">
        <f t="shared" si="3"/>
        <v>0</v>
      </c>
      <c r="AA219" s="60"/>
      <c r="AB219" s="60"/>
    </row>
    <row r="220" spans="1:28" x14ac:dyDescent="0.25">
      <c r="A220" s="443"/>
      <c r="B220" s="443"/>
      <c r="C220" s="443"/>
      <c r="D220" s="330"/>
      <c r="E220" s="330"/>
      <c r="F220" s="330"/>
      <c r="G220" s="330"/>
      <c r="H220" s="330"/>
      <c r="I220" s="330"/>
      <c r="J220" s="330"/>
      <c r="K220" s="330"/>
      <c r="L220" s="79"/>
      <c r="M220" s="80"/>
      <c r="N220" s="79"/>
      <c r="O220" s="80"/>
      <c r="P220" s="79"/>
      <c r="Q220" s="80"/>
      <c r="R220" s="79"/>
      <c r="S220" s="80"/>
      <c r="T220" s="79"/>
      <c r="U220" s="80"/>
      <c r="V220" s="79"/>
      <c r="W220" s="80"/>
      <c r="X220" s="79"/>
      <c r="Y220" s="80"/>
      <c r="Z220" s="50">
        <f t="shared" si="3"/>
        <v>0</v>
      </c>
      <c r="AA220" s="60"/>
      <c r="AB220" s="60"/>
    </row>
    <row r="221" spans="1:28" x14ac:dyDescent="0.25">
      <c r="A221" s="443"/>
      <c r="B221" s="443"/>
      <c r="C221" s="443"/>
      <c r="D221" s="330"/>
      <c r="E221" s="330"/>
      <c r="F221" s="330"/>
      <c r="G221" s="330"/>
      <c r="H221" s="330"/>
      <c r="I221" s="330"/>
      <c r="J221" s="330"/>
      <c r="K221" s="330"/>
      <c r="L221" s="79"/>
      <c r="M221" s="80"/>
      <c r="N221" s="79"/>
      <c r="O221" s="80"/>
      <c r="P221" s="79"/>
      <c r="Q221" s="80"/>
      <c r="R221" s="79"/>
      <c r="S221" s="80"/>
      <c r="T221" s="79"/>
      <c r="U221" s="80"/>
      <c r="V221" s="79"/>
      <c r="W221" s="80"/>
      <c r="X221" s="79"/>
      <c r="Y221" s="80"/>
      <c r="Z221" s="50">
        <f t="shared" si="3"/>
        <v>0</v>
      </c>
      <c r="AA221" s="60"/>
      <c r="AB221" s="60"/>
    </row>
    <row r="222" spans="1:28" x14ac:dyDescent="0.25">
      <c r="A222" s="443"/>
      <c r="B222" s="443"/>
      <c r="C222" s="443"/>
      <c r="D222" s="330"/>
      <c r="E222" s="330"/>
      <c r="F222" s="330"/>
      <c r="G222" s="330"/>
      <c r="H222" s="330"/>
      <c r="I222" s="330"/>
      <c r="J222" s="330"/>
      <c r="K222" s="330"/>
      <c r="L222" s="79"/>
      <c r="M222" s="80"/>
      <c r="N222" s="79"/>
      <c r="O222" s="80"/>
      <c r="P222" s="79"/>
      <c r="Q222" s="80"/>
      <c r="R222" s="79"/>
      <c r="S222" s="80"/>
      <c r="T222" s="79"/>
      <c r="U222" s="80"/>
      <c r="V222" s="79"/>
      <c r="W222" s="80"/>
      <c r="X222" s="79"/>
      <c r="Y222" s="80"/>
      <c r="Z222" s="50">
        <f t="shared" si="3"/>
        <v>0</v>
      </c>
      <c r="AA222" s="60"/>
      <c r="AB222" s="60"/>
    </row>
    <row r="223" spans="1:28" x14ac:dyDescent="0.25">
      <c r="A223" s="443"/>
      <c r="B223" s="443"/>
      <c r="C223" s="443"/>
      <c r="D223" s="330"/>
      <c r="E223" s="330"/>
      <c r="F223" s="330"/>
      <c r="G223" s="330"/>
      <c r="H223" s="330"/>
      <c r="I223" s="330"/>
      <c r="J223" s="330"/>
      <c r="K223" s="330"/>
      <c r="L223" s="79"/>
      <c r="M223" s="80"/>
      <c r="N223" s="79"/>
      <c r="O223" s="80"/>
      <c r="P223" s="79"/>
      <c r="Q223" s="80"/>
      <c r="R223" s="79"/>
      <c r="S223" s="80"/>
      <c r="T223" s="79"/>
      <c r="U223" s="80"/>
      <c r="V223" s="79"/>
      <c r="W223" s="80"/>
      <c r="X223" s="79"/>
      <c r="Y223" s="80"/>
      <c r="Z223" s="50">
        <f t="shared" si="3"/>
        <v>0</v>
      </c>
      <c r="AA223" s="60"/>
      <c r="AB223" s="60"/>
    </row>
    <row r="224" spans="1:28" x14ac:dyDescent="0.25">
      <c r="A224" s="443"/>
      <c r="B224" s="443"/>
      <c r="C224" s="443"/>
      <c r="D224" s="330"/>
      <c r="E224" s="330"/>
      <c r="F224" s="330"/>
      <c r="G224" s="330"/>
      <c r="H224" s="330"/>
      <c r="I224" s="330"/>
      <c r="J224" s="330"/>
      <c r="K224" s="330"/>
      <c r="L224" s="79"/>
      <c r="M224" s="80"/>
      <c r="N224" s="79"/>
      <c r="O224" s="80"/>
      <c r="P224" s="79"/>
      <c r="Q224" s="80"/>
      <c r="R224" s="79"/>
      <c r="S224" s="80"/>
      <c r="T224" s="79"/>
      <c r="U224" s="80"/>
      <c r="V224" s="79"/>
      <c r="W224" s="80"/>
      <c r="X224" s="79"/>
      <c r="Y224" s="80"/>
      <c r="Z224" s="50">
        <f t="shared" si="3"/>
        <v>0</v>
      </c>
      <c r="AA224" s="60"/>
      <c r="AB224" s="60"/>
    </row>
    <row r="225" spans="1:28" x14ac:dyDescent="0.25">
      <c r="A225" s="443"/>
      <c r="B225" s="443"/>
      <c r="C225" s="443"/>
      <c r="D225" s="330"/>
      <c r="E225" s="330"/>
      <c r="F225" s="330"/>
      <c r="G225" s="330"/>
      <c r="H225" s="330"/>
      <c r="I225" s="330"/>
      <c r="J225" s="330"/>
      <c r="K225" s="330"/>
      <c r="L225" s="79"/>
      <c r="M225" s="80"/>
      <c r="N225" s="79"/>
      <c r="O225" s="80"/>
      <c r="P225" s="79"/>
      <c r="Q225" s="80"/>
      <c r="R225" s="79"/>
      <c r="S225" s="80"/>
      <c r="T225" s="79"/>
      <c r="U225" s="80"/>
      <c r="V225" s="79"/>
      <c r="W225" s="80"/>
      <c r="X225" s="79"/>
      <c r="Y225" s="80"/>
      <c r="Z225" s="50">
        <f t="shared" si="3"/>
        <v>0</v>
      </c>
      <c r="AA225" s="60"/>
      <c r="AB225" s="60"/>
    </row>
    <row r="226" spans="1:28" x14ac:dyDescent="0.25">
      <c r="A226" s="443"/>
      <c r="B226" s="443"/>
      <c r="C226" s="443"/>
      <c r="D226" s="330"/>
      <c r="E226" s="330"/>
      <c r="F226" s="330"/>
      <c r="G226" s="330"/>
      <c r="H226" s="330"/>
      <c r="I226" s="330"/>
      <c r="J226" s="330"/>
      <c r="K226" s="330"/>
      <c r="L226" s="79"/>
      <c r="M226" s="80"/>
      <c r="N226" s="79"/>
      <c r="O226" s="80"/>
      <c r="P226" s="79"/>
      <c r="Q226" s="80"/>
      <c r="R226" s="79"/>
      <c r="S226" s="80"/>
      <c r="T226" s="79"/>
      <c r="U226" s="80"/>
      <c r="V226" s="79"/>
      <c r="W226" s="80"/>
      <c r="X226" s="79"/>
      <c r="Y226" s="80"/>
      <c r="Z226" s="50">
        <f t="shared" si="3"/>
        <v>0</v>
      </c>
      <c r="AA226" s="60"/>
      <c r="AB226" s="60"/>
    </row>
    <row r="227" spans="1:28" x14ac:dyDescent="0.25">
      <c r="A227" s="443"/>
      <c r="B227" s="443"/>
      <c r="C227" s="443"/>
      <c r="D227" s="330"/>
      <c r="E227" s="330"/>
      <c r="F227" s="330"/>
      <c r="G227" s="330"/>
      <c r="H227" s="330"/>
      <c r="I227" s="330"/>
      <c r="J227" s="330"/>
      <c r="K227" s="330"/>
      <c r="L227" s="79"/>
      <c r="M227" s="80"/>
      <c r="N227" s="79"/>
      <c r="O227" s="80"/>
      <c r="P227" s="79"/>
      <c r="Q227" s="80"/>
      <c r="R227" s="79"/>
      <c r="S227" s="80"/>
      <c r="T227" s="79"/>
      <c r="U227" s="80"/>
      <c r="V227" s="79"/>
      <c r="W227" s="80"/>
      <c r="X227" s="79"/>
      <c r="Y227" s="80"/>
      <c r="Z227" s="50">
        <f t="shared" si="3"/>
        <v>0</v>
      </c>
      <c r="AA227" s="60"/>
      <c r="AB227" s="60"/>
    </row>
    <row r="228" spans="1:28" x14ac:dyDescent="0.25">
      <c r="A228" s="443"/>
      <c r="B228" s="443"/>
      <c r="C228" s="443"/>
      <c r="D228" s="330"/>
      <c r="E228" s="330"/>
      <c r="F228" s="330"/>
      <c r="G228" s="330"/>
      <c r="H228" s="330"/>
      <c r="I228" s="330"/>
      <c r="J228" s="330"/>
      <c r="K228" s="330"/>
      <c r="L228" s="79"/>
      <c r="M228" s="80"/>
      <c r="N228" s="79"/>
      <c r="O228" s="80"/>
      <c r="P228" s="79"/>
      <c r="Q228" s="80"/>
      <c r="R228" s="79"/>
      <c r="S228" s="80"/>
      <c r="T228" s="79"/>
      <c r="U228" s="80"/>
      <c r="V228" s="79"/>
      <c r="W228" s="80"/>
      <c r="X228" s="79"/>
      <c r="Y228" s="80"/>
      <c r="Z228" s="50">
        <f t="shared" si="3"/>
        <v>0</v>
      </c>
      <c r="AA228" s="60"/>
      <c r="AB228" s="60"/>
    </row>
    <row r="229" spans="1:28" x14ac:dyDescent="0.25">
      <c r="A229" s="443"/>
      <c r="B229" s="443"/>
      <c r="C229" s="443"/>
      <c r="D229" s="330"/>
      <c r="E229" s="330"/>
      <c r="F229" s="330"/>
      <c r="G229" s="330"/>
      <c r="H229" s="330"/>
      <c r="I229" s="330"/>
      <c r="J229" s="330"/>
      <c r="K229" s="330"/>
      <c r="L229" s="79"/>
      <c r="M229" s="80"/>
      <c r="N229" s="79"/>
      <c r="O229" s="80"/>
      <c r="P229" s="79"/>
      <c r="Q229" s="80"/>
      <c r="R229" s="79"/>
      <c r="S229" s="80"/>
      <c r="T229" s="79"/>
      <c r="U229" s="80"/>
      <c r="V229" s="79"/>
      <c r="W229" s="80"/>
      <c r="X229" s="79"/>
      <c r="Y229" s="80"/>
      <c r="Z229" s="50">
        <f t="shared" si="3"/>
        <v>0</v>
      </c>
      <c r="AA229" s="60"/>
      <c r="AB229" s="60"/>
    </row>
    <row r="230" spans="1:28" x14ac:dyDescent="0.25">
      <c r="A230" s="443"/>
      <c r="B230" s="443"/>
      <c r="C230" s="443"/>
      <c r="D230" s="330"/>
      <c r="E230" s="330"/>
      <c r="F230" s="330"/>
      <c r="G230" s="330"/>
      <c r="H230" s="330"/>
      <c r="I230" s="330"/>
      <c r="J230" s="330"/>
      <c r="K230" s="330"/>
      <c r="L230" s="79"/>
      <c r="M230" s="80"/>
      <c r="N230" s="79"/>
      <c r="O230" s="80"/>
      <c r="P230" s="79"/>
      <c r="Q230" s="80"/>
      <c r="R230" s="79"/>
      <c r="S230" s="80"/>
      <c r="T230" s="79"/>
      <c r="U230" s="80"/>
      <c r="V230" s="79"/>
      <c r="W230" s="80"/>
      <c r="X230" s="79"/>
      <c r="Y230" s="80"/>
      <c r="Z230" s="50">
        <f t="shared" si="3"/>
        <v>0</v>
      </c>
      <c r="AA230" s="60"/>
      <c r="AB230" s="60"/>
    </row>
    <row r="231" spans="1:28" x14ac:dyDescent="0.25">
      <c r="A231" s="443"/>
      <c r="B231" s="443"/>
      <c r="C231" s="443"/>
      <c r="D231" s="330"/>
      <c r="E231" s="330"/>
      <c r="F231" s="330"/>
      <c r="G231" s="330"/>
      <c r="H231" s="330"/>
      <c r="I231" s="330"/>
      <c r="J231" s="330"/>
      <c r="K231" s="330"/>
      <c r="L231" s="79"/>
      <c r="M231" s="80"/>
      <c r="N231" s="79"/>
      <c r="O231" s="80"/>
      <c r="P231" s="79"/>
      <c r="Q231" s="80"/>
      <c r="R231" s="79"/>
      <c r="S231" s="80"/>
      <c r="T231" s="79"/>
      <c r="U231" s="80"/>
      <c r="V231" s="79"/>
      <c r="W231" s="80"/>
      <c r="X231" s="79"/>
      <c r="Y231" s="80"/>
      <c r="Z231" s="50">
        <f t="shared" si="3"/>
        <v>0</v>
      </c>
      <c r="AA231" s="60"/>
      <c r="AB231" s="60"/>
    </row>
    <row r="232" spans="1:28" x14ac:dyDescent="0.25">
      <c r="A232" s="443"/>
      <c r="B232" s="443"/>
      <c r="C232" s="443"/>
      <c r="D232" s="330"/>
      <c r="E232" s="330"/>
      <c r="F232" s="330"/>
      <c r="G232" s="330"/>
      <c r="H232" s="330"/>
      <c r="I232" s="330"/>
      <c r="J232" s="330"/>
      <c r="K232" s="330"/>
      <c r="L232" s="79"/>
      <c r="M232" s="80"/>
      <c r="N232" s="79"/>
      <c r="O232" s="80"/>
      <c r="P232" s="79"/>
      <c r="Q232" s="80"/>
      <c r="R232" s="79"/>
      <c r="S232" s="80"/>
      <c r="T232" s="79"/>
      <c r="U232" s="80"/>
      <c r="V232" s="79"/>
      <c r="W232" s="80"/>
      <c r="X232" s="79"/>
      <c r="Y232" s="80"/>
      <c r="Z232" s="50">
        <f t="shared" si="3"/>
        <v>0</v>
      </c>
      <c r="AA232" s="60"/>
      <c r="AB232" s="60"/>
    </row>
    <row r="233" spans="1:28" x14ac:dyDescent="0.25">
      <c r="A233" s="443"/>
      <c r="B233" s="443"/>
      <c r="C233" s="443"/>
      <c r="D233" s="330"/>
      <c r="E233" s="330"/>
      <c r="F233" s="330"/>
      <c r="G233" s="330"/>
      <c r="H233" s="330"/>
      <c r="I233" s="330"/>
      <c r="J233" s="330"/>
      <c r="K233" s="330"/>
      <c r="L233" s="79"/>
      <c r="M233" s="80"/>
      <c r="N233" s="79"/>
      <c r="O233" s="80"/>
      <c r="P233" s="79"/>
      <c r="Q233" s="80"/>
      <c r="R233" s="79"/>
      <c r="S233" s="80"/>
      <c r="T233" s="79"/>
      <c r="U233" s="80"/>
      <c r="V233" s="79"/>
      <c r="W233" s="80"/>
      <c r="X233" s="79"/>
      <c r="Y233" s="80"/>
      <c r="Z233" s="50">
        <f t="shared" si="3"/>
        <v>0</v>
      </c>
      <c r="AA233" s="60"/>
      <c r="AB233" s="60"/>
    </row>
    <row r="234" spans="1:28" x14ac:dyDescent="0.25">
      <c r="A234" s="443"/>
      <c r="B234" s="443"/>
      <c r="C234" s="443"/>
      <c r="D234" s="330"/>
      <c r="E234" s="330"/>
      <c r="F234" s="330"/>
      <c r="G234" s="330"/>
      <c r="H234" s="330"/>
      <c r="I234" s="330"/>
      <c r="J234" s="330"/>
      <c r="K234" s="330"/>
      <c r="L234" s="79"/>
      <c r="M234" s="80"/>
      <c r="N234" s="79"/>
      <c r="O234" s="80"/>
      <c r="P234" s="79"/>
      <c r="Q234" s="80"/>
      <c r="R234" s="79"/>
      <c r="S234" s="80"/>
      <c r="T234" s="79"/>
      <c r="U234" s="80"/>
      <c r="V234" s="79"/>
      <c r="W234" s="80"/>
      <c r="X234" s="79"/>
      <c r="Y234" s="80"/>
      <c r="Z234" s="50">
        <f t="shared" si="3"/>
        <v>0</v>
      </c>
      <c r="AA234" s="60"/>
      <c r="AB234" s="60"/>
    </row>
    <row r="235" spans="1:28" x14ac:dyDescent="0.25">
      <c r="A235" s="443"/>
      <c r="B235" s="443"/>
      <c r="C235" s="443"/>
      <c r="D235" s="330"/>
      <c r="E235" s="330"/>
      <c r="F235" s="330"/>
      <c r="G235" s="330"/>
      <c r="H235" s="330"/>
      <c r="I235" s="330"/>
      <c r="J235" s="330"/>
      <c r="K235" s="330"/>
      <c r="L235" s="79"/>
      <c r="M235" s="80"/>
      <c r="N235" s="79"/>
      <c r="O235" s="80"/>
      <c r="P235" s="79"/>
      <c r="Q235" s="80"/>
      <c r="R235" s="79"/>
      <c r="S235" s="80"/>
      <c r="T235" s="79"/>
      <c r="U235" s="80"/>
      <c r="V235" s="79"/>
      <c r="W235" s="80"/>
      <c r="X235" s="79"/>
      <c r="Y235" s="80"/>
      <c r="Z235" s="50">
        <f t="shared" si="3"/>
        <v>0</v>
      </c>
      <c r="AA235" s="60"/>
      <c r="AB235" s="60"/>
    </row>
    <row r="236" spans="1:28" x14ac:dyDescent="0.25">
      <c r="A236" s="443"/>
      <c r="B236" s="443"/>
      <c r="C236" s="443"/>
      <c r="D236" s="330"/>
      <c r="E236" s="330"/>
      <c r="F236" s="330"/>
      <c r="G236" s="330"/>
      <c r="H236" s="330"/>
      <c r="I236" s="330"/>
      <c r="J236" s="330"/>
      <c r="K236" s="330"/>
      <c r="L236" s="79"/>
      <c r="M236" s="80"/>
      <c r="N236" s="79"/>
      <c r="O236" s="80"/>
      <c r="P236" s="79"/>
      <c r="Q236" s="80"/>
      <c r="R236" s="79"/>
      <c r="S236" s="80"/>
      <c r="T236" s="79"/>
      <c r="U236" s="80"/>
      <c r="V236" s="79"/>
      <c r="W236" s="80"/>
      <c r="X236" s="79"/>
      <c r="Y236" s="80"/>
      <c r="Z236" s="50">
        <f t="shared" si="3"/>
        <v>0</v>
      </c>
      <c r="AA236" s="60"/>
      <c r="AB236" s="60"/>
    </row>
    <row r="237" spans="1:28" x14ac:dyDescent="0.25">
      <c r="A237" s="443"/>
      <c r="B237" s="443"/>
      <c r="C237" s="443"/>
      <c r="D237" s="330"/>
      <c r="E237" s="330"/>
      <c r="F237" s="330"/>
      <c r="G237" s="330"/>
      <c r="H237" s="330"/>
      <c r="I237" s="330"/>
      <c r="J237" s="330"/>
      <c r="K237" s="330"/>
      <c r="L237" s="79"/>
      <c r="M237" s="80"/>
      <c r="N237" s="79"/>
      <c r="O237" s="80"/>
      <c r="P237" s="79"/>
      <c r="Q237" s="80"/>
      <c r="R237" s="79"/>
      <c r="S237" s="80"/>
      <c r="T237" s="79"/>
      <c r="U237" s="80"/>
      <c r="V237" s="79"/>
      <c r="W237" s="80"/>
      <c r="X237" s="79"/>
      <c r="Y237" s="80"/>
      <c r="Z237" s="50">
        <f t="shared" si="3"/>
        <v>0</v>
      </c>
      <c r="AA237" s="60"/>
      <c r="AB237" s="60"/>
    </row>
    <row r="238" spans="1:28" x14ac:dyDescent="0.25">
      <c r="A238" s="443"/>
      <c r="B238" s="443"/>
      <c r="C238" s="443"/>
      <c r="D238" s="330"/>
      <c r="E238" s="330"/>
      <c r="F238" s="330"/>
      <c r="G238" s="330"/>
      <c r="H238" s="330"/>
      <c r="I238" s="330"/>
      <c r="J238" s="330"/>
      <c r="K238" s="330"/>
      <c r="L238" s="79"/>
      <c r="M238" s="80"/>
      <c r="N238" s="79"/>
      <c r="O238" s="80"/>
      <c r="P238" s="79"/>
      <c r="Q238" s="80"/>
      <c r="R238" s="79"/>
      <c r="S238" s="80"/>
      <c r="T238" s="79"/>
      <c r="U238" s="80"/>
      <c r="V238" s="79"/>
      <c r="W238" s="80"/>
      <c r="X238" s="79"/>
      <c r="Y238" s="80"/>
      <c r="Z238" s="50">
        <f t="shared" si="3"/>
        <v>0</v>
      </c>
      <c r="AA238" s="60"/>
      <c r="AB238" s="60"/>
    </row>
    <row r="239" spans="1:28" x14ac:dyDescent="0.25">
      <c r="A239" s="443"/>
      <c r="B239" s="443"/>
      <c r="C239" s="443"/>
      <c r="D239" s="330"/>
      <c r="E239" s="330"/>
      <c r="F239" s="330"/>
      <c r="G239" s="330"/>
      <c r="H239" s="330"/>
      <c r="I239" s="330"/>
      <c r="J239" s="330"/>
      <c r="K239" s="330"/>
      <c r="L239" s="79"/>
      <c r="M239" s="80"/>
      <c r="N239" s="79"/>
      <c r="O239" s="80"/>
      <c r="P239" s="79"/>
      <c r="Q239" s="80"/>
      <c r="R239" s="79"/>
      <c r="S239" s="80"/>
      <c r="T239" s="79"/>
      <c r="U239" s="80"/>
      <c r="V239" s="79"/>
      <c r="W239" s="80"/>
      <c r="X239" s="79"/>
      <c r="Y239" s="80"/>
      <c r="Z239" s="50">
        <f t="shared" si="3"/>
        <v>0</v>
      </c>
      <c r="AA239" s="60"/>
      <c r="AB239" s="60"/>
    </row>
    <row r="240" spans="1:28" x14ac:dyDescent="0.25">
      <c r="A240" s="443"/>
      <c r="B240" s="443"/>
      <c r="C240" s="443"/>
      <c r="D240" s="330"/>
      <c r="E240" s="330"/>
      <c r="F240" s="330"/>
      <c r="G240" s="330"/>
      <c r="H240" s="330"/>
      <c r="I240" s="330"/>
      <c r="J240" s="330"/>
      <c r="K240" s="330"/>
      <c r="L240" s="79"/>
      <c r="M240" s="80"/>
      <c r="N240" s="79"/>
      <c r="O240" s="80"/>
      <c r="P240" s="79"/>
      <c r="Q240" s="80"/>
      <c r="R240" s="79"/>
      <c r="S240" s="80"/>
      <c r="T240" s="79"/>
      <c r="U240" s="80"/>
      <c r="V240" s="79"/>
      <c r="W240" s="80"/>
      <c r="X240" s="79"/>
      <c r="Y240" s="80"/>
      <c r="Z240" s="50">
        <f t="shared" si="3"/>
        <v>0</v>
      </c>
      <c r="AA240" s="60"/>
      <c r="AB240" s="60"/>
    </row>
    <row r="241" spans="1:28" x14ac:dyDescent="0.25">
      <c r="A241" s="443"/>
      <c r="B241" s="443"/>
      <c r="C241" s="443"/>
      <c r="D241" s="330"/>
      <c r="E241" s="330"/>
      <c r="F241" s="330"/>
      <c r="G241" s="330"/>
      <c r="H241" s="330"/>
      <c r="I241" s="330"/>
      <c r="J241" s="330"/>
      <c r="K241" s="330"/>
      <c r="L241" s="79"/>
      <c r="M241" s="80"/>
      <c r="N241" s="79"/>
      <c r="O241" s="80"/>
      <c r="P241" s="79"/>
      <c r="Q241" s="80"/>
      <c r="R241" s="79"/>
      <c r="S241" s="80"/>
      <c r="T241" s="79"/>
      <c r="U241" s="80"/>
      <c r="V241" s="79"/>
      <c r="W241" s="80"/>
      <c r="X241" s="79"/>
      <c r="Y241" s="80"/>
      <c r="Z241" s="50">
        <f t="shared" si="3"/>
        <v>0</v>
      </c>
      <c r="AA241" s="60"/>
      <c r="AB241" s="60"/>
    </row>
    <row r="242" spans="1:28" x14ac:dyDescent="0.25">
      <c r="A242" s="443"/>
      <c r="B242" s="443"/>
      <c r="C242" s="443"/>
      <c r="D242" s="330"/>
      <c r="E242" s="330"/>
      <c r="F242" s="330"/>
      <c r="G242" s="330"/>
      <c r="H242" s="330"/>
      <c r="I242" s="330"/>
      <c r="J242" s="330"/>
      <c r="K242" s="330"/>
      <c r="L242" s="79"/>
      <c r="M242" s="80"/>
      <c r="N242" s="79"/>
      <c r="O242" s="80"/>
      <c r="P242" s="79"/>
      <c r="Q242" s="80"/>
      <c r="R242" s="79"/>
      <c r="S242" s="80"/>
      <c r="T242" s="79"/>
      <c r="U242" s="80"/>
      <c r="V242" s="79"/>
      <c r="W242" s="80"/>
      <c r="X242" s="79"/>
      <c r="Y242" s="80"/>
      <c r="Z242" s="50">
        <f t="shared" si="3"/>
        <v>0</v>
      </c>
      <c r="AA242" s="60"/>
      <c r="AB242" s="60"/>
    </row>
    <row r="243" spans="1:28" x14ac:dyDescent="0.25">
      <c r="A243" s="443"/>
      <c r="B243" s="443"/>
      <c r="C243" s="443"/>
      <c r="D243" s="330"/>
      <c r="E243" s="330"/>
      <c r="F243" s="330"/>
      <c r="G243" s="330"/>
      <c r="H243" s="330"/>
      <c r="I243" s="330"/>
      <c r="J243" s="330"/>
      <c r="K243" s="330"/>
      <c r="L243" s="79"/>
      <c r="M243" s="80"/>
      <c r="N243" s="79"/>
      <c r="O243" s="80"/>
      <c r="P243" s="79"/>
      <c r="Q243" s="80"/>
      <c r="R243" s="79"/>
      <c r="S243" s="80"/>
      <c r="T243" s="79"/>
      <c r="U243" s="80"/>
      <c r="V243" s="79"/>
      <c r="W243" s="80"/>
      <c r="X243" s="79"/>
      <c r="Y243" s="80"/>
      <c r="Z243" s="50">
        <f t="shared" si="3"/>
        <v>0</v>
      </c>
      <c r="AA243" s="60"/>
      <c r="AB243" s="60"/>
    </row>
    <row r="244" spans="1:28" x14ac:dyDescent="0.25">
      <c r="A244" s="443"/>
      <c r="B244" s="443"/>
      <c r="C244" s="443"/>
      <c r="D244" s="330"/>
      <c r="E244" s="330"/>
      <c r="F244" s="330"/>
      <c r="G244" s="330"/>
      <c r="H244" s="330"/>
      <c r="I244" s="330"/>
      <c r="J244" s="330"/>
      <c r="K244" s="330"/>
      <c r="L244" s="79"/>
      <c r="M244" s="80"/>
      <c r="N244" s="79"/>
      <c r="O244" s="80"/>
      <c r="P244" s="79"/>
      <c r="Q244" s="80"/>
      <c r="R244" s="79"/>
      <c r="S244" s="80"/>
      <c r="T244" s="79"/>
      <c r="U244" s="80"/>
      <c r="V244" s="79"/>
      <c r="W244" s="80"/>
      <c r="X244" s="79"/>
      <c r="Y244" s="80"/>
      <c r="Z244" s="50">
        <f t="shared" si="3"/>
        <v>0</v>
      </c>
      <c r="AA244" s="60"/>
      <c r="AB244" s="60"/>
    </row>
    <row r="245" spans="1:28" x14ac:dyDescent="0.25">
      <c r="A245" s="443"/>
      <c r="B245" s="443"/>
      <c r="C245" s="443"/>
      <c r="D245" s="330"/>
      <c r="E245" s="330"/>
      <c r="F245" s="330"/>
      <c r="G245" s="330"/>
      <c r="H245" s="330"/>
      <c r="I245" s="330"/>
      <c r="J245" s="330"/>
      <c r="K245" s="330"/>
      <c r="L245" s="79"/>
      <c r="M245" s="80"/>
      <c r="N245" s="79"/>
      <c r="O245" s="80"/>
      <c r="P245" s="79"/>
      <c r="Q245" s="80"/>
      <c r="R245" s="79"/>
      <c r="S245" s="80"/>
      <c r="T245" s="79"/>
      <c r="U245" s="80"/>
      <c r="V245" s="79"/>
      <c r="W245" s="80"/>
      <c r="X245" s="79"/>
      <c r="Y245" s="80"/>
      <c r="Z245" s="50">
        <f t="shared" si="3"/>
        <v>0</v>
      </c>
      <c r="AA245" s="60"/>
      <c r="AB245" s="60"/>
    </row>
    <row r="246" spans="1:28" x14ac:dyDescent="0.25">
      <c r="A246" s="443"/>
      <c r="B246" s="443"/>
      <c r="C246" s="443"/>
      <c r="D246" s="330"/>
      <c r="E246" s="330"/>
      <c r="F246" s="330"/>
      <c r="G246" s="330"/>
      <c r="H246" s="330"/>
      <c r="I246" s="330"/>
      <c r="J246" s="330"/>
      <c r="K246" s="330"/>
      <c r="L246" s="79"/>
      <c r="M246" s="80"/>
      <c r="N246" s="79"/>
      <c r="O246" s="80"/>
      <c r="P246" s="79"/>
      <c r="Q246" s="80"/>
      <c r="R246" s="79"/>
      <c r="S246" s="80"/>
      <c r="T246" s="79"/>
      <c r="U246" s="80"/>
      <c r="V246" s="79"/>
      <c r="W246" s="80"/>
      <c r="X246" s="79"/>
      <c r="Y246" s="80"/>
      <c r="Z246" s="50">
        <f t="shared" si="3"/>
        <v>0</v>
      </c>
      <c r="AA246" s="60"/>
      <c r="AB246" s="60"/>
    </row>
    <row r="247" spans="1:28" x14ac:dyDescent="0.25">
      <c r="A247" s="443"/>
      <c r="B247" s="443"/>
      <c r="C247" s="443"/>
      <c r="D247" s="330"/>
      <c r="E247" s="330"/>
      <c r="F247" s="330"/>
      <c r="G247" s="330"/>
      <c r="H247" s="330"/>
      <c r="I247" s="330"/>
      <c r="J247" s="330"/>
      <c r="K247" s="330"/>
      <c r="L247" s="79"/>
      <c r="M247" s="80"/>
      <c r="N247" s="79"/>
      <c r="O247" s="80"/>
      <c r="P247" s="79"/>
      <c r="Q247" s="80"/>
      <c r="R247" s="79"/>
      <c r="S247" s="80"/>
      <c r="T247" s="79"/>
      <c r="U247" s="80"/>
      <c r="V247" s="79"/>
      <c r="W247" s="80"/>
      <c r="X247" s="79"/>
      <c r="Y247" s="80"/>
      <c r="Z247" s="50">
        <f t="shared" si="3"/>
        <v>0</v>
      </c>
      <c r="AA247" s="60"/>
      <c r="AB247" s="60"/>
    </row>
    <row r="248" spans="1:28" x14ac:dyDescent="0.25">
      <c r="A248" s="443"/>
      <c r="B248" s="443"/>
      <c r="C248" s="443"/>
      <c r="D248" s="330"/>
      <c r="E248" s="330"/>
      <c r="F248" s="330"/>
      <c r="G248" s="330"/>
      <c r="H248" s="330"/>
      <c r="I248" s="330"/>
      <c r="J248" s="330"/>
      <c r="K248" s="330"/>
      <c r="L248" s="79"/>
      <c r="M248" s="80"/>
      <c r="N248" s="79"/>
      <c r="O248" s="80"/>
      <c r="P248" s="79"/>
      <c r="Q248" s="80"/>
      <c r="R248" s="79"/>
      <c r="S248" s="80"/>
      <c r="T248" s="79"/>
      <c r="U248" s="80"/>
      <c r="V248" s="79"/>
      <c r="W248" s="80"/>
      <c r="X248" s="79"/>
      <c r="Y248" s="80"/>
      <c r="Z248" s="50">
        <f t="shared" si="3"/>
        <v>0</v>
      </c>
      <c r="AA248" s="60"/>
      <c r="AB248" s="60"/>
    </row>
    <row r="249" spans="1:28" x14ac:dyDescent="0.25">
      <c r="A249" s="443"/>
      <c r="B249" s="443"/>
      <c r="C249" s="443"/>
      <c r="D249" s="330"/>
      <c r="E249" s="330"/>
      <c r="F249" s="330"/>
      <c r="G249" s="330"/>
      <c r="H249" s="330"/>
      <c r="I249" s="330"/>
      <c r="J249" s="330"/>
      <c r="K249" s="330"/>
      <c r="L249" s="79"/>
      <c r="M249" s="80"/>
      <c r="N249" s="79"/>
      <c r="O249" s="80"/>
      <c r="P249" s="79"/>
      <c r="Q249" s="80"/>
      <c r="R249" s="79"/>
      <c r="S249" s="80"/>
      <c r="T249" s="79"/>
      <c r="U249" s="80"/>
      <c r="V249" s="79"/>
      <c r="W249" s="80"/>
      <c r="X249" s="79"/>
      <c r="Y249" s="80"/>
      <c r="Z249" s="50">
        <f t="shared" si="3"/>
        <v>0</v>
      </c>
      <c r="AA249" s="60"/>
      <c r="AB249" s="60"/>
    </row>
    <row r="250" spans="1:28" x14ac:dyDescent="0.25">
      <c r="A250" s="443"/>
      <c r="B250" s="443"/>
      <c r="C250" s="443"/>
      <c r="D250" s="330"/>
      <c r="E250" s="330"/>
      <c r="F250" s="330"/>
      <c r="G250" s="330"/>
      <c r="H250" s="330"/>
      <c r="I250" s="330"/>
      <c r="J250" s="330"/>
      <c r="K250" s="330"/>
      <c r="L250" s="79"/>
      <c r="M250" s="80"/>
      <c r="N250" s="79"/>
      <c r="O250" s="80"/>
      <c r="P250" s="79"/>
      <c r="Q250" s="80"/>
      <c r="R250" s="79"/>
      <c r="S250" s="80"/>
      <c r="T250" s="79"/>
      <c r="U250" s="80"/>
      <c r="V250" s="79"/>
      <c r="W250" s="80"/>
      <c r="X250" s="79"/>
      <c r="Y250" s="80"/>
      <c r="Z250" s="50">
        <f t="shared" si="3"/>
        <v>0</v>
      </c>
      <c r="AA250" s="60"/>
      <c r="AB250" s="60"/>
    </row>
    <row r="251" spans="1:28" x14ac:dyDescent="0.25">
      <c r="A251" s="443"/>
      <c r="B251" s="443"/>
      <c r="C251" s="443"/>
      <c r="D251" s="330"/>
      <c r="E251" s="330"/>
      <c r="F251" s="330"/>
      <c r="G251" s="330"/>
      <c r="H251" s="330"/>
      <c r="I251" s="330"/>
      <c r="J251" s="330"/>
      <c r="K251" s="330"/>
      <c r="L251" s="79"/>
      <c r="M251" s="80"/>
      <c r="N251" s="79"/>
      <c r="O251" s="80"/>
      <c r="P251" s="79"/>
      <c r="Q251" s="80"/>
      <c r="R251" s="79"/>
      <c r="S251" s="80"/>
      <c r="T251" s="79"/>
      <c r="U251" s="80"/>
      <c r="V251" s="79"/>
      <c r="W251" s="80"/>
      <c r="X251" s="79"/>
      <c r="Y251" s="80"/>
      <c r="Z251" s="50">
        <f t="shared" si="3"/>
        <v>0</v>
      </c>
      <c r="AA251" s="60"/>
      <c r="AB251" s="60"/>
    </row>
    <row r="252" spans="1:28" x14ac:dyDescent="0.25">
      <c r="A252" s="443"/>
      <c r="B252" s="443"/>
      <c r="C252" s="443"/>
      <c r="D252" s="330"/>
      <c r="E252" s="330"/>
      <c r="F252" s="330"/>
      <c r="G252" s="330"/>
      <c r="H252" s="330"/>
      <c r="I252" s="330"/>
      <c r="J252" s="330"/>
      <c r="K252" s="330"/>
      <c r="L252" s="79"/>
      <c r="M252" s="80"/>
      <c r="N252" s="79"/>
      <c r="O252" s="80"/>
      <c r="P252" s="79"/>
      <c r="Q252" s="80"/>
      <c r="R252" s="79"/>
      <c r="S252" s="80"/>
      <c r="T252" s="79"/>
      <c r="U252" s="80"/>
      <c r="V252" s="79"/>
      <c r="W252" s="80"/>
      <c r="X252" s="79"/>
      <c r="Y252" s="80"/>
      <c r="Z252" s="50">
        <f t="shared" si="3"/>
        <v>0</v>
      </c>
      <c r="AA252" s="60"/>
      <c r="AB252" s="60"/>
    </row>
    <row r="253" spans="1:28" x14ac:dyDescent="0.25">
      <c r="A253" s="443"/>
      <c r="B253" s="443"/>
      <c r="C253" s="443"/>
      <c r="D253" s="330"/>
      <c r="E253" s="330"/>
      <c r="F253" s="330"/>
      <c r="G253" s="330"/>
      <c r="H253" s="330"/>
      <c r="I253" s="330"/>
      <c r="J253" s="330"/>
      <c r="K253" s="330"/>
      <c r="L253" s="79"/>
      <c r="M253" s="80"/>
      <c r="N253" s="79"/>
      <c r="O253" s="80"/>
      <c r="P253" s="79"/>
      <c r="Q253" s="80"/>
      <c r="R253" s="79"/>
      <c r="S253" s="80"/>
      <c r="T253" s="79"/>
      <c r="U253" s="80"/>
      <c r="V253" s="79"/>
      <c r="W253" s="80"/>
      <c r="X253" s="79"/>
      <c r="Y253" s="80"/>
      <c r="Z253" s="50">
        <f t="shared" si="3"/>
        <v>0</v>
      </c>
      <c r="AA253" s="60"/>
      <c r="AB253" s="60"/>
    </row>
    <row r="254" spans="1:28" x14ac:dyDescent="0.25">
      <c r="A254" s="443"/>
      <c r="B254" s="443"/>
      <c r="C254" s="443"/>
      <c r="D254" s="330"/>
      <c r="E254" s="330"/>
      <c r="F254" s="330"/>
      <c r="G254" s="330"/>
      <c r="H254" s="330"/>
      <c r="I254" s="330"/>
      <c r="J254" s="330"/>
      <c r="K254" s="330"/>
      <c r="L254" s="79"/>
      <c r="M254" s="80"/>
      <c r="N254" s="79"/>
      <c r="O254" s="80"/>
      <c r="P254" s="79"/>
      <c r="Q254" s="80"/>
      <c r="R254" s="79"/>
      <c r="S254" s="80"/>
      <c r="T254" s="79"/>
      <c r="U254" s="80"/>
      <c r="V254" s="79"/>
      <c r="W254" s="80"/>
      <c r="X254" s="79"/>
      <c r="Y254" s="80"/>
      <c r="Z254" s="50">
        <f t="shared" si="3"/>
        <v>0</v>
      </c>
      <c r="AA254" s="60"/>
      <c r="AB254" s="60"/>
    </row>
    <row r="255" spans="1:28" x14ac:dyDescent="0.25">
      <c r="A255" s="443"/>
      <c r="B255" s="443"/>
      <c r="C255" s="443"/>
      <c r="D255" s="330"/>
      <c r="E255" s="330"/>
      <c r="F255" s="330"/>
      <c r="G255" s="330"/>
      <c r="H255" s="330"/>
      <c r="I255" s="330"/>
      <c r="J255" s="330"/>
      <c r="K255" s="330"/>
      <c r="L255" s="79"/>
      <c r="M255" s="80"/>
      <c r="N255" s="79"/>
      <c r="O255" s="80"/>
      <c r="P255" s="79"/>
      <c r="Q255" s="80"/>
      <c r="R255" s="79"/>
      <c r="S255" s="80"/>
      <c r="T255" s="79"/>
      <c r="U255" s="80"/>
      <c r="V255" s="79"/>
      <c r="W255" s="80"/>
      <c r="X255" s="79"/>
      <c r="Y255" s="80"/>
      <c r="Z255" s="50">
        <f t="shared" si="3"/>
        <v>0</v>
      </c>
      <c r="AA255" s="60"/>
      <c r="AB255" s="60"/>
    </row>
    <row r="256" spans="1:28" x14ac:dyDescent="0.25">
      <c r="A256" s="443"/>
      <c r="B256" s="443"/>
      <c r="C256" s="443"/>
      <c r="D256" s="330"/>
      <c r="E256" s="330"/>
      <c r="F256" s="330"/>
      <c r="G256" s="330"/>
      <c r="H256" s="330"/>
      <c r="I256" s="330"/>
      <c r="J256" s="330"/>
      <c r="K256" s="330"/>
      <c r="L256" s="79"/>
      <c r="M256" s="80"/>
      <c r="N256" s="79"/>
      <c r="O256" s="80"/>
      <c r="P256" s="79"/>
      <c r="Q256" s="80"/>
      <c r="R256" s="79"/>
      <c r="S256" s="80"/>
      <c r="T256" s="79"/>
      <c r="U256" s="80"/>
      <c r="V256" s="79"/>
      <c r="W256" s="80"/>
      <c r="X256" s="79"/>
      <c r="Y256" s="80"/>
      <c r="Z256" s="50">
        <f t="shared" si="3"/>
        <v>0</v>
      </c>
      <c r="AA256" s="60"/>
      <c r="AB256" s="60"/>
    </row>
    <row r="257" spans="1:28" x14ac:dyDescent="0.25">
      <c r="A257" s="443"/>
      <c r="B257" s="443"/>
      <c r="C257" s="443"/>
      <c r="D257" s="330"/>
      <c r="E257" s="330"/>
      <c r="F257" s="330"/>
      <c r="G257" s="330"/>
      <c r="H257" s="330"/>
      <c r="I257" s="330"/>
      <c r="J257" s="330"/>
      <c r="K257" s="330"/>
      <c r="L257" s="79"/>
      <c r="M257" s="80"/>
      <c r="N257" s="79"/>
      <c r="O257" s="80"/>
      <c r="P257" s="79"/>
      <c r="Q257" s="80"/>
      <c r="R257" s="79"/>
      <c r="S257" s="80"/>
      <c r="T257" s="79"/>
      <c r="U257" s="80"/>
      <c r="V257" s="79"/>
      <c r="W257" s="80"/>
      <c r="X257" s="79"/>
      <c r="Y257" s="80"/>
      <c r="Z257" s="50">
        <f t="shared" si="3"/>
        <v>0</v>
      </c>
      <c r="AA257" s="60"/>
      <c r="AB257" s="60"/>
    </row>
    <row r="258" spans="1:28" x14ac:dyDescent="0.25">
      <c r="A258" s="443"/>
      <c r="B258" s="443"/>
      <c r="C258" s="443"/>
      <c r="D258" s="330"/>
      <c r="E258" s="330"/>
      <c r="F258" s="330"/>
      <c r="G258" s="330"/>
      <c r="H258" s="330"/>
      <c r="I258" s="330"/>
      <c r="J258" s="330"/>
      <c r="K258" s="330"/>
      <c r="L258" s="79"/>
      <c r="M258" s="80"/>
      <c r="N258" s="79"/>
      <c r="O258" s="80"/>
      <c r="P258" s="79"/>
      <c r="Q258" s="80"/>
      <c r="R258" s="79"/>
      <c r="S258" s="80"/>
      <c r="T258" s="79"/>
      <c r="U258" s="80"/>
      <c r="V258" s="79"/>
      <c r="W258" s="80"/>
      <c r="X258" s="79"/>
      <c r="Y258" s="80"/>
      <c r="Z258" s="50">
        <f t="shared" si="3"/>
        <v>0</v>
      </c>
      <c r="AA258" s="60"/>
      <c r="AB258" s="60"/>
    </row>
    <row r="259" spans="1:28" x14ac:dyDescent="0.25">
      <c r="A259" s="443"/>
      <c r="B259" s="443"/>
      <c r="C259" s="443"/>
      <c r="D259" s="330"/>
      <c r="E259" s="330"/>
      <c r="F259" s="330"/>
      <c r="G259" s="330"/>
      <c r="H259" s="330"/>
      <c r="I259" s="330"/>
      <c r="J259" s="330"/>
      <c r="K259" s="330"/>
      <c r="L259" s="79"/>
      <c r="M259" s="80"/>
      <c r="N259" s="79"/>
      <c r="O259" s="80"/>
      <c r="P259" s="79"/>
      <c r="Q259" s="80"/>
      <c r="R259" s="79"/>
      <c r="S259" s="80"/>
      <c r="T259" s="79"/>
      <c r="U259" s="80"/>
      <c r="V259" s="79"/>
      <c r="W259" s="80"/>
      <c r="X259" s="79"/>
      <c r="Y259" s="80"/>
      <c r="Z259" s="50">
        <f t="shared" si="3"/>
        <v>0</v>
      </c>
      <c r="AA259" s="60"/>
      <c r="AB259" s="60"/>
    </row>
    <row r="260" spans="1:28" x14ac:dyDescent="0.25">
      <c r="A260" s="443"/>
      <c r="B260" s="443"/>
      <c r="C260" s="443"/>
      <c r="D260" s="330"/>
      <c r="E260" s="330"/>
      <c r="F260" s="330"/>
      <c r="G260" s="330"/>
      <c r="H260" s="330"/>
      <c r="I260" s="330"/>
      <c r="J260" s="330"/>
      <c r="K260" s="330"/>
      <c r="L260" s="79"/>
      <c r="M260" s="80"/>
      <c r="N260" s="79"/>
      <c r="O260" s="80"/>
      <c r="P260" s="79"/>
      <c r="Q260" s="80"/>
      <c r="R260" s="79"/>
      <c r="S260" s="80"/>
      <c r="T260" s="79"/>
      <c r="U260" s="80"/>
      <c r="V260" s="79"/>
      <c r="W260" s="80"/>
      <c r="X260" s="79"/>
      <c r="Y260" s="80"/>
      <c r="Z260" s="50">
        <f t="shared" si="3"/>
        <v>0</v>
      </c>
      <c r="AA260" s="60"/>
      <c r="AB260" s="60"/>
    </row>
    <row r="261" spans="1:28" x14ac:dyDescent="0.25">
      <c r="A261" s="443"/>
      <c r="B261" s="443"/>
      <c r="C261" s="443"/>
      <c r="D261" s="330"/>
      <c r="E261" s="330"/>
      <c r="F261" s="330"/>
      <c r="G261" s="330"/>
      <c r="H261" s="330"/>
      <c r="I261" s="330"/>
      <c r="J261" s="330"/>
      <c r="K261" s="330"/>
      <c r="L261" s="79"/>
      <c r="M261" s="80"/>
      <c r="N261" s="79"/>
      <c r="O261" s="80"/>
      <c r="P261" s="79"/>
      <c r="Q261" s="80"/>
      <c r="R261" s="79"/>
      <c r="S261" s="80"/>
      <c r="T261" s="79"/>
      <c r="U261" s="80"/>
      <c r="V261" s="79"/>
      <c r="W261" s="80"/>
      <c r="X261" s="79"/>
      <c r="Y261" s="80"/>
      <c r="Z261" s="50">
        <f t="shared" si="3"/>
        <v>0</v>
      </c>
      <c r="AA261" s="60"/>
      <c r="AB261" s="60"/>
    </row>
    <row r="262" spans="1:28" x14ac:dyDescent="0.25">
      <c r="A262" s="443"/>
      <c r="B262" s="443"/>
      <c r="C262" s="443"/>
      <c r="D262" s="330"/>
      <c r="E262" s="330"/>
      <c r="F262" s="330"/>
      <c r="G262" s="330"/>
      <c r="H262" s="330"/>
      <c r="I262" s="330"/>
      <c r="J262" s="330"/>
      <c r="K262" s="330"/>
      <c r="L262" s="79"/>
      <c r="M262" s="80"/>
      <c r="N262" s="79"/>
      <c r="O262" s="80"/>
      <c r="P262" s="79"/>
      <c r="Q262" s="80"/>
      <c r="R262" s="79"/>
      <c r="S262" s="80"/>
      <c r="T262" s="79"/>
      <c r="U262" s="80"/>
      <c r="V262" s="79"/>
      <c r="W262" s="80"/>
      <c r="X262" s="79"/>
      <c r="Y262" s="80"/>
      <c r="Z262" s="50">
        <f t="shared" si="3"/>
        <v>0</v>
      </c>
      <c r="AA262" s="60"/>
      <c r="AB262" s="60"/>
    </row>
    <row r="263" spans="1:28" x14ac:dyDescent="0.25">
      <c r="A263" s="443"/>
      <c r="B263" s="443"/>
      <c r="C263" s="443"/>
      <c r="D263" s="330"/>
      <c r="E263" s="330"/>
      <c r="F263" s="330"/>
      <c r="G263" s="330"/>
      <c r="H263" s="330"/>
      <c r="I263" s="330"/>
      <c r="J263" s="330"/>
      <c r="K263" s="330"/>
      <c r="L263" s="79"/>
      <c r="M263" s="80"/>
      <c r="N263" s="79"/>
      <c r="O263" s="80"/>
      <c r="P263" s="79"/>
      <c r="Q263" s="80"/>
      <c r="R263" s="79"/>
      <c r="S263" s="80"/>
      <c r="T263" s="79"/>
      <c r="U263" s="80"/>
      <c r="V263" s="79"/>
      <c r="W263" s="80"/>
      <c r="X263" s="79"/>
      <c r="Y263" s="80"/>
      <c r="Z263" s="50">
        <f t="shared" si="3"/>
        <v>0</v>
      </c>
      <c r="AA263" s="60"/>
      <c r="AB263" s="60"/>
    </row>
    <row r="264" spans="1:28" x14ac:dyDescent="0.25">
      <c r="A264" s="443"/>
      <c r="B264" s="443"/>
      <c r="C264" s="443"/>
      <c r="D264" s="330"/>
      <c r="E264" s="330"/>
      <c r="F264" s="330"/>
      <c r="G264" s="330"/>
      <c r="H264" s="330"/>
      <c r="I264" s="330"/>
      <c r="J264" s="330"/>
      <c r="K264" s="330"/>
      <c r="L264" s="79"/>
      <c r="M264" s="80"/>
      <c r="N264" s="79"/>
      <c r="O264" s="80"/>
      <c r="P264" s="79"/>
      <c r="Q264" s="80"/>
      <c r="R264" s="79"/>
      <c r="S264" s="80"/>
      <c r="T264" s="79"/>
      <c r="U264" s="80"/>
      <c r="V264" s="79"/>
      <c r="W264" s="80"/>
      <c r="X264" s="79"/>
      <c r="Y264" s="80"/>
      <c r="Z264" s="50">
        <f t="shared" si="3"/>
        <v>0</v>
      </c>
      <c r="AA264" s="60"/>
      <c r="AB264" s="60"/>
    </row>
    <row r="265" spans="1:28" x14ac:dyDescent="0.25">
      <c r="A265" s="443"/>
      <c r="B265" s="443"/>
      <c r="C265" s="443"/>
      <c r="D265" s="330"/>
      <c r="E265" s="330"/>
      <c r="F265" s="330"/>
      <c r="G265" s="330"/>
      <c r="H265" s="330"/>
      <c r="I265" s="330"/>
      <c r="J265" s="330"/>
      <c r="K265" s="330"/>
      <c r="L265" s="79"/>
      <c r="M265" s="80"/>
      <c r="N265" s="79"/>
      <c r="O265" s="80"/>
      <c r="P265" s="79"/>
      <c r="Q265" s="80"/>
      <c r="R265" s="79"/>
      <c r="S265" s="80"/>
      <c r="T265" s="79"/>
      <c r="U265" s="80"/>
      <c r="V265" s="79"/>
      <c r="W265" s="80"/>
      <c r="X265" s="79"/>
      <c r="Y265" s="80"/>
      <c r="Z265" s="50">
        <f t="shared" si="3"/>
        <v>0</v>
      </c>
      <c r="AA265" s="60"/>
      <c r="AB265" s="60"/>
    </row>
    <row r="266" spans="1:28" x14ac:dyDescent="0.25">
      <c r="A266" s="443"/>
      <c r="B266" s="443"/>
      <c r="C266" s="443"/>
      <c r="D266" s="330"/>
      <c r="E266" s="330"/>
      <c r="F266" s="330"/>
      <c r="G266" s="330"/>
      <c r="H266" s="330"/>
      <c r="I266" s="330"/>
      <c r="J266" s="330"/>
      <c r="K266" s="330"/>
      <c r="L266" s="79"/>
      <c r="M266" s="80"/>
      <c r="N266" s="79"/>
      <c r="O266" s="80"/>
      <c r="P266" s="79"/>
      <c r="Q266" s="80"/>
      <c r="R266" s="79"/>
      <c r="S266" s="80"/>
      <c r="T266" s="79"/>
      <c r="U266" s="80"/>
      <c r="V266" s="79"/>
      <c r="W266" s="80"/>
      <c r="X266" s="79"/>
      <c r="Y266" s="80"/>
      <c r="Z266" s="50">
        <f t="shared" ref="Z266:Z329" si="4">SUM(L266:Y266)</f>
        <v>0</v>
      </c>
      <c r="AA266" s="60"/>
      <c r="AB266" s="60"/>
    </row>
    <row r="267" spans="1:28" x14ac:dyDescent="0.25">
      <c r="A267" s="443"/>
      <c r="B267" s="443"/>
      <c r="C267" s="443"/>
      <c r="D267" s="330"/>
      <c r="E267" s="330"/>
      <c r="F267" s="330"/>
      <c r="G267" s="330"/>
      <c r="H267" s="330"/>
      <c r="I267" s="330"/>
      <c r="J267" s="330"/>
      <c r="K267" s="330"/>
      <c r="L267" s="79"/>
      <c r="M267" s="80"/>
      <c r="N267" s="79"/>
      <c r="O267" s="80"/>
      <c r="P267" s="79"/>
      <c r="Q267" s="80"/>
      <c r="R267" s="79"/>
      <c r="S267" s="80"/>
      <c r="T267" s="79"/>
      <c r="U267" s="80"/>
      <c r="V267" s="79"/>
      <c r="W267" s="80"/>
      <c r="X267" s="79"/>
      <c r="Y267" s="80"/>
      <c r="Z267" s="50">
        <f t="shared" si="4"/>
        <v>0</v>
      </c>
      <c r="AA267" s="60"/>
      <c r="AB267" s="60"/>
    </row>
    <row r="268" spans="1:28" x14ac:dyDescent="0.25">
      <c r="A268" s="443"/>
      <c r="B268" s="443"/>
      <c r="C268" s="443"/>
      <c r="D268" s="330"/>
      <c r="E268" s="330"/>
      <c r="F268" s="330"/>
      <c r="G268" s="330"/>
      <c r="H268" s="330"/>
      <c r="I268" s="330"/>
      <c r="J268" s="330"/>
      <c r="K268" s="330"/>
      <c r="L268" s="79"/>
      <c r="M268" s="80"/>
      <c r="N268" s="79"/>
      <c r="O268" s="80"/>
      <c r="P268" s="79"/>
      <c r="Q268" s="80"/>
      <c r="R268" s="79"/>
      <c r="S268" s="80"/>
      <c r="T268" s="79"/>
      <c r="U268" s="80"/>
      <c r="V268" s="79"/>
      <c r="W268" s="80"/>
      <c r="X268" s="79"/>
      <c r="Y268" s="80"/>
      <c r="Z268" s="50">
        <f t="shared" si="4"/>
        <v>0</v>
      </c>
      <c r="AA268" s="60"/>
      <c r="AB268" s="60"/>
    </row>
    <row r="269" spans="1:28" x14ac:dyDescent="0.25">
      <c r="A269" s="443"/>
      <c r="B269" s="443"/>
      <c r="C269" s="443"/>
      <c r="D269" s="330"/>
      <c r="E269" s="330"/>
      <c r="F269" s="330"/>
      <c r="G269" s="330"/>
      <c r="H269" s="330"/>
      <c r="I269" s="330"/>
      <c r="J269" s="330"/>
      <c r="K269" s="330"/>
      <c r="L269" s="79"/>
      <c r="M269" s="80"/>
      <c r="N269" s="79"/>
      <c r="O269" s="80"/>
      <c r="P269" s="79"/>
      <c r="Q269" s="80"/>
      <c r="R269" s="79"/>
      <c r="S269" s="80"/>
      <c r="T269" s="79"/>
      <c r="U269" s="80"/>
      <c r="V269" s="79"/>
      <c r="W269" s="80"/>
      <c r="X269" s="79"/>
      <c r="Y269" s="80"/>
      <c r="Z269" s="50">
        <f t="shared" si="4"/>
        <v>0</v>
      </c>
      <c r="AA269" s="60"/>
      <c r="AB269" s="60"/>
    </row>
    <row r="270" spans="1:28" x14ac:dyDescent="0.25">
      <c r="A270" s="443"/>
      <c r="B270" s="443"/>
      <c r="C270" s="443"/>
      <c r="D270" s="330"/>
      <c r="E270" s="330"/>
      <c r="F270" s="330"/>
      <c r="G270" s="330"/>
      <c r="H270" s="330"/>
      <c r="I270" s="330"/>
      <c r="J270" s="330"/>
      <c r="K270" s="330"/>
      <c r="L270" s="79"/>
      <c r="M270" s="80"/>
      <c r="N270" s="79"/>
      <c r="O270" s="80"/>
      <c r="P270" s="79"/>
      <c r="Q270" s="80"/>
      <c r="R270" s="79"/>
      <c r="S270" s="80"/>
      <c r="T270" s="79"/>
      <c r="U270" s="80"/>
      <c r="V270" s="79"/>
      <c r="W270" s="80"/>
      <c r="X270" s="79"/>
      <c r="Y270" s="80"/>
      <c r="Z270" s="50">
        <f t="shared" si="4"/>
        <v>0</v>
      </c>
      <c r="AA270" s="60"/>
      <c r="AB270" s="60"/>
    </row>
    <row r="271" spans="1:28" x14ac:dyDescent="0.25">
      <c r="A271" s="443"/>
      <c r="B271" s="443"/>
      <c r="C271" s="443"/>
      <c r="D271" s="330"/>
      <c r="E271" s="330"/>
      <c r="F271" s="330"/>
      <c r="G271" s="330"/>
      <c r="H271" s="330"/>
      <c r="I271" s="330"/>
      <c r="J271" s="330"/>
      <c r="K271" s="330"/>
      <c r="L271" s="79"/>
      <c r="M271" s="80"/>
      <c r="N271" s="79"/>
      <c r="O271" s="80"/>
      <c r="P271" s="79"/>
      <c r="Q271" s="80"/>
      <c r="R271" s="79"/>
      <c r="S271" s="80"/>
      <c r="T271" s="79"/>
      <c r="U271" s="80"/>
      <c r="V271" s="79"/>
      <c r="W271" s="80"/>
      <c r="X271" s="79"/>
      <c r="Y271" s="80"/>
      <c r="Z271" s="50">
        <f t="shared" si="4"/>
        <v>0</v>
      </c>
      <c r="AA271" s="60"/>
      <c r="AB271" s="60"/>
    </row>
    <row r="272" spans="1:28" x14ac:dyDescent="0.25">
      <c r="A272" s="443"/>
      <c r="B272" s="443"/>
      <c r="C272" s="443"/>
      <c r="D272" s="330"/>
      <c r="E272" s="330"/>
      <c r="F272" s="330"/>
      <c r="G272" s="330"/>
      <c r="H272" s="330"/>
      <c r="I272" s="330"/>
      <c r="J272" s="330"/>
      <c r="K272" s="330"/>
      <c r="L272" s="79"/>
      <c r="M272" s="80"/>
      <c r="N272" s="79"/>
      <c r="O272" s="80"/>
      <c r="P272" s="79"/>
      <c r="Q272" s="80"/>
      <c r="R272" s="79"/>
      <c r="S272" s="80"/>
      <c r="T272" s="79"/>
      <c r="U272" s="80"/>
      <c r="V272" s="79"/>
      <c r="W272" s="80"/>
      <c r="X272" s="79"/>
      <c r="Y272" s="80"/>
      <c r="Z272" s="50">
        <f t="shared" si="4"/>
        <v>0</v>
      </c>
      <c r="AA272" s="60"/>
      <c r="AB272" s="60"/>
    </row>
    <row r="273" spans="1:28" x14ac:dyDescent="0.25">
      <c r="A273" s="443"/>
      <c r="B273" s="443"/>
      <c r="C273" s="443"/>
      <c r="D273" s="330"/>
      <c r="E273" s="330"/>
      <c r="F273" s="330"/>
      <c r="G273" s="330"/>
      <c r="H273" s="330"/>
      <c r="I273" s="330"/>
      <c r="J273" s="330"/>
      <c r="K273" s="330"/>
      <c r="L273" s="79"/>
      <c r="M273" s="80"/>
      <c r="N273" s="79"/>
      <c r="O273" s="80"/>
      <c r="P273" s="79"/>
      <c r="Q273" s="80"/>
      <c r="R273" s="79"/>
      <c r="S273" s="80"/>
      <c r="T273" s="79"/>
      <c r="U273" s="80"/>
      <c r="V273" s="79"/>
      <c r="W273" s="80"/>
      <c r="X273" s="79"/>
      <c r="Y273" s="80"/>
      <c r="Z273" s="50">
        <f t="shared" si="4"/>
        <v>0</v>
      </c>
      <c r="AA273" s="60"/>
      <c r="AB273" s="60"/>
    </row>
    <row r="274" spans="1:28" x14ac:dyDescent="0.25">
      <c r="A274" s="443"/>
      <c r="B274" s="443"/>
      <c r="C274" s="443"/>
      <c r="D274" s="330"/>
      <c r="E274" s="330"/>
      <c r="F274" s="330"/>
      <c r="G274" s="330"/>
      <c r="H274" s="330"/>
      <c r="I274" s="330"/>
      <c r="J274" s="330"/>
      <c r="K274" s="330"/>
      <c r="L274" s="79"/>
      <c r="M274" s="80"/>
      <c r="N274" s="79"/>
      <c r="O274" s="80"/>
      <c r="P274" s="79"/>
      <c r="Q274" s="80"/>
      <c r="R274" s="79"/>
      <c r="S274" s="80"/>
      <c r="T274" s="79"/>
      <c r="U274" s="80"/>
      <c r="V274" s="79"/>
      <c r="W274" s="80"/>
      <c r="X274" s="79"/>
      <c r="Y274" s="80"/>
      <c r="Z274" s="50">
        <f t="shared" si="4"/>
        <v>0</v>
      </c>
      <c r="AA274" s="60"/>
      <c r="AB274" s="60"/>
    </row>
    <row r="275" spans="1:28" x14ac:dyDescent="0.25">
      <c r="A275" s="443"/>
      <c r="B275" s="443"/>
      <c r="C275" s="443"/>
      <c r="D275" s="330"/>
      <c r="E275" s="330"/>
      <c r="F275" s="330"/>
      <c r="G275" s="330"/>
      <c r="H275" s="330"/>
      <c r="I275" s="330"/>
      <c r="J275" s="330"/>
      <c r="K275" s="330"/>
      <c r="L275" s="79"/>
      <c r="M275" s="80"/>
      <c r="N275" s="79"/>
      <c r="O275" s="80"/>
      <c r="P275" s="79"/>
      <c r="Q275" s="80"/>
      <c r="R275" s="79"/>
      <c r="S275" s="80"/>
      <c r="T275" s="79"/>
      <c r="U275" s="80"/>
      <c r="V275" s="79"/>
      <c r="W275" s="80"/>
      <c r="X275" s="79"/>
      <c r="Y275" s="80"/>
      <c r="Z275" s="50">
        <f t="shared" si="4"/>
        <v>0</v>
      </c>
      <c r="AA275" s="60"/>
      <c r="AB275" s="60"/>
    </row>
    <row r="276" spans="1:28" x14ac:dyDescent="0.25">
      <c r="A276" s="443"/>
      <c r="B276" s="443"/>
      <c r="C276" s="443"/>
      <c r="D276" s="330"/>
      <c r="E276" s="330"/>
      <c r="F276" s="330"/>
      <c r="G276" s="330"/>
      <c r="H276" s="330"/>
      <c r="I276" s="330"/>
      <c r="J276" s="330"/>
      <c r="K276" s="330"/>
      <c r="L276" s="79"/>
      <c r="M276" s="80"/>
      <c r="N276" s="79"/>
      <c r="O276" s="80"/>
      <c r="P276" s="79"/>
      <c r="Q276" s="80"/>
      <c r="R276" s="79"/>
      <c r="S276" s="80"/>
      <c r="T276" s="79"/>
      <c r="U276" s="80"/>
      <c r="V276" s="79"/>
      <c r="W276" s="80"/>
      <c r="X276" s="79"/>
      <c r="Y276" s="80"/>
      <c r="Z276" s="50">
        <f t="shared" si="4"/>
        <v>0</v>
      </c>
      <c r="AA276" s="60"/>
      <c r="AB276" s="60"/>
    </row>
    <row r="277" spans="1:28" x14ac:dyDescent="0.25">
      <c r="A277" s="443"/>
      <c r="B277" s="443"/>
      <c r="C277" s="443"/>
      <c r="D277" s="330"/>
      <c r="E277" s="330"/>
      <c r="F277" s="330"/>
      <c r="G277" s="330"/>
      <c r="H277" s="330"/>
      <c r="I277" s="330"/>
      <c r="J277" s="330"/>
      <c r="K277" s="330"/>
      <c r="L277" s="79"/>
      <c r="M277" s="80"/>
      <c r="N277" s="79"/>
      <c r="O277" s="80"/>
      <c r="P277" s="79"/>
      <c r="Q277" s="80"/>
      <c r="R277" s="79"/>
      <c r="S277" s="80"/>
      <c r="T277" s="79"/>
      <c r="U277" s="80"/>
      <c r="V277" s="79"/>
      <c r="W277" s="80"/>
      <c r="X277" s="79"/>
      <c r="Y277" s="80"/>
      <c r="Z277" s="50">
        <f t="shared" si="4"/>
        <v>0</v>
      </c>
      <c r="AA277" s="60"/>
      <c r="AB277" s="60"/>
    </row>
    <row r="278" spans="1:28" x14ac:dyDescent="0.25">
      <c r="A278" s="443"/>
      <c r="B278" s="443"/>
      <c r="C278" s="443"/>
      <c r="D278" s="330"/>
      <c r="E278" s="330"/>
      <c r="F278" s="330"/>
      <c r="G278" s="330"/>
      <c r="H278" s="330"/>
      <c r="I278" s="330"/>
      <c r="J278" s="330"/>
      <c r="K278" s="330"/>
      <c r="L278" s="79"/>
      <c r="M278" s="80"/>
      <c r="N278" s="79"/>
      <c r="O278" s="80"/>
      <c r="P278" s="79"/>
      <c r="Q278" s="80"/>
      <c r="R278" s="79"/>
      <c r="S278" s="80"/>
      <c r="T278" s="79"/>
      <c r="U278" s="80"/>
      <c r="V278" s="79"/>
      <c r="W278" s="80"/>
      <c r="X278" s="79"/>
      <c r="Y278" s="80"/>
      <c r="Z278" s="50">
        <f t="shared" si="4"/>
        <v>0</v>
      </c>
      <c r="AA278" s="60"/>
      <c r="AB278" s="60"/>
    </row>
    <row r="279" spans="1:28" x14ac:dyDescent="0.25">
      <c r="A279" s="443"/>
      <c r="B279" s="443"/>
      <c r="C279" s="443"/>
      <c r="D279" s="330"/>
      <c r="E279" s="330"/>
      <c r="F279" s="330"/>
      <c r="G279" s="330"/>
      <c r="H279" s="330"/>
      <c r="I279" s="330"/>
      <c r="J279" s="330"/>
      <c r="K279" s="330"/>
      <c r="L279" s="79"/>
      <c r="M279" s="80"/>
      <c r="N279" s="79"/>
      <c r="O279" s="80"/>
      <c r="P279" s="79"/>
      <c r="Q279" s="80"/>
      <c r="R279" s="79"/>
      <c r="S279" s="80"/>
      <c r="T279" s="79"/>
      <c r="U279" s="80"/>
      <c r="V279" s="79"/>
      <c r="W279" s="80"/>
      <c r="X279" s="79"/>
      <c r="Y279" s="80"/>
      <c r="Z279" s="50">
        <f t="shared" si="4"/>
        <v>0</v>
      </c>
      <c r="AA279" s="60"/>
      <c r="AB279" s="60"/>
    </row>
    <row r="280" spans="1:28" x14ac:dyDescent="0.25">
      <c r="A280" s="443"/>
      <c r="B280" s="443"/>
      <c r="C280" s="443"/>
      <c r="D280" s="330"/>
      <c r="E280" s="330"/>
      <c r="F280" s="330"/>
      <c r="G280" s="330"/>
      <c r="H280" s="330"/>
      <c r="I280" s="330"/>
      <c r="J280" s="330"/>
      <c r="K280" s="330"/>
      <c r="L280" s="79"/>
      <c r="M280" s="80"/>
      <c r="N280" s="79"/>
      <c r="O280" s="80"/>
      <c r="P280" s="79"/>
      <c r="Q280" s="80"/>
      <c r="R280" s="79"/>
      <c r="S280" s="80"/>
      <c r="T280" s="79"/>
      <c r="U280" s="80"/>
      <c r="V280" s="79"/>
      <c r="W280" s="80"/>
      <c r="X280" s="79"/>
      <c r="Y280" s="80"/>
      <c r="Z280" s="50">
        <f t="shared" si="4"/>
        <v>0</v>
      </c>
      <c r="AA280" s="60"/>
      <c r="AB280" s="60"/>
    </row>
    <row r="281" spans="1:28" x14ac:dyDescent="0.25">
      <c r="A281" s="443"/>
      <c r="B281" s="443"/>
      <c r="C281" s="443"/>
      <c r="D281" s="330"/>
      <c r="E281" s="330"/>
      <c r="F281" s="330"/>
      <c r="G281" s="330"/>
      <c r="H281" s="330"/>
      <c r="I281" s="330"/>
      <c r="J281" s="330"/>
      <c r="K281" s="330"/>
      <c r="L281" s="79"/>
      <c r="M281" s="80"/>
      <c r="N281" s="79"/>
      <c r="O281" s="80"/>
      <c r="P281" s="79"/>
      <c r="Q281" s="80"/>
      <c r="R281" s="79"/>
      <c r="S281" s="80"/>
      <c r="T281" s="79"/>
      <c r="U281" s="80"/>
      <c r="V281" s="79"/>
      <c r="W281" s="80"/>
      <c r="X281" s="79"/>
      <c r="Y281" s="80"/>
      <c r="Z281" s="50">
        <f t="shared" si="4"/>
        <v>0</v>
      </c>
      <c r="AA281" s="60"/>
      <c r="AB281" s="60"/>
    </row>
    <row r="282" spans="1:28" x14ac:dyDescent="0.25">
      <c r="A282" s="443"/>
      <c r="B282" s="443"/>
      <c r="C282" s="443"/>
      <c r="D282" s="330"/>
      <c r="E282" s="330"/>
      <c r="F282" s="330"/>
      <c r="G282" s="330"/>
      <c r="H282" s="330"/>
      <c r="I282" s="330"/>
      <c r="J282" s="330"/>
      <c r="K282" s="330"/>
      <c r="L282" s="79"/>
      <c r="M282" s="80"/>
      <c r="N282" s="79"/>
      <c r="O282" s="80"/>
      <c r="P282" s="79"/>
      <c r="Q282" s="80"/>
      <c r="R282" s="79"/>
      <c r="S282" s="80"/>
      <c r="T282" s="79"/>
      <c r="U282" s="80"/>
      <c r="V282" s="79"/>
      <c r="W282" s="80"/>
      <c r="X282" s="79"/>
      <c r="Y282" s="80"/>
      <c r="Z282" s="50">
        <f t="shared" si="4"/>
        <v>0</v>
      </c>
      <c r="AA282" s="60"/>
      <c r="AB282" s="60"/>
    </row>
    <row r="283" spans="1:28" x14ac:dyDescent="0.25">
      <c r="A283" s="443"/>
      <c r="B283" s="443"/>
      <c r="C283" s="443"/>
      <c r="D283" s="330"/>
      <c r="E283" s="330"/>
      <c r="F283" s="330"/>
      <c r="G283" s="330"/>
      <c r="H283" s="330"/>
      <c r="I283" s="330"/>
      <c r="J283" s="330"/>
      <c r="K283" s="330"/>
      <c r="L283" s="79"/>
      <c r="M283" s="80"/>
      <c r="N283" s="79"/>
      <c r="O283" s="80"/>
      <c r="P283" s="79"/>
      <c r="Q283" s="80"/>
      <c r="R283" s="79"/>
      <c r="S283" s="80"/>
      <c r="T283" s="79"/>
      <c r="U283" s="80"/>
      <c r="V283" s="79"/>
      <c r="W283" s="80"/>
      <c r="X283" s="79"/>
      <c r="Y283" s="80"/>
      <c r="Z283" s="50">
        <f t="shared" si="4"/>
        <v>0</v>
      </c>
      <c r="AA283" s="60"/>
      <c r="AB283" s="60"/>
    </row>
    <row r="284" spans="1:28" x14ac:dyDescent="0.25">
      <c r="A284" s="443"/>
      <c r="B284" s="443"/>
      <c r="C284" s="443"/>
      <c r="D284" s="330"/>
      <c r="E284" s="330"/>
      <c r="F284" s="330"/>
      <c r="G284" s="330"/>
      <c r="H284" s="330"/>
      <c r="I284" s="330"/>
      <c r="J284" s="330"/>
      <c r="K284" s="330"/>
      <c r="L284" s="79"/>
      <c r="M284" s="80"/>
      <c r="N284" s="79"/>
      <c r="O284" s="80"/>
      <c r="P284" s="79"/>
      <c r="Q284" s="80"/>
      <c r="R284" s="79"/>
      <c r="S284" s="80"/>
      <c r="T284" s="79"/>
      <c r="U284" s="80"/>
      <c r="V284" s="79"/>
      <c r="W284" s="80"/>
      <c r="X284" s="79"/>
      <c r="Y284" s="80"/>
      <c r="Z284" s="50">
        <f t="shared" si="4"/>
        <v>0</v>
      </c>
      <c r="AA284" s="60"/>
      <c r="AB284" s="60"/>
    </row>
    <row r="285" spans="1:28" x14ac:dyDescent="0.25">
      <c r="A285" s="443"/>
      <c r="B285" s="443"/>
      <c r="C285" s="443"/>
      <c r="D285" s="330"/>
      <c r="E285" s="330"/>
      <c r="F285" s="330"/>
      <c r="G285" s="330"/>
      <c r="H285" s="330"/>
      <c r="I285" s="330"/>
      <c r="J285" s="330"/>
      <c r="K285" s="330"/>
      <c r="L285" s="79"/>
      <c r="M285" s="80"/>
      <c r="N285" s="79"/>
      <c r="O285" s="80"/>
      <c r="P285" s="79"/>
      <c r="Q285" s="80"/>
      <c r="R285" s="79"/>
      <c r="S285" s="80"/>
      <c r="T285" s="79"/>
      <c r="U285" s="80"/>
      <c r="V285" s="79"/>
      <c r="W285" s="80"/>
      <c r="X285" s="79"/>
      <c r="Y285" s="80"/>
      <c r="Z285" s="50">
        <f t="shared" si="4"/>
        <v>0</v>
      </c>
      <c r="AA285" s="60"/>
      <c r="AB285" s="60"/>
    </row>
    <row r="286" spans="1:28" x14ac:dyDescent="0.25">
      <c r="A286" s="443"/>
      <c r="B286" s="443"/>
      <c r="C286" s="443"/>
      <c r="D286" s="330"/>
      <c r="E286" s="330"/>
      <c r="F286" s="330"/>
      <c r="G286" s="330"/>
      <c r="H286" s="330"/>
      <c r="I286" s="330"/>
      <c r="J286" s="330"/>
      <c r="K286" s="330"/>
      <c r="L286" s="79"/>
      <c r="M286" s="80"/>
      <c r="N286" s="79"/>
      <c r="O286" s="80"/>
      <c r="P286" s="79"/>
      <c r="Q286" s="80"/>
      <c r="R286" s="79"/>
      <c r="S286" s="80"/>
      <c r="T286" s="79"/>
      <c r="U286" s="80"/>
      <c r="V286" s="79"/>
      <c r="W286" s="80"/>
      <c r="X286" s="79"/>
      <c r="Y286" s="80"/>
      <c r="Z286" s="50">
        <f t="shared" si="4"/>
        <v>0</v>
      </c>
      <c r="AA286" s="60"/>
      <c r="AB286" s="60"/>
    </row>
    <row r="287" spans="1:28" x14ac:dyDescent="0.25">
      <c r="A287" s="443"/>
      <c r="B287" s="443"/>
      <c r="C287" s="443"/>
      <c r="D287" s="330"/>
      <c r="E287" s="330"/>
      <c r="F287" s="330"/>
      <c r="G287" s="330"/>
      <c r="H287" s="330"/>
      <c r="I287" s="330"/>
      <c r="J287" s="330"/>
      <c r="K287" s="330"/>
      <c r="L287" s="79"/>
      <c r="M287" s="80"/>
      <c r="N287" s="79"/>
      <c r="O287" s="80"/>
      <c r="P287" s="79"/>
      <c r="Q287" s="80"/>
      <c r="R287" s="79"/>
      <c r="S287" s="80"/>
      <c r="T287" s="79"/>
      <c r="U287" s="80"/>
      <c r="V287" s="79"/>
      <c r="W287" s="80"/>
      <c r="X287" s="79"/>
      <c r="Y287" s="80"/>
      <c r="Z287" s="50">
        <f t="shared" si="4"/>
        <v>0</v>
      </c>
      <c r="AA287" s="60"/>
      <c r="AB287" s="60"/>
    </row>
    <row r="288" spans="1:28" x14ac:dyDescent="0.25">
      <c r="A288" s="443"/>
      <c r="B288" s="443"/>
      <c r="C288" s="443"/>
      <c r="D288" s="330"/>
      <c r="E288" s="330"/>
      <c r="F288" s="330"/>
      <c r="G288" s="330"/>
      <c r="H288" s="330"/>
      <c r="I288" s="330"/>
      <c r="J288" s="330"/>
      <c r="K288" s="330"/>
      <c r="L288" s="79"/>
      <c r="M288" s="80"/>
      <c r="N288" s="79"/>
      <c r="O288" s="80"/>
      <c r="P288" s="79"/>
      <c r="Q288" s="80"/>
      <c r="R288" s="79"/>
      <c r="S288" s="80"/>
      <c r="T288" s="79"/>
      <c r="U288" s="80"/>
      <c r="V288" s="79"/>
      <c r="W288" s="80"/>
      <c r="X288" s="79"/>
      <c r="Y288" s="80"/>
      <c r="Z288" s="50">
        <f t="shared" si="4"/>
        <v>0</v>
      </c>
      <c r="AA288" s="60"/>
      <c r="AB288" s="60"/>
    </row>
    <row r="289" spans="1:28" x14ac:dyDescent="0.25">
      <c r="A289" s="443"/>
      <c r="B289" s="443"/>
      <c r="C289" s="443"/>
      <c r="D289" s="330"/>
      <c r="E289" s="330"/>
      <c r="F289" s="330"/>
      <c r="G289" s="330"/>
      <c r="H289" s="330"/>
      <c r="I289" s="330"/>
      <c r="J289" s="330"/>
      <c r="K289" s="330"/>
      <c r="L289" s="79"/>
      <c r="M289" s="80"/>
      <c r="N289" s="79"/>
      <c r="O289" s="80"/>
      <c r="P289" s="79"/>
      <c r="Q289" s="80"/>
      <c r="R289" s="79"/>
      <c r="S289" s="80"/>
      <c r="T289" s="79"/>
      <c r="U289" s="80"/>
      <c r="V289" s="79"/>
      <c r="W289" s="80"/>
      <c r="X289" s="79"/>
      <c r="Y289" s="80"/>
      <c r="Z289" s="50">
        <f t="shared" si="4"/>
        <v>0</v>
      </c>
      <c r="AA289" s="60"/>
      <c r="AB289" s="60"/>
    </row>
    <row r="290" spans="1:28" x14ac:dyDescent="0.25">
      <c r="A290" s="443"/>
      <c r="B290" s="443"/>
      <c r="C290" s="443"/>
      <c r="D290" s="330"/>
      <c r="E290" s="330"/>
      <c r="F290" s="330"/>
      <c r="G290" s="330"/>
      <c r="H290" s="330"/>
      <c r="I290" s="330"/>
      <c r="J290" s="330"/>
      <c r="K290" s="330"/>
      <c r="L290" s="79"/>
      <c r="M290" s="80"/>
      <c r="N290" s="79"/>
      <c r="O290" s="80"/>
      <c r="P290" s="79"/>
      <c r="Q290" s="80"/>
      <c r="R290" s="79"/>
      <c r="S290" s="80"/>
      <c r="T290" s="79"/>
      <c r="U290" s="80"/>
      <c r="V290" s="79"/>
      <c r="W290" s="80"/>
      <c r="X290" s="79"/>
      <c r="Y290" s="80"/>
      <c r="Z290" s="50">
        <f t="shared" si="4"/>
        <v>0</v>
      </c>
      <c r="AA290" s="60"/>
      <c r="AB290" s="60"/>
    </row>
    <row r="291" spans="1:28" x14ac:dyDescent="0.25">
      <c r="A291" s="443"/>
      <c r="B291" s="443"/>
      <c r="C291" s="443"/>
      <c r="D291" s="330"/>
      <c r="E291" s="330"/>
      <c r="F291" s="330"/>
      <c r="G291" s="330"/>
      <c r="H291" s="330"/>
      <c r="I291" s="330"/>
      <c r="J291" s="330"/>
      <c r="K291" s="330"/>
      <c r="L291" s="79"/>
      <c r="M291" s="80"/>
      <c r="N291" s="79"/>
      <c r="O291" s="80"/>
      <c r="P291" s="79"/>
      <c r="Q291" s="80"/>
      <c r="R291" s="79"/>
      <c r="S291" s="80"/>
      <c r="T291" s="79"/>
      <c r="U291" s="80"/>
      <c r="V291" s="79"/>
      <c r="W291" s="80"/>
      <c r="X291" s="79"/>
      <c r="Y291" s="80"/>
      <c r="Z291" s="50">
        <f t="shared" si="4"/>
        <v>0</v>
      </c>
      <c r="AA291" s="60"/>
      <c r="AB291" s="60"/>
    </row>
    <row r="292" spans="1:28" x14ac:dyDescent="0.25">
      <c r="A292" s="443"/>
      <c r="B292" s="443"/>
      <c r="C292" s="443"/>
      <c r="D292" s="330"/>
      <c r="E292" s="330"/>
      <c r="F292" s="330"/>
      <c r="G292" s="330"/>
      <c r="H292" s="330"/>
      <c r="I292" s="330"/>
      <c r="J292" s="330"/>
      <c r="K292" s="330"/>
      <c r="L292" s="79"/>
      <c r="M292" s="80"/>
      <c r="N292" s="79"/>
      <c r="O292" s="80"/>
      <c r="P292" s="79"/>
      <c r="Q292" s="80"/>
      <c r="R292" s="79"/>
      <c r="S292" s="80"/>
      <c r="T292" s="79"/>
      <c r="U292" s="80"/>
      <c r="V292" s="79"/>
      <c r="W292" s="80"/>
      <c r="X292" s="79"/>
      <c r="Y292" s="80"/>
      <c r="Z292" s="50">
        <f t="shared" si="4"/>
        <v>0</v>
      </c>
      <c r="AA292" s="60"/>
      <c r="AB292" s="60"/>
    </row>
    <row r="293" spans="1:28" x14ac:dyDescent="0.25">
      <c r="A293" s="443"/>
      <c r="B293" s="443"/>
      <c r="C293" s="443"/>
      <c r="D293" s="330"/>
      <c r="E293" s="330"/>
      <c r="F293" s="330"/>
      <c r="G293" s="330"/>
      <c r="H293" s="330"/>
      <c r="I293" s="330"/>
      <c r="J293" s="330"/>
      <c r="K293" s="330"/>
      <c r="L293" s="79"/>
      <c r="M293" s="80"/>
      <c r="N293" s="79"/>
      <c r="O293" s="80"/>
      <c r="P293" s="79"/>
      <c r="Q293" s="80"/>
      <c r="R293" s="79"/>
      <c r="S293" s="80"/>
      <c r="T293" s="79"/>
      <c r="U293" s="80"/>
      <c r="V293" s="79"/>
      <c r="W293" s="80"/>
      <c r="X293" s="79"/>
      <c r="Y293" s="80"/>
      <c r="Z293" s="50">
        <f t="shared" si="4"/>
        <v>0</v>
      </c>
      <c r="AA293" s="60"/>
      <c r="AB293" s="60"/>
    </row>
    <row r="294" spans="1:28" x14ac:dyDescent="0.25">
      <c r="A294" s="443"/>
      <c r="B294" s="443"/>
      <c r="C294" s="443"/>
      <c r="D294" s="330"/>
      <c r="E294" s="330"/>
      <c r="F294" s="330"/>
      <c r="G294" s="330"/>
      <c r="H294" s="330"/>
      <c r="I294" s="330"/>
      <c r="J294" s="330"/>
      <c r="K294" s="330"/>
      <c r="L294" s="79"/>
      <c r="M294" s="80"/>
      <c r="N294" s="79"/>
      <c r="O294" s="80"/>
      <c r="P294" s="79"/>
      <c r="Q294" s="80"/>
      <c r="R294" s="79"/>
      <c r="S294" s="80"/>
      <c r="T294" s="79"/>
      <c r="U294" s="80"/>
      <c r="V294" s="79"/>
      <c r="W294" s="80"/>
      <c r="X294" s="79"/>
      <c r="Y294" s="80"/>
      <c r="Z294" s="50">
        <f t="shared" si="4"/>
        <v>0</v>
      </c>
      <c r="AA294" s="60"/>
      <c r="AB294" s="60"/>
    </row>
    <row r="295" spans="1:28" x14ac:dyDescent="0.25">
      <c r="A295" s="443"/>
      <c r="B295" s="443"/>
      <c r="C295" s="443"/>
      <c r="D295" s="330"/>
      <c r="E295" s="330"/>
      <c r="F295" s="330"/>
      <c r="G295" s="330"/>
      <c r="H295" s="330"/>
      <c r="I295" s="330"/>
      <c r="J295" s="330"/>
      <c r="K295" s="330"/>
      <c r="L295" s="79"/>
      <c r="M295" s="80"/>
      <c r="N295" s="79"/>
      <c r="O295" s="80"/>
      <c r="P295" s="79"/>
      <c r="Q295" s="80"/>
      <c r="R295" s="79"/>
      <c r="S295" s="80"/>
      <c r="T295" s="79"/>
      <c r="U295" s="80"/>
      <c r="V295" s="79"/>
      <c r="W295" s="80"/>
      <c r="X295" s="79"/>
      <c r="Y295" s="80"/>
      <c r="Z295" s="50">
        <f t="shared" si="4"/>
        <v>0</v>
      </c>
      <c r="AA295" s="60"/>
      <c r="AB295" s="60"/>
    </row>
    <row r="296" spans="1:28" x14ac:dyDescent="0.25">
      <c r="A296" s="443"/>
      <c r="B296" s="443"/>
      <c r="C296" s="443"/>
      <c r="D296" s="330"/>
      <c r="E296" s="330"/>
      <c r="F296" s="330"/>
      <c r="G296" s="330"/>
      <c r="H296" s="330"/>
      <c r="I296" s="330"/>
      <c r="J296" s="330"/>
      <c r="K296" s="330"/>
      <c r="L296" s="79"/>
      <c r="M296" s="80"/>
      <c r="N296" s="79"/>
      <c r="O296" s="80"/>
      <c r="P296" s="79"/>
      <c r="Q296" s="80"/>
      <c r="R296" s="79"/>
      <c r="S296" s="80"/>
      <c r="T296" s="79"/>
      <c r="U296" s="80"/>
      <c r="V296" s="79"/>
      <c r="W296" s="80"/>
      <c r="X296" s="79"/>
      <c r="Y296" s="80"/>
      <c r="Z296" s="50">
        <f t="shared" si="4"/>
        <v>0</v>
      </c>
      <c r="AA296" s="60"/>
      <c r="AB296" s="60"/>
    </row>
    <row r="297" spans="1:28" x14ac:dyDescent="0.25">
      <c r="A297" s="443"/>
      <c r="B297" s="443"/>
      <c r="C297" s="443"/>
      <c r="D297" s="330"/>
      <c r="E297" s="330"/>
      <c r="F297" s="330"/>
      <c r="G297" s="330"/>
      <c r="H297" s="330"/>
      <c r="I297" s="330"/>
      <c r="J297" s="330"/>
      <c r="K297" s="330"/>
      <c r="L297" s="79"/>
      <c r="M297" s="80"/>
      <c r="N297" s="79"/>
      <c r="O297" s="80"/>
      <c r="P297" s="79"/>
      <c r="Q297" s="80"/>
      <c r="R297" s="79"/>
      <c r="S297" s="80"/>
      <c r="T297" s="79"/>
      <c r="U297" s="80"/>
      <c r="V297" s="79"/>
      <c r="W297" s="80"/>
      <c r="X297" s="79"/>
      <c r="Y297" s="80"/>
      <c r="Z297" s="50">
        <f t="shared" si="4"/>
        <v>0</v>
      </c>
      <c r="AA297" s="60"/>
      <c r="AB297" s="60"/>
    </row>
    <row r="298" spans="1:28" x14ac:dyDescent="0.25">
      <c r="A298" s="443"/>
      <c r="B298" s="443"/>
      <c r="C298" s="443"/>
      <c r="D298" s="330"/>
      <c r="E298" s="330"/>
      <c r="F298" s="330"/>
      <c r="G298" s="330"/>
      <c r="H298" s="330"/>
      <c r="I298" s="330"/>
      <c r="J298" s="330"/>
      <c r="K298" s="330"/>
      <c r="L298" s="79"/>
      <c r="M298" s="80"/>
      <c r="N298" s="79"/>
      <c r="O298" s="80"/>
      <c r="P298" s="79"/>
      <c r="Q298" s="80"/>
      <c r="R298" s="79"/>
      <c r="S298" s="80"/>
      <c r="T298" s="79"/>
      <c r="U298" s="80"/>
      <c r="V298" s="79"/>
      <c r="W298" s="80"/>
      <c r="X298" s="79"/>
      <c r="Y298" s="80"/>
      <c r="Z298" s="50">
        <f t="shared" si="4"/>
        <v>0</v>
      </c>
      <c r="AA298" s="60"/>
      <c r="AB298" s="60"/>
    </row>
    <row r="299" spans="1:28" x14ac:dyDescent="0.25">
      <c r="A299" s="443"/>
      <c r="B299" s="443"/>
      <c r="C299" s="443"/>
      <c r="D299" s="330"/>
      <c r="E299" s="330"/>
      <c r="F299" s="330"/>
      <c r="G299" s="330"/>
      <c r="H299" s="330"/>
      <c r="I299" s="330"/>
      <c r="J299" s="330"/>
      <c r="K299" s="330"/>
      <c r="L299" s="79"/>
      <c r="M299" s="80"/>
      <c r="N299" s="79"/>
      <c r="O299" s="80"/>
      <c r="P299" s="79"/>
      <c r="Q299" s="80"/>
      <c r="R299" s="79"/>
      <c r="S299" s="80"/>
      <c r="T299" s="79"/>
      <c r="U299" s="80"/>
      <c r="V299" s="79"/>
      <c r="W299" s="80"/>
      <c r="X299" s="79"/>
      <c r="Y299" s="80"/>
      <c r="Z299" s="50">
        <f t="shared" si="4"/>
        <v>0</v>
      </c>
      <c r="AA299" s="60"/>
      <c r="AB299" s="60"/>
    </row>
    <row r="300" spans="1:28" x14ac:dyDescent="0.25">
      <c r="A300" s="443"/>
      <c r="B300" s="443"/>
      <c r="C300" s="443"/>
      <c r="D300" s="330"/>
      <c r="E300" s="330"/>
      <c r="F300" s="330"/>
      <c r="G300" s="330"/>
      <c r="H300" s="330"/>
      <c r="I300" s="330"/>
      <c r="J300" s="330"/>
      <c r="K300" s="330"/>
      <c r="L300" s="79"/>
      <c r="M300" s="80"/>
      <c r="N300" s="79"/>
      <c r="O300" s="80"/>
      <c r="P300" s="79"/>
      <c r="Q300" s="80"/>
      <c r="R300" s="79"/>
      <c r="S300" s="80"/>
      <c r="T300" s="79"/>
      <c r="U300" s="80"/>
      <c r="V300" s="79"/>
      <c r="W300" s="80"/>
      <c r="X300" s="79"/>
      <c r="Y300" s="80"/>
      <c r="Z300" s="50">
        <f t="shared" si="4"/>
        <v>0</v>
      </c>
      <c r="AA300" s="60"/>
      <c r="AB300" s="60"/>
    </row>
    <row r="301" spans="1:28" x14ac:dyDescent="0.25">
      <c r="A301" s="443"/>
      <c r="B301" s="443"/>
      <c r="C301" s="443"/>
      <c r="D301" s="330"/>
      <c r="E301" s="330"/>
      <c r="F301" s="330"/>
      <c r="G301" s="330"/>
      <c r="H301" s="330"/>
      <c r="I301" s="330"/>
      <c r="J301" s="330"/>
      <c r="K301" s="330"/>
      <c r="L301" s="79"/>
      <c r="M301" s="80"/>
      <c r="N301" s="79"/>
      <c r="O301" s="80"/>
      <c r="P301" s="79"/>
      <c r="Q301" s="80"/>
      <c r="R301" s="79"/>
      <c r="S301" s="80"/>
      <c r="T301" s="79"/>
      <c r="U301" s="80"/>
      <c r="V301" s="79"/>
      <c r="W301" s="80"/>
      <c r="X301" s="79"/>
      <c r="Y301" s="80"/>
      <c r="Z301" s="50">
        <f t="shared" si="4"/>
        <v>0</v>
      </c>
      <c r="AA301" s="60"/>
      <c r="AB301" s="60"/>
    </row>
    <row r="302" spans="1:28" x14ac:dyDescent="0.25">
      <c r="A302" s="443"/>
      <c r="B302" s="443"/>
      <c r="C302" s="443"/>
      <c r="D302" s="330"/>
      <c r="E302" s="330"/>
      <c r="F302" s="330"/>
      <c r="G302" s="330"/>
      <c r="H302" s="330"/>
      <c r="I302" s="330"/>
      <c r="J302" s="330"/>
      <c r="K302" s="330"/>
      <c r="L302" s="79"/>
      <c r="M302" s="80"/>
      <c r="N302" s="79"/>
      <c r="O302" s="80"/>
      <c r="P302" s="79"/>
      <c r="Q302" s="80"/>
      <c r="R302" s="79"/>
      <c r="S302" s="80"/>
      <c r="T302" s="79"/>
      <c r="U302" s="80"/>
      <c r="V302" s="79"/>
      <c r="W302" s="80"/>
      <c r="X302" s="79"/>
      <c r="Y302" s="80"/>
      <c r="Z302" s="50">
        <f t="shared" si="4"/>
        <v>0</v>
      </c>
      <c r="AA302" s="60"/>
      <c r="AB302" s="60"/>
    </row>
    <row r="303" spans="1:28" x14ac:dyDescent="0.25">
      <c r="A303" s="443"/>
      <c r="B303" s="443"/>
      <c r="C303" s="443"/>
      <c r="D303" s="330"/>
      <c r="E303" s="330"/>
      <c r="F303" s="330"/>
      <c r="G303" s="330"/>
      <c r="H303" s="330"/>
      <c r="I303" s="330"/>
      <c r="J303" s="330"/>
      <c r="K303" s="330"/>
      <c r="L303" s="79"/>
      <c r="M303" s="80"/>
      <c r="N303" s="79"/>
      <c r="O303" s="80"/>
      <c r="P303" s="79"/>
      <c r="Q303" s="80"/>
      <c r="R303" s="79"/>
      <c r="S303" s="80"/>
      <c r="T303" s="79"/>
      <c r="U303" s="80"/>
      <c r="V303" s="79"/>
      <c r="W303" s="80"/>
      <c r="X303" s="79"/>
      <c r="Y303" s="80"/>
      <c r="Z303" s="50">
        <f t="shared" si="4"/>
        <v>0</v>
      </c>
      <c r="AA303" s="60"/>
      <c r="AB303" s="60"/>
    </row>
    <row r="304" spans="1:28" x14ac:dyDescent="0.25">
      <c r="A304" s="443"/>
      <c r="B304" s="443"/>
      <c r="C304" s="443"/>
      <c r="D304" s="330"/>
      <c r="E304" s="330"/>
      <c r="F304" s="330"/>
      <c r="G304" s="330"/>
      <c r="H304" s="330"/>
      <c r="I304" s="330"/>
      <c r="J304" s="330"/>
      <c r="K304" s="330"/>
      <c r="L304" s="79"/>
      <c r="M304" s="80"/>
      <c r="N304" s="79"/>
      <c r="O304" s="80"/>
      <c r="P304" s="79"/>
      <c r="Q304" s="80"/>
      <c r="R304" s="79"/>
      <c r="S304" s="80"/>
      <c r="T304" s="79"/>
      <c r="U304" s="80"/>
      <c r="V304" s="79"/>
      <c r="W304" s="80"/>
      <c r="X304" s="79"/>
      <c r="Y304" s="80"/>
      <c r="Z304" s="50">
        <f t="shared" si="4"/>
        <v>0</v>
      </c>
      <c r="AA304" s="60"/>
      <c r="AB304" s="60"/>
    </row>
    <row r="305" spans="1:28" x14ac:dyDescent="0.25">
      <c r="A305" s="443"/>
      <c r="B305" s="443"/>
      <c r="C305" s="443"/>
      <c r="D305" s="330"/>
      <c r="E305" s="330"/>
      <c r="F305" s="330"/>
      <c r="G305" s="330"/>
      <c r="H305" s="330"/>
      <c r="I305" s="330"/>
      <c r="J305" s="330"/>
      <c r="K305" s="330"/>
      <c r="L305" s="79"/>
      <c r="M305" s="80"/>
      <c r="N305" s="79"/>
      <c r="O305" s="80"/>
      <c r="P305" s="79"/>
      <c r="Q305" s="80"/>
      <c r="R305" s="79"/>
      <c r="S305" s="80"/>
      <c r="T305" s="79"/>
      <c r="U305" s="80"/>
      <c r="V305" s="79"/>
      <c r="W305" s="80"/>
      <c r="X305" s="79"/>
      <c r="Y305" s="80"/>
      <c r="Z305" s="50">
        <f t="shared" si="4"/>
        <v>0</v>
      </c>
      <c r="AA305" s="60"/>
      <c r="AB305" s="60"/>
    </row>
    <row r="306" spans="1:28" x14ac:dyDescent="0.25">
      <c r="A306" s="443"/>
      <c r="B306" s="443"/>
      <c r="C306" s="443"/>
      <c r="D306" s="330"/>
      <c r="E306" s="330"/>
      <c r="F306" s="330"/>
      <c r="G306" s="330"/>
      <c r="H306" s="330"/>
      <c r="I306" s="330"/>
      <c r="J306" s="330"/>
      <c r="K306" s="330"/>
      <c r="L306" s="79"/>
      <c r="M306" s="80"/>
      <c r="N306" s="79"/>
      <c r="O306" s="80"/>
      <c r="P306" s="79"/>
      <c r="Q306" s="80"/>
      <c r="R306" s="79"/>
      <c r="S306" s="80"/>
      <c r="T306" s="79"/>
      <c r="U306" s="80"/>
      <c r="V306" s="79"/>
      <c r="W306" s="80"/>
      <c r="X306" s="79"/>
      <c r="Y306" s="80"/>
      <c r="Z306" s="50">
        <f t="shared" si="4"/>
        <v>0</v>
      </c>
      <c r="AA306" s="60"/>
      <c r="AB306" s="60"/>
    </row>
    <row r="307" spans="1:28" x14ac:dyDescent="0.25">
      <c r="A307" s="443"/>
      <c r="B307" s="443"/>
      <c r="C307" s="443"/>
      <c r="D307" s="330"/>
      <c r="E307" s="330"/>
      <c r="F307" s="330"/>
      <c r="G307" s="330"/>
      <c r="H307" s="330"/>
      <c r="I307" s="330"/>
      <c r="J307" s="330"/>
      <c r="K307" s="330"/>
      <c r="L307" s="79"/>
      <c r="M307" s="80"/>
      <c r="N307" s="79"/>
      <c r="O307" s="80"/>
      <c r="P307" s="79"/>
      <c r="Q307" s="80"/>
      <c r="R307" s="79"/>
      <c r="S307" s="80"/>
      <c r="T307" s="79"/>
      <c r="U307" s="80"/>
      <c r="V307" s="79"/>
      <c r="W307" s="80"/>
      <c r="X307" s="79"/>
      <c r="Y307" s="80"/>
      <c r="Z307" s="50">
        <f t="shared" si="4"/>
        <v>0</v>
      </c>
      <c r="AA307" s="60"/>
      <c r="AB307" s="60"/>
    </row>
    <row r="308" spans="1:28" x14ac:dyDescent="0.25">
      <c r="A308" s="443"/>
      <c r="B308" s="443"/>
      <c r="C308" s="443"/>
      <c r="D308" s="330"/>
      <c r="E308" s="330"/>
      <c r="F308" s="330"/>
      <c r="G308" s="330"/>
      <c r="H308" s="330"/>
      <c r="I308" s="330"/>
      <c r="J308" s="330"/>
      <c r="K308" s="330"/>
      <c r="L308" s="79"/>
      <c r="M308" s="80"/>
      <c r="N308" s="79"/>
      <c r="O308" s="80"/>
      <c r="P308" s="79"/>
      <c r="Q308" s="80"/>
      <c r="R308" s="79"/>
      <c r="S308" s="80"/>
      <c r="T308" s="79"/>
      <c r="U308" s="80"/>
      <c r="V308" s="79"/>
      <c r="W308" s="80"/>
      <c r="X308" s="79"/>
      <c r="Y308" s="80"/>
      <c r="Z308" s="50">
        <f t="shared" si="4"/>
        <v>0</v>
      </c>
      <c r="AA308" s="60"/>
      <c r="AB308" s="60"/>
    </row>
    <row r="309" spans="1:28" x14ac:dyDescent="0.25">
      <c r="A309" s="443"/>
      <c r="B309" s="443"/>
      <c r="C309" s="443"/>
      <c r="D309" s="330"/>
      <c r="E309" s="330"/>
      <c r="F309" s="330"/>
      <c r="G309" s="330"/>
      <c r="H309" s="330"/>
      <c r="I309" s="330"/>
      <c r="J309" s="330"/>
      <c r="K309" s="330"/>
      <c r="L309" s="79"/>
      <c r="M309" s="80"/>
      <c r="N309" s="79"/>
      <c r="O309" s="80"/>
      <c r="P309" s="79"/>
      <c r="Q309" s="80"/>
      <c r="R309" s="79"/>
      <c r="S309" s="80"/>
      <c r="T309" s="79"/>
      <c r="U309" s="80"/>
      <c r="V309" s="79"/>
      <c r="W309" s="80"/>
      <c r="X309" s="79"/>
      <c r="Y309" s="80"/>
      <c r="Z309" s="50">
        <f t="shared" si="4"/>
        <v>0</v>
      </c>
      <c r="AA309" s="60"/>
      <c r="AB309" s="60"/>
    </row>
    <row r="310" spans="1:28" x14ac:dyDescent="0.25">
      <c r="A310" s="443"/>
      <c r="B310" s="443"/>
      <c r="C310" s="443"/>
      <c r="D310" s="330"/>
      <c r="E310" s="330"/>
      <c r="F310" s="330"/>
      <c r="G310" s="330"/>
      <c r="H310" s="330"/>
      <c r="I310" s="330"/>
      <c r="J310" s="330"/>
      <c r="K310" s="330"/>
      <c r="L310" s="79"/>
      <c r="M310" s="80"/>
      <c r="N310" s="79"/>
      <c r="O310" s="80"/>
      <c r="P310" s="79"/>
      <c r="Q310" s="80"/>
      <c r="R310" s="79"/>
      <c r="S310" s="80"/>
      <c r="T310" s="79"/>
      <c r="U310" s="80"/>
      <c r="V310" s="79"/>
      <c r="W310" s="80"/>
      <c r="X310" s="79"/>
      <c r="Y310" s="80"/>
      <c r="Z310" s="50">
        <f t="shared" si="4"/>
        <v>0</v>
      </c>
      <c r="AA310" s="60"/>
      <c r="AB310" s="60"/>
    </row>
    <row r="311" spans="1:28" x14ac:dyDescent="0.25">
      <c r="A311" s="443"/>
      <c r="B311" s="443"/>
      <c r="C311" s="443"/>
      <c r="D311" s="330"/>
      <c r="E311" s="330"/>
      <c r="F311" s="330"/>
      <c r="G311" s="330"/>
      <c r="H311" s="330"/>
      <c r="I311" s="330"/>
      <c r="J311" s="330"/>
      <c r="K311" s="330"/>
      <c r="L311" s="79"/>
      <c r="M311" s="80"/>
      <c r="N311" s="79"/>
      <c r="O311" s="80"/>
      <c r="P311" s="79"/>
      <c r="Q311" s="80"/>
      <c r="R311" s="79"/>
      <c r="S311" s="80"/>
      <c r="T311" s="79"/>
      <c r="U311" s="80"/>
      <c r="V311" s="79"/>
      <c r="W311" s="80"/>
      <c r="X311" s="79"/>
      <c r="Y311" s="80"/>
      <c r="Z311" s="50">
        <f t="shared" si="4"/>
        <v>0</v>
      </c>
      <c r="AA311" s="60"/>
      <c r="AB311" s="60"/>
    </row>
    <row r="312" spans="1:28" x14ac:dyDescent="0.25">
      <c r="A312" s="443"/>
      <c r="B312" s="443"/>
      <c r="C312" s="443"/>
      <c r="D312" s="330"/>
      <c r="E312" s="330"/>
      <c r="F312" s="330"/>
      <c r="G312" s="330"/>
      <c r="H312" s="330"/>
      <c r="I312" s="330"/>
      <c r="J312" s="330"/>
      <c r="K312" s="330"/>
      <c r="L312" s="79"/>
      <c r="M312" s="80"/>
      <c r="N312" s="79"/>
      <c r="O312" s="80"/>
      <c r="P312" s="79"/>
      <c r="Q312" s="80"/>
      <c r="R312" s="79"/>
      <c r="S312" s="80"/>
      <c r="T312" s="79"/>
      <c r="U312" s="80"/>
      <c r="V312" s="79"/>
      <c r="W312" s="80"/>
      <c r="X312" s="79"/>
      <c r="Y312" s="80"/>
      <c r="Z312" s="50">
        <f t="shared" si="4"/>
        <v>0</v>
      </c>
      <c r="AA312" s="60"/>
      <c r="AB312" s="60"/>
    </row>
    <row r="313" spans="1:28" x14ac:dyDescent="0.25">
      <c r="A313" s="443"/>
      <c r="B313" s="443"/>
      <c r="C313" s="443"/>
      <c r="D313" s="330"/>
      <c r="E313" s="330"/>
      <c r="F313" s="330"/>
      <c r="G313" s="330"/>
      <c r="H313" s="330"/>
      <c r="I313" s="330"/>
      <c r="J313" s="330"/>
      <c r="K313" s="330"/>
      <c r="L313" s="79"/>
      <c r="M313" s="80"/>
      <c r="N313" s="79"/>
      <c r="O313" s="80"/>
      <c r="P313" s="79"/>
      <c r="Q313" s="80"/>
      <c r="R313" s="79"/>
      <c r="S313" s="80"/>
      <c r="T313" s="79"/>
      <c r="U313" s="80"/>
      <c r="V313" s="79"/>
      <c r="W313" s="80"/>
      <c r="X313" s="79"/>
      <c r="Y313" s="80"/>
      <c r="Z313" s="50">
        <f t="shared" si="4"/>
        <v>0</v>
      </c>
      <c r="AA313" s="60"/>
      <c r="AB313" s="60"/>
    </row>
    <row r="314" spans="1:28" x14ac:dyDescent="0.25">
      <c r="A314" s="443"/>
      <c r="B314" s="443"/>
      <c r="C314" s="443"/>
      <c r="D314" s="330"/>
      <c r="E314" s="330"/>
      <c r="F314" s="330"/>
      <c r="G314" s="330"/>
      <c r="H314" s="330"/>
      <c r="I314" s="330"/>
      <c r="J314" s="330"/>
      <c r="K314" s="330"/>
      <c r="L314" s="79"/>
      <c r="M314" s="80"/>
      <c r="N314" s="79"/>
      <c r="O314" s="80"/>
      <c r="P314" s="79"/>
      <c r="Q314" s="80"/>
      <c r="R314" s="79"/>
      <c r="S314" s="80"/>
      <c r="T314" s="79"/>
      <c r="U314" s="80"/>
      <c r="V314" s="79"/>
      <c r="W314" s="80"/>
      <c r="X314" s="79"/>
      <c r="Y314" s="80"/>
      <c r="Z314" s="50">
        <f t="shared" si="4"/>
        <v>0</v>
      </c>
      <c r="AA314" s="60"/>
      <c r="AB314" s="60"/>
    </row>
    <row r="315" spans="1:28" x14ac:dyDescent="0.25">
      <c r="A315" s="443"/>
      <c r="B315" s="443"/>
      <c r="C315" s="443"/>
      <c r="D315" s="330"/>
      <c r="E315" s="330"/>
      <c r="F315" s="330"/>
      <c r="G315" s="330"/>
      <c r="H315" s="330"/>
      <c r="I315" s="330"/>
      <c r="J315" s="330"/>
      <c r="K315" s="330"/>
      <c r="L315" s="79"/>
      <c r="M315" s="80"/>
      <c r="N315" s="79"/>
      <c r="O315" s="80"/>
      <c r="P315" s="79"/>
      <c r="Q315" s="80"/>
      <c r="R315" s="79"/>
      <c r="S315" s="80"/>
      <c r="T315" s="79"/>
      <c r="U315" s="80"/>
      <c r="V315" s="79"/>
      <c r="W315" s="80"/>
      <c r="X315" s="79"/>
      <c r="Y315" s="80"/>
      <c r="Z315" s="50">
        <f t="shared" si="4"/>
        <v>0</v>
      </c>
      <c r="AA315" s="60"/>
      <c r="AB315" s="60"/>
    </row>
    <row r="316" spans="1:28" x14ac:dyDescent="0.25">
      <c r="A316" s="443"/>
      <c r="B316" s="443"/>
      <c r="C316" s="443"/>
      <c r="D316" s="330"/>
      <c r="E316" s="330"/>
      <c r="F316" s="330"/>
      <c r="G316" s="330"/>
      <c r="H316" s="330"/>
      <c r="I316" s="330"/>
      <c r="J316" s="330"/>
      <c r="K316" s="330"/>
      <c r="L316" s="79"/>
      <c r="M316" s="80"/>
      <c r="N316" s="79"/>
      <c r="O316" s="80"/>
      <c r="P316" s="79"/>
      <c r="Q316" s="80"/>
      <c r="R316" s="79"/>
      <c r="S316" s="80"/>
      <c r="T316" s="79"/>
      <c r="U316" s="80"/>
      <c r="V316" s="79"/>
      <c r="W316" s="80"/>
      <c r="X316" s="79"/>
      <c r="Y316" s="80"/>
      <c r="Z316" s="50">
        <f t="shared" si="4"/>
        <v>0</v>
      </c>
      <c r="AA316" s="60"/>
      <c r="AB316" s="60"/>
    </row>
    <row r="317" spans="1:28" x14ac:dyDescent="0.25">
      <c r="A317" s="443"/>
      <c r="B317" s="443"/>
      <c r="C317" s="443"/>
      <c r="D317" s="330"/>
      <c r="E317" s="330"/>
      <c r="F317" s="330"/>
      <c r="G317" s="330"/>
      <c r="H317" s="330"/>
      <c r="I317" s="330"/>
      <c r="J317" s="330"/>
      <c r="K317" s="330"/>
      <c r="L317" s="79"/>
      <c r="M317" s="80"/>
      <c r="N317" s="79"/>
      <c r="O317" s="80"/>
      <c r="P317" s="79"/>
      <c r="Q317" s="80"/>
      <c r="R317" s="79"/>
      <c r="S317" s="80"/>
      <c r="T317" s="79"/>
      <c r="U317" s="80"/>
      <c r="V317" s="79"/>
      <c r="W317" s="80"/>
      <c r="X317" s="79"/>
      <c r="Y317" s="80"/>
      <c r="Z317" s="50">
        <f t="shared" si="4"/>
        <v>0</v>
      </c>
      <c r="AA317" s="60"/>
      <c r="AB317" s="60"/>
    </row>
    <row r="318" spans="1:28" x14ac:dyDescent="0.25">
      <c r="A318" s="443"/>
      <c r="B318" s="443"/>
      <c r="C318" s="443"/>
      <c r="D318" s="330"/>
      <c r="E318" s="330"/>
      <c r="F318" s="330"/>
      <c r="G318" s="330"/>
      <c r="H318" s="330"/>
      <c r="I318" s="330"/>
      <c r="J318" s="330"/>
      <c r="K318" s="330"/>
      <c r="L318" s="79"/>
      <c r="M318" s="80"/>
      <c r="N318" s="79"/>
      <c r="O318" s="80"/>
      <c r="P318" s="79"/>
      <c r="Q318" s="80"/>
      <c r="R318" s="79"/>
      <c r="S318" s="80"/>
      <c r="T318" s="79"/>
      <c r="U318" s="80"/>
      <c r="V318" s="79"/>
      <c r="W318" s="80"/>
      <c r="X318" s="79"/>
      <c r="Y318" s="80"/>
      <c r="Z318" s="50">
        <f t="shared" si="4"/>
        <v>0</v>
      </c>
      <c r="AA318" s="60"/>
      <c r="AB318" s="60"/>
    </row>
    <row r="319" spans="1:28" x14ac:dyDescent="0.25">
      <c r="A319" s="443"/>
      <c r="B319" s="443"/>
      <c r="C319" s="443"/>
      <c r="D319" s="330"/>
      <c r="E319" s="330"/>
      <c r="F319" s="330"/>
      <c r="G319" s="330"/>
      <c r="H319" s="330"/>
      <c r="I319" s="330"/>
      <c r="J319" s="330"/>
      <c r="K319" s="330"/>
      <c r="L319" s="79"/>
      <c r="M319" s="80"/>
      <c r="N319" s="79"/>
      <c r="O319" s="80"/>
      <c r="P319" s="79"/>
      <c r="Q319" s="80"/>
      <c r="R319" s="79"/>
      <c r="S319" s="80"/>
      <c r="T319" s="79"/>
      <c r="U319" s="80"/>
      <c r="V319" s="79"/>
      <c r="W319" s="80"/>
      <c r="X319" s="79"/>
      <c r="Y319" s="80"/>
      <c r="Z319" s="50">
        <f t="shared" si="4"/>
        <v>0</v>
      </c>
      <c r="AA319" s="60"/>
      <c r="AB319" s="60"/>
    </row>
    <row r="320" spans="1:28" x14ac:dyDescent="0.25">
      <c r="A320" s="443"/>
      <c r="B320" s="443"/>
      <c r="C320" s="443"/>
      <c r="D320" s="330"/>
      <c r="E320" s="330"/>
      <c r="F320" s="330"/>
      <c r="G320" s="330"/>
      <c r="H320" s="330"/>
      <c r="I320" s="330"/>
      <c r="J320" s="330"/>
      <c r="K320" s="330"/>
      <c r="L320" s="79"/>
      <c r="M320" s="80"/>
      <c r="N320" s="79"/>
      <c r="O320" s="80"/>
      <c r="P320" s="79"/>
      <c r="Q320" s="80"/>
      <c r="R320" s="79"/>
      <c r="S320" s="80"/>
      <c r="T320" s="79"/>
      <c r="U320" s="80"/>
      <c r="V320" s="79"/>
      <c r="W320" s="80"/>
      <c r="X320" s="79"/>
      <c r="Y320" s="80"/>
      <c r="Z320" s="50">
        <f t="shared" si="4"/>
        <v>0</v>
      </c>
      <c r="AA320" s="60"/>
      <c r="AB320" s="60"/>
    </row>
    <row r="321" spans="1:28" x14ac:dyDescent="0.25">
      <c r="A321" s="443"/>
      <c r="B321" s="443"/>
      <c r="C321" s="443"/>
      <c r="D321" s="330"/>
      <c r="E321" s="330"/>
      <c r="F321" s="330"/>
      <c r="G321" s="330"/>
      <c r="H321" s="330"/>
      <c r="I321" s="330"/>
      <c r="J321" s="330"/>
      <c r="K321" s="330"/>
      <c r="L321" s="79"/>
      <c r="M321" s="80"/>
      <c r="N321" s="79"/>
      <c r="O321" s="80"/>
      <c r="P321" s="79"/>
      <c r="Q321" s="80"/>
      <c r="R321" s="79"/>
      <c r="S321" s="80"/>
      <c r="T321" s="79"/>
      <c r="U321" s="80"/>
      <c r="V321" s="79"/>
      <c r="W321" s="80"/>
      <c r="X321" s="79"/>
      <c r="Y321" s="80"/>
      <c r="Z321" s="50">
        <f t="shared" si="4"/>
        <v>0</v>
      </c>
      <c r="AA321" s="60"/>
      <c r="AB321" s="60"/>
    </row>
    <row r="322" spans="1:28" x14ac:dyDescent="0.25">
      <c r="A322" s="443"/>
      <c r="B322" s="443"/>
      <c r="C322" s="443"/>
      <c r="D322" s="330"/>
      <c r="E322" s="330"/>
      <c r="F322" s="330"/>
      <c r="G322" s="330"/>
      <c r="H322" s="330"/>
      <c r="I322" s="330"/>
      <c r="J322" s="330"/>
      <c r="K322" s="330"/>
      <c r="L322" s="79"/>
      <c r="M322" s="80"/>
      <c r="N322" s="79"/>
      <c r="O322" s="80"/>
      <c r="P322" s="79"/>
      <c r="Q322" s="80"/>
      <c r="R322" s="79"/>
      <c r="S322" s="80"/>
      <c r="T322" s="79"/>
      <c r="U322" s="80"/>
      <c r="V322" s="79"/>
      <c r="W322" s="80"/>
      <c r="X322" s="79"/>
      <c r="Y322" s="80"/>
      <c r="Z322" s="50">
        <f t="shared" si="4"/>
        <v>0</v>
      </c>
      <c r="AA322" s="60"/>
      <c r="AB322" s="60"/>
    </row>
    <row r="323" spans="1:28" x14ac:dyDescent="0.25">
      <c r="A323" s="443"/>
      <c r="B323" s="443"/>
      <c r="C323" s="443"/>
      <c r="D323" s="330"/>
      <c r="E323" s="330"/>
      <c r="F323" s="330"/>
      <c r="G323" s="330"/>
      <c r="H323" s="330"/>
      <c r="I323" s="330"/>
      <c r="J323" s="330"/>
      <c r="K323" s="330"/>
      <c r="L323" s="79"/>
      <c r="M323" s="80"/>
      <c r="N323" s="79"/>
      <c r="O323" s="80"/>
      <c r="P323" s="79"/>
      <c r="Q323" s="80"/>
      <c r="R323" s="79"/>
      <c r="S323" s="80"/>
      <c r="T323" s="79"/>
      <c r="U323" s="80"/>
      <c r="V323" s="79"/>
      <c r="W323" s="80"/>
      <c r="X323" s="79"/>
      <c r="Y323" s="80"/>
      <c r="Z323" s="50">
        <f t="shared" si="4"/>
        <v>0</v>
      </c>
      <c r="AA323" s="60"/>
      <c r="AB323" s="60"/>
    </row>
    <row r="324" spans="1:28" x14ac:dyDescent="0.25">
      <c r="A324" s="443"/>
      <c r="B324" s="443"/>
      <c r="C324" s="443"/>
      <c r="D324" s="330"/>
      <c r="E324" s="330"/>
      <c r="F324" s="330"/>
      <c r="G324" s="330"/>
      <c r="H324" s="330"/>
      <c r="I324" s="330"/>
      <c r="J324" s="330"/>
      <c r="K324" s="330"/>
      <c r="L324" s="79"/>
      <c r="M324" s="80"/>
      <c r="N324" s="79"/>
      <c r="O324" s="80"/>
      <c r="P324" s="79"/>
      <c r="Q324" s="80"/>
      <c r="R324" s="79"/>
      <c r="S324" s="80"/>
      <c r="T324" s="79"/>
      <c r="U324" s="80"/>
      <c r="V324" s="79"/>
      <c r="W324" s="80"/>
      <c r="X324" s="79"/>
      <c r="Y324" s="80"/>
      <c r="Z324" s="50">
        <f t="shared" si="4"/>
        <v>0</v>
      </c>
      <c r="AA324" s="60"/>
      <c r="AB324" s="60"/>
    </row>
    <row r="325" spans="1:28" x14ac:dyDescent="0.25">
      <c r="A325" s="443"/>
      <c r="B325" s="443"/>
      <c r="C325" s="443"/>
      <c r="D325" s="330"/>
      <c r="E325" s="330"/>
      <c r="F325" s="330"/>
      <c r="G325" s="330"/>
      <c r="H325" s="330"/>
      <c r="I325" s="330"/>
      <c r="J325" s="330"/>
      <c r="K325" s="330"/>
      <c r="L325" s="79"/>
      <c r="M325" s="80"/>
      <c r="N325" s="79"/>
      <c r="O325" s="80"/>
      <c r="P325" s="79"/>
      <c r="Q325" s="80"/>
      <c r="R325" s="79"/>
      <c r="S325" s="80"/>
      <c r="T325" s="79"/>
      <c r="U325" s="80"/>
      <c r="V325" s="79"/>
      <c r="W325" s="80"/>
      <c r="X325" s="79"/>
      <c r="Y325" s="80"/>
      <c r="Z325" s="50">
        <f t="shared" si="4"/>
        <v>0</v>
      </c>
      <c r="AA325" s="60"/>
      <c r="AB325" s="60"/>
    </row>
    <row r="326" spans="1:28" x14ac:dyDescent="0.25">
      <c r="A326" s="443"/>
      <c r="B326" s="443"/>
      <c r="C326" s="443"/>
      <c r="D326" s="330"/>
      <c r="E326" s="330"/>
      <c r="F326" s="330"/>
      <c r="G326" s="330"/>
      <c r="H326" s="330"/>
      <c r="I326" s="330"/>
      <c r="J326" s="330"/>
      <c r="K326" s="330"/>
      <c r="L326" s="79"/>
      <c r="M326" s="80"/>
      <c r="N326" s="79"/>
      <c r="O326" s="80"/>
      <c r="P326" s="79"/>
      <c r="Q326" s="80"/>
      <c r="R326" s="79"/>
      <c r="S326" s="80"/>
      <c r="T326" s="79"/>
      <c r="U326" s="80"/>
      <c r="V326" s="79"/>
      <c r="W326" s="80"/>
      <c r="X326" s="79"/>
      <c r="Y326" s="80"/>
      <c r="Z326" s="50">
        <f t="shared" si="4"/>
        <v>0</v>
      </c>
      <c r="AA326" s="60"/>
      <c r="AB326" s="60"/>
    </row>
    <row r="327" spans="1:28" x14ac:dyDescent="0.25">
      <c r="A327" s="443"/>
      <c r="B327" s="443"/>
      <c r="C327" s="443"/>
      <c r="D327" s="330"/>
      <c r="E327" s="330"/>
      <c r="F327" s="330"/>
      <c r="G327" s="330"/>
      <c r="H327" s="330"/>
      <c r="I327" s="330"/>
      <c r="J327" s="330"/>
      <c r="K327" s="330"/>
      <c r="L327" s="79"/>
      <c r="M327" s="80"/>
      <c r="N327" s="79"/>
      <c r="O327" s="80"/>
      <c r="P327" s="79"/>
      <c r="Q327" s="80"/>
      <c r="R327" s="79"/>
      <c r="S327" s="80"/>
      <c r="T327" s="79"/>
      <c r="U327" s="80"/>
      <c r="V327" s="79"/>
      <c r="W327" s="80"/>
      <c r="X327" s="79"/>
      <c r="Y327" s="80"/>
      <c r="Z327" s="50">
        <f t="shared" si="4"/>
        <v>0</v>
      </c>
      <c r="AA327" s="60"/>
      <c r="AB327" s="60"/>
    </row>
    <row r="328" spans="1:28" x14ac:dyDescent="0.25">
      <c r="A328" s="443"/>
      <c r="B328" s="443"/>
      <c r="C328" s="443"/>
      <c r="D328" s="330"/>
      <c r="E328" s="330"/>
      <c r="F328" s="330"/>
      <c r="G328" s="330"/>
      <c r="H328" s="330"/>
      <c r="I328" s="330"/>
      <c r="J328" s="330"/>
      <c r="K328" s="330"/>
      <c r="L328" s="79"/>
      <c r="M328" s="80"/>
      <c r="N328" s="79"/>
      <c r="O328" s="80"/>
      <c r="P328" s="79"/>
      <c r="Q328" s="80"/>
      <c r="R328" s="79"/>
      <c r="S328" s="80"/>
      <c r="T328" s="79"/>
      <c r="U328" s="80"/>
      <c r="V328" s="79"/>
      <c r="W328" s="80"/>
      <c r="X328" s="79"/>
      <c r="Y328" s="80"/>
      <c r="Z328" s="50">
        <f t="shared" si="4"/>
        <v>0</v>
      </c>
      <c r="AA328" s="60"/>
      <c r="AB328" s="60"/>
    </row>
    <row r="329" spans="1:28" x14ac:dyDescent="0.25">
      <c r="A329" s="443"/>
      <c r="B329" s="443"/>
      <c r="C329" s="443"/>
      <c r="D329" s="330"/>
      <c r="E329" s="330"/>
      <c r="F329" s="330"/>
      <c r="G329" s="330"/>
      <c r="H329" s="330"/>
      <c r="I329" s="330"/>
      <c r="J329" s="330"/>
      <c r="K329" s="330"/>
      <c r="L329" s="79"/>
      <c r="M329" s="80"/>
      <c r="N329" s="79"/>
      <c r="O329" s="80"/>
      <c r="P329" s="79"/>
      <c r="Q329" s="80"/>
      <c r="R329" s="79"/>
      <c r="S329" s="80"/>
      <c r="T329" s="79"/>
      <c r="U329" s="80"/>
      <c r="V329" s="79"/>
      <c r="W329" s="80"/>
      <c r="X329" s="79"/>
      <c r="Y329" s="80"/>
      <c r="Z329" s="50">
        <f t="shared" si="4"/>
        <v>0</v>
      </c>
      <c r="AA329" s="60"/>
      <c r="AB329" s="60"/>
    </row>
    <row r="330" spans="1:28" x14ac:dyDescent="0.25">
      <c r="A330" s="443"/>
      <c r="B330" s="443"/>
      <c r="C330" s="443"/>
      <c r="D330" s="330"/>
      <c r="E330" s="330"/>
      <c r="F330" s="330"/>
      <c r="G330" s="330"/>
      <c r="H330" s="330"/>
      <c r="I330" s="330"/>
      <c r="J330" s="330"/>
      <c r="K330" s="330"/>
      <c r="L330" s="79"/>
      <c r="M330" s="80"/>
      <c r="N330" s="79"/>
      <c r="O330" s="80"/>
      <c r="P330" s="79"/>
      <c r="Q330" s="80"/>
      <c r="R330" s="79"/>
      <c r="S330" s="80"/>
      <c r="T330" s="79"/>
      <c r="U330" s="80"/>
      <c r="V330" s="79"/>
      <c r="W330" s="80"/>
      <c r="X330" s="79"/>
      <c r="Y330" s="80"/>
      <c r="Z330" s="50">
        <f t="shared" ref="Z330:Z393" si="5">SUM(L330:Y330)</f>
        <v>0</v>
      </c>
      <c r="AA330" s="60"/>
      <c r="AB330" s="60"/>
    </row>
    <row r="331" spans="1:28" x14ac:dyDescent="0.25">
      <c r="A331" s="443"/>
      <c r="B331" s="443"/>
      <c r="C331" s="443"/>
      <c r="D331" s="330"/>
      <c r="E331" s="330"/>
      <c r="F331" s="330"/>
      <c r="G331" s="330"/>
      <c r="H331" s="330"/>
      <c r="I331" s="330"/>
      <c r="J331" s="330"/>
      <c r="K331" s="330"/>
      <c r="L331" s="79"/>
      <c r="M331" s="80"/>
      <c r="N331" s="79"/>
      <c r="O331" s="80"/>
      <c r="P331" s="79"/>
      <c r="Q331" s="80"/>
      <c r="R331" s="79"/>
      <c r="S331" s="80"/>
      <c r="T331" s="79"/>
      <c r="U331" s="80"/>
      <c r="V331" s="79"/>
      <c r="W331" s="80"/>
      <c r="X331" s="79"/>
      <c r="Y331" s="80"/>
      <c r="Z331" s="50">
        <f t="shared" si="5"/>
        <v>0</v>
      </c>
      <c r="AA331" s="60"/>
      <c r="AB331" s="60"/>
    </row>
    <row r="332" spans="1:28" x14ac:dyDescent="0.25">
      <c r="A332" s="443"/>
      <c r="B332" s="443"/>
      <c r="C332" s="443"/>
      <c r="D332" s="330"/>
      <c r="E332" s="330"/>
      <c r="F332" s="330"/>
      <c r="G332" s="330"/>
      <c r="H332" s="330"/>
      <c r="I332" s="330"/>
      <c r="J332" s="330"/>
      <c r="K332" s="330"/>
      <c r="L332" s="79"/>
      <c r="M332" s="80"/>
      <c r="N332" s="79"/>
      <c r="O332" s="80"/>
      <c r="P332" s="79"/>
      <c r="Q332" s="80"/>
      <c r="R332" s="79"/>
      <c r="S332" s="80"/>
      <c r="T332" s="79"/>
      <c r="U332" s="80"/>
      <c r="V332" s="79"/>
      <c r="W332" s="80"/>
      <c r="X332" s="79"/>
      <c r="Y332" s="80"/>
      <c r="Z332" s="50">
        <f t="shared" si="5"/>
        <v>0</v>
      </c>
      <c r="AA332" s="60"/>
      <c r="AB332" s="60"/>
    </row>
    <row r="333" spans="1:28" x14ac:dyDescent="0.25">
      <c r="A333" s="443"/>
      <c r="B333" s="443"/>
      <c r="C333" s="443"/>
      <c r="D333" s="330"/>
      <c r="E333" s="330"/>
      <c r="F333" s="330"/>
      <c r="G333" s="330"/>
      <c r="H333" s="330"/>
      <c r="I333" s="330"/>
      <c r="J333" s="330"/>
      <c r="K333" s="330"/>
      <c r="L333" s="79"/>
      <c r="M333" s="80"/>
      <c r="N333" s="79"/>
      <c r="O333" s="80"/>
      <c r="P333" s="79"/>
      <c r="Q333" s="80"/>
      <c r="R333" s="79"/>
      <c r="S333" s="80"/>
      <c r="T333" s="79"/>
      <c r="U333" s="80"/>
      <c r="V333" s="79"/>
      <c r="W333" s="80"/>
      <c r="X333" s="79"/>
      <c r="Y333" s="80"/>
      <c r="Z333" s="50">
        <f t="shared" si="5"/>
        <v>0</v>
      </c>
      <c r="AA333" s="60"/>
      <c r="AB333" s="60"/>
    </row>
    <row r="334" spans="1:28" x14ac:dyDescent="0.25">
      <c r="A334" s="443"/>
      <c r="B334" s="443"/>
      <c r="C334" s="443"/>
      <c r="D334" s="330"/>
      <c r="E334" s="330"/>
      <c r="F334" s="330"/>
      <c r="G334" s="330"/>
      <c r="H334" s="330"/>
      <c r="I334" s="330"/>
      <c r="J334" s="330"/>
      <c r="K334" s="330"/>
      <c r="L334" s="79"/>
      <c r="M334" s="80"/>
      <c r="N334" s="79"/>
      <c r="O334" s="80"/>
      <c r="P334" s="79"/>
      <c r="Q334" s="80"/>
      <c r="R334" s="79"/>
      <c r="S334" s="80"/>
      <c r="T334" s="79"/>
      <c r="U334" s="80"/>
      <c r="V334" s="79"/>
      <c r="W334" s="80"/>
      <c r="X334" s="79"/>
      <c r="Y334" s="80"/>
      <c r="Z334" s="50">
        <f t="shared" si="5"/>
        <v>0</v>
      </c>
      <c r="AA334" s="60"/>
      <c r="AB334" s="60"/>
    </row>
    <row r="335" spans="1:28" x14ac:dyDescent="0.25">
      <c r="A335" s="443"/>
      <c r="B335" s="443"/>
      <c r="C335" s="443"/>
      <c r="D335" s="330"/>
      <c r="E335" s="330"/>
      <c r="F335" s="330"/>
      <c r="G335" s="330"/>
      <c r="H335" s="330"/>
      <c r="I335" s="330"/>
      <c r="J335" s="330"/>
      <c r="K335" s="330"/>
      <c r="L335" s="79"/>
      <c r="M335" s="80"/>
      <c r="N335" s="79"/>
      <c r="O335" s="80"/>
      <c r="P335" s="79"/>
      <c r="Q335" s="80"/>
      <c r="R335" s="79"/>
      <c r="S335" s="80"/>
      <c r="T335" s="79"/>
      <c r="U335" s="80"/>
      <c r="V335" s="79"/>
      <c r="W335" s="80"/>
      <c r="X335" s="79"/>
      <c r="Y335" s="80"/>
      <c r="Z335" s="50">
        <f t="shared" si="5"/>
        <v>0</v>
      </c>
      <c r="AA335" s="60"/>
      <c r="AB335" s="60"/>
    </row>
    <row r="336" spans="1:28" x14ac:dyDescent="0.25">
      <c r="A336" s="443"/>
      <c r="B336" s="443"/>
      <c r="C336" s="443"/>
      <c r="D336" s="330"/>
      <c r="E336" s="330"/>
      <c r="F336" s="330"/>
      <c r="G336" s="330"/>
      <c r="H336" s="330"/>
      <c r="I336" s="330"/>
      <c r="J336" s="330"/>
      <c r="K336" s="330"/>
      <c r="L336" s="79"/>
      <c r="M336" s="80"/>
      <c r="N336" s="79"/>
      <c r="O336" s="80"/>
      <c r="P336" s="79"/>
      <c r="Q336" s="80"/>
      <c r="R336" s="79"/>
      <c r="S336" s="80"/>
      <c r="T336" s="79"/>
      <c r="U336" s="80"/>
      <c r="V336" s="79"/>
      <c r="W336" s="80"/>
      <c r="X336" s="79"/>
      <c r="Y336" s="80"/>
      <c r="Z336" s="50">
        <f t="shared" si="5"/>
        <v>0</v>
      </c>
      <c r="AA336" s="60"/>
      <c r="AB336" s="60"/>
    </row>
    <row r="337" spans="1:28" x14ac:dyDescent="0.25">
      <c r="A337" s="443"/>
      <c r="B337" s="443"/>
      <c r="C337" s="443"/>
      <c r="D337" s="330"/>
      <c r="E337" s="330"/>
      <c r="F337" s="330"/>
      <c r="G337" s="330"/>
      <c r="H337" s="330"/>
      <c r="I337" s="330"/>
      <c r="J337" s="330"/>
      <c r="K337" s="330"/>
      <c r="L337" s="79"/>
      <c r="M337" s="80"/>
      <c r="N337" s="79"/>
      <c r="O337" s="80"/>
      <c r="P337" s="79"/>
      <c r="Q337" s="80"/>
      <c r="R337" s="79"/>
      <c r="S337" s="80"/>
      <c r="T337" s="79"/>
      <c r="U337" s="80"/>
      <c r="V337" s="79"/>
      <c r="W337" s="80"/>
      <c r="X337" s="79"/>
      <c r="Y337" s="80"/>
      <c r="Z337" s="50">
        <f t="shared" si="5"/>
        <v>0</v>
      </c>
      <c r="AA337" s="60"/>
      <c r="AB337" s="60"/>
    </row>
    <row r="338" spans="1:28" x14ac:dyDescent="0.25">
      <c r="A338" s="443"/>
      <c r="B338" s="443"/>
      <c r="C338" s="443"/>
      <c r="D338" s="330"/>
      <c r="E338" s="330"/>
      <c r="F338" s="330"/>
      <c r="G338" s="330"/>
      <c r="H338" s="330"/>
      <c r="I338" s="330"/>
      <c r="J338" s="330"/>
      <c r="K338" s="330"/>
      <c r="L338" s="79"/>
      <c r="M338" s="80"/>
      <c r="N338" s="79"/>
      <c r="O338" s="80"/>
      <c r="P338" s="79"/>
      <c r="Q338" s="80"/>
      <c r="R338" s="79"/>
      <c r="S338" s="80"/>
      <c r="T338" s="79"/>
      <c r="U338" s="80"/>
      <c r="V338" s="79"/>
      <c r="W338" s="80"/>
      <c r="X338" s="79"/>
      <c r="Y338" s="80"/>
      <c r="Z338" s="50">
        <f t="shared" si="5"/>
        <v>0</v>
      </c>
      <c r="AA338" s="60"/>
      <c r="AB338" s="60"/>
    </row>
    <row r="339" spans="1:28" x14ac:dyDescent="0.25">
      <c r="A339" s="443"/>
      <c r="B339" s="443"/>
      <c r="C339" s="443"/>
      <c r="D339" s="330"/>
      <c r="E339" s="330"/>
      <c r="F339" s="330"/>
      <c r="G339" s="330"/>
      <c r="H339" s="330"/>
      <c r="I339" s="330"/>
      <c r="J339" s="330"/>
      <c r="K339" s="330"/>
      <c r="L339" s="79"/>
      <c r="M339" s="80"/>
      <c r="N339" s="79"/>
      <c r="O339" s="80"/>
      <c r="P339" s="79"/>
      <c r="Q339" s="80"/>
      <c r="R339" s="79"/>
      <c r="S339" s="80"/>
      <c r="T339" s="79"/>
      <c r="U339" s="80"/>
      <c r="V339" s="79"/>
      <c r="W339" s="80"/>
      <c r="X339" s="79"/>
      <c r="Y339" s="80"/>
      <c r="Z339" s="50">
        <f t="shared" si="5"/>
        <v>0</v>
      </c>
      <c r="AA339" s="60"/>
      <c r="AB339" s="60"/>
    </row>
    <row r="340" spans="1:28" x14ac:dyDescent="0.25">
      <c r="A340" s="443"/>
      <c r="B340" s="443"/>
      <c r="C340" s="443"/>
      <c r="D340" s="330"/>
      <c r="E340" s="330"/>
      <c r="F340" s="330"/>
      <c r="G340" s="330"/>
      <c r="H340" s="330"/>
      <c r="I340" s="330"/>
      <c r="J340" s="330"/>
      <c r="K340" s="330"/>
      <c r="L340" s="79"/>
      <c r="M340" s="80"/>
      <c r="N340" s="79"/>
      <c r="O340" s="80"/>
      <c r="P340" s="79"/>
      <c r="Q340" s="80"/>
      <c r="R340" s="79"/>
      <c r="S340" s="80"/>
      <c r="T340" s="79"/>
      <c r="U340" s="80"/>
      <c r="V340" s="79"/>
      <c r="W340" s="80"/>
      <c r="X340" s="79"/>
      <c r="Y340" s="80"/>
      <c r="Z340" s="50">
        <f t="shared" si="5"/>
        <v>0</v>
      </c>
      <c r="AA340" s="60"/>
      <c r="AB340" s="60"/>
    </row>
    <row r="341" spans="1:28" x14ac:dyDescent="0.25">
      <c r="A341" s="443"/>
      <c r="B341" s="443"/>
      <c r="C341" s="443"/>
      <c r="D341" s="330"/>
      <c r="E341" s="330"/>
      <c r="F341" s="330"/>
      <c r="G341" s="330"/>
      <c r="H341" s="330"/>
      <c r="I341" s="330"/>
      <c r="J341" s="330"/>
      <c r="K341" s="330"/>
      <c r="L341" s="79"/>
      <c r="M341" s="80"/>
      <c r="N341" s="79"/>
      <c r="O341" s="80"/>
      <c r="P341" s="79"/>
      <c r="Q341" s="80"/>
      <c r="R341" s="79"/>
      <c r="S341" s="80"/>
      <c r="T341" s="79"/>
      <c r="U341" s="80"/>
      <c r="V341" s="79"/>
      <c r="W341" s="80"/>
      <c r="X341" s="79"/>
      <c r="Y341" s="80"/>
      <c r="Z341" s="50">
        <f t="shared" si="5"/>
        <v>0</v>
      </c>
      <c r="AA341" s="60"/>
      <c r="AB341" s="60"/>
    </row>
    <row r="342" spans="1:28" x14ac:dyDescent="0.25">
      <c r="A342" s="443"/>
      <c r="B342" s="443"/>
      <c r="C342" s="443"/>
      <c r="D342" s="330"/>
      <c r="E342" s="330"/>
      <c r="F342" s="330"/>
      <c r="G342" s="330"/>
      <c r="H342" s="330"/>
      <c r="I342" s="330"/>
      <c r="J342" s="330"/>
      <c r="K342" s="330"/>
      <c r="L342" s="79"/>
      <c r="M342" s="80"/>
      <c r="N342" s="79"/>
      <c r="O342" s="80"/>
      <c r="P342" s="79"/>
      <c r="Q342" s="80"/>
      <c r="R342" s="79"/>
      <c r="S342" s="80"/>
      <c r="T342" s="79"/>
      <c r="U342" s="80"/>
      <c r="V342" s="79"/>
      <c r="W342" s="80"/>
      <c r="X342" s="79"/>
      <c r="Y342" s="80"/>
      <c r="Z342" s="50">
        <f t="shared" si="5"/>
        <v>0</v>
      </c>
      <c r="AA342" s="60"/>
      <c r="AB342" s="60"/>
    </row>
    <row r="343" spans="1:28" x14ac:dyDescent="0.25">
      <c r="A343" s="443"/>
      <c r="B343" s="443"/>
      <c r="C343" s="443"/>
      <c r="D343" s="330"/>
      <c r="E343" s="330"/>
      <c r="F343" s="330"/>
      <c r="G343" s="330"/>
      <c r="H343" s="330"/>
      <c r="I343" s="330"/>
      <c r="J343" s="330"/>
      <c r="K343" s="330"/>
      <c r="L343" s="79"/>
      <c r="M343" s="80"/>
      <c r="N343" s="79"/>
      <c r="O343" s="80"/>
      <c r="P343" s="79"/>
      <c r="Q343" s="80"/>
      <c r="R343" s="79"/>
      <c r="S343" s="80"/>
      <c r="T343" s="79"/>
      <c r="U343" s="80"/>
      <c r="V343" s="79"/>
      <c r="W343" s="80"/>
      <c r="X343" s="79"/>
      <c r="Y343" s="80"/>
      <c r="Z343" s="50">
        <f t="shared" si="5"/>
        <v>0</v>
      </c>
      <c r="AA343" s="60"/>
      <c r="AB343" s="60"/>
    </row>
    <row r="344" spans="1:28" x14ac:dyDescent="0.25">
      <c r="A344" s="443"/>
      <c r="B344" s="443"/>
      <c r="C344" s="443"/>
      <c r="D344" s="330"/>
      <c r="E344" s="330"/>
      <c r="F344" s="330"/>
      <c r="G344" s="330"/>
      <c r="H344" s="330"/>
      <c r="I344" s="330"/>
      <c r="J344" s="330"/>
      <c r="K344" s="330"/>
      <c r="L344" s="79"/>
      <c r="M344" s="80"/>
      <c r="N344" s="79"/>
      <c r="O344" s="80"/>
      <c r="P344" s="79"/>
      <c r="Q344" s="80"/>
      <c r="R344" s="79"/>
      <c r="S344" s="80"/>
      <c r="T344" s="79"/>
      <c r="U344" s="80"/>
      <c r="V344" s="79"/>
      <c r="W344" s="80"/>
      <c r="X344" s="79"/>
      <c r="Y344" s="80"/>
      <c r="Z344" s="50">
        <f t="shared" si="5"/>
        <v>0</v>
      </c>
      <c r="AA344" s="60"/>
      <c r="AB344" s="60"/>
    </row>
    <row r="345" spans="1:28" x14ac:dyDescent="0.25">
      <c r="A345" s="443"/>
      <c r="B345" s="443"/>
      <c r="C345" s="443"/>
      <c r="D345" s="330"/>
      <c r="E345" s="330"/>
      <c r="F345" s="330"/>
      <c r="G345" s="330"/>
      <c r="H345" s="330"/>
      <c r="I345" s="330"/>
      <c r="J345" s="330"/>
      <c r="K345" s="330"/>
      <c r="L345" s="79"/>
      <c r="M345" s="80"/>
      <c r="N345" s="79"/>
      <c r="O345" s="80"/>
      <c r="P345" s="79"/>
      <c r="Q345" s="80"/>
      <c r="R345" s="79"/>
      <c r="S345" s="80"/>
      <c r="T345" s="79"/>
      <c r="U345" s="80"/>
      <c r="V345" s="79"/>
      <c r="W345" s="80"/>
      <c r="X345" s="79"/>
      <c r="Y345" s="80"/>
      <c r="Z345" s="50">
        <f t="shared" si="5"/>
        <v>0</v>
      </c>
      <c r="AA345" s="60"/>
      <c r="AB345" s="60"/>
    </row>
    <row r="346" spans="1:28" x14ac:dyDescent="0.25">
      <c r="A346" s="443"/>
      <c r="B346" s="443"/>
      <c r="C346" s="443"/>
      <c r="D346" s="330"/>
      <c r="E346" s="330"/>
      <c r="F346" s="330"/>
      <c r="G346" s="330"/>
      <c r="H346" s="330"/>
      <c r="I346" s="330"/>
      <c r="J346" s="330"/>
      <c r="K346" s="330"/>
      <c r="L346" s="79"/>
      <c r="M346" s="80"/>
      <c r="N346" s="79"/>
      <c r="O346" s="80"/>
      <c r="P346" s="79"/>
      <c r="Q346" s="80"/>
      <c r="R346" s="79"/>
      <c r="S346" s="80"/>
      <c r="T346" s="79"/>
      <c r="U346" s="80"/>
      <c r="V346" s="79"/>
      <c r="W346" s="80"/>
      <c r="X346" s="79"/>
      <c r="Y346" s="80"/>
      <c r="Z346" s="50">
        <f t="shared" si="5"/>
        <v>0</v>
      </c>
      <c r="AA346" s="60"/>
      <c r="AB346" s="60"/>
    </row>
    <row r="347" spans="1:28" x14ac:dyDescent="0.25">
      <c r="A347" s="443"/>
      <c r="B347" s="443"/>
      <c r="C347" s="443"/>
      <c r="D347" s="330"/>
      <c r="E347" s="330"/>
      <c r="F347" s="330"/>
      <c r="G347" s="330"/>
      <c r="H347" s="330"/>
      <c r="I347" s="330"/>
      <c r="J347" s="330"/>
      <c r="K347" s="330"/>
      <c r="L347" s="79"/>
      <c r="M347" s="80"/>
      <c r="N347" s="79"/>
      <c r="O347" s="80"/>
      <c r="P347" s="79"/>
      <c r="Q347" s="80"/>
      <c r="R347" s="79"/>
      <c r="S347" s="80"/>
      <c r="T347" s="79"/>
      <c r="U347" s="80"/>
      <c r="V347" s="79"/>
      <c r="W347" s="80"/>
      <c r="X347" s="79"/>
      <c r="Y347" s="80"/>
      <c r="Z347" s="50">
        <f t="shared" si="5"/>
        <v>0</v>
      </c>
      <c r="AA347" s="60"/>
      <c r="AB347" s="60"/>
    </row>
    <row r="348" spans="1:28" x14ac:dyDescent="0.25">
      <c r="A348" s="443"/>
      <c r="B348" s="443"/>
      <c r="C348" s="443"/>
      <c r="D348" s="330"/>
      <c r="E348" s="330"/>
      <c r="F348" s="330"/>
      <c r="G348" s="330"/>
      <c r="H348" s="330"/>
      <c r="I348" s="330"/>
      <c r="J348" s="330"/>
      <c r="K348" s="330"/>
      <c r="L348" s="79"/>
      <c r="M348" s="80"/>
      <c r="N348" s="79"/>
      <c r="O348" s="80"/>
      <c r="P348" s="79"/>
      <c r="Q348" s="80"/>
      <c r="R348" s="79"/>
      <c r="S348" s="80"/>
      <c r="T348" s="79"/>
      <c r="U348" s="80"/>
      <c r="V348" s="79"/>
      <c r="W348" s="80"/>
      <c r="X348" s="79"/>
      <c r="Y348" s="80"/>
      <c r="Z348" s="50">
        <f t="shared" si="5"/>
        <v>0</v>
      </c>
      <c r="AA348" s="60"/>
      <c r="AB348" s="60"/>
    </row>
    <row r="349" spans="1:28" x14ac:dyDescent="0.25">
      <c r="A349" s="443"/>
      <c r="B349" s="443"/>
      <c r="C349" s="443"/>
      <c r="D349" s="330"/>
      <c r="E349" s="330"/>
      <c r="F349" s="330"/>
      <c r="G349" s="330"/>
      <c r="H349" s="330"/>
      <c r="I349" s="330"/>
      <c r="J349" s="330"/>
      <c r="K349" s="330"/>
      <c r="L349" s="79"/>
      <c r="M349" s="80"/>
      <c r="N349" s="79"/>
      <c r="O349" s="80"/>
      <c r="P349" s="79"/>
      <c r="Q349" s="80"/>
      <c r="R349" s="79"/>
      <c r="S349" s="80"/>
      <c r="T349" s="79"/>
      <c r="U349" s="80"/>
      <c r="V349" s="79"/>
      <c r="W349" s="80"/>
      <c r="X349" s="79"/>
      <c r="Y349" s="80"/>
      <c r="Z349" s="50">
        <f t="shared" si="5"/>
        <v>0</v>
      </c>
      <c r="AA349" s="60"/>
      <c r="AB349" s="60"/>
    </row>
    <row r="350" spans="1:28" x14ac:dyDescent="0.25">
      <c r="A350" s="443"/>
      <c r="B350" s="443"/>
      <c r="C350" s="443"/>
      <c r="D350" s="330"/>
      <c r="E350" s="330"/>
      <c r="F350" s="330"/>
      <c r="G350" s="330"/>
      <c r="H350" s="330"/>
      <c r="I350" s="330"/>
      <c r="J350" s="330"/>
      <c r="K350" s="330"/>
      <c r="L350" s="79"/>
      <c r="M350" s="80"/>
      <c r="N350" s="79"/>
      <c r="O350" s="80"/>
      <c r="P350" s="79"/>
      <c r="Q350" s="80"/>
      <c r="R350" s="79"/>
      <c r="S350" s="80"/>
      <c r="T350" s="79"/>
      <c r="U350" s="80"/>
      <c r="V350" s="79"/>
      <c r="W350" s="80"/>
      <c r="X350" s="79"/>
      <c r="Y350" s="80"/>
      <c r="Z350" s="50">
        <f t="shared" si="5"/>
        <v>0</v>
      </c>
      <c r="AA350" s="60"/>
      <c r="AB350" s="60"/>
    </row>
    <row r="351" spans="1:28" x14ac:dyDescent="0.25">
      <c r="A351" s="443"/>
      <c r="B351" s="443"/>
      <c r="C351" s="443"/>
      <c r="D351" s="330"/>
      <c r="E351" s="330"/>
      <c r="F351" s="330"/>
      <c r="G351" s="330"/>
      <c r="H351" s="330"/>
      <c r="I351" s="330"/>
      <c r="J351" s="330"/>
      <c r="K351" s="330"/>
      <c r="L351" s="79"/>
      <c r="M351" s="80"/>
      <c r="N351" s="79"/>
      <c r="O351" s="80"/>
      <c r="P351" s="79"/>
      <c r="Q351" s="80"/>
      <c r="R351" s="79"/>
      <c r="S351" s="80"/>
      <c r="T351" s="79"/>
      <c r="U351" s="80"/>
      <c r="V351" s="79"/>
      <c r="W351" s="80"/>
      <c r="X351" s="79"/>
      <c r="Y351" s="80"/>
      <c r="Z351" s="50">
        <f t="shared" si="5"/>
        <v>0</v>
      </c>
      <c r="AA351" s="60"/>
      <c r="AB351" s="60"/>
    </row>
    <row r="352" spans="1:28" x14ac:dyDescent="0.25">
      <c r="A352" s="443"/>
      <c r="B352" s="443"/>
      <c r="C352" s="443"/>
      <c r="D352" s="330"/>
      <c r="E352" s="330"/>
      <c r="F352" s="330"/>
      <c r="G352" s="330"/>
      <c r="H352" s="330"/>
      <c r="I352" s="330"/>
      <c r="J352" s="330"/>
      <c r="K352" s="330"/>
      <c r="L352" s="79"/>
      <c r="M352" s="80"/>
      <c r="N352" s="79"/>
      <c r="O352" s="80"/>
      <c r="P352" s="79"/>
      <c r="Q352" s="80"/>
      <c r="R352" s="79"/>
      <c r="S352" s="80"/>
      <c r="T352" s="79"/>
      <c r="U352" s="80"/>
      <c r="V352" s="79"/>
      <c r="W352" s="80"/>
      <c r="X352" s="79"/>
      <c r="Y352" s="80"/>
      <c r="Z352" s="50">
        <f t="shared" si="5"/>
        <v>0</v>
      </c>
      <c r="AA352" s="60"/>
      <c r="AB352" s="60"/>
    </row>
    <row r="353" spans="1:28" x14ac:dyDescent="0.25">
      <c r="A353" s="443"/>
      <c r="B353" s="443"/>
      <c r="C353" s="443"/>
      <c r="D353" s="330"/>
      <c r="E353" s="330"/>
      <c r="F353" s="330"/>
      <c r="G353" s="330"/>
      <c r="H353" s="330"/>
      <c r="I353" s="330"/>
      <c r="J353" s="330"/>
      <c r="K353" s="330"/>
      <c r="L353" s="79"/>
      <c r="M353" s="80"/>
      <c r="N353" s="79"/>
      <c r="O353" s="80"/>
      <c r="P353" s="79"/>
      <c r="Q353" s="80"/>
      <c r="R353" s="79"/>
      <c r="S353" s="80"/>
      <c r="T353" s="79"/>
      <c r="U353" s="80"/>
      <c r="V353" s="79"/>
      <c r="W353" s="80"/>
      <c r="X353" s="79"/>
      <c r="Y353" s="80"/>
      <c r="Z353" s="50">
        <f t="shared" si="5"/>
        <v>0</v>
      </c>
      <c r="AA353" s="60"/>
      <c r="AB353" s="60"/>
    </row>
    <row r="354" spans="1:28" x14ac:dyDescent="0.25">
      <c r="A354" s="443"/>
      <c r="B354" s="443"/>
      <c r="C354" s="443"/>
      <c r="D354" s="330"/>
      <c r="E354" s="330"/>
      <c r="F354" s="330"/>
      <c r="G354" s="330"/>
      <c r="H354" s="330"/>
      <c r="I354" s="330"/>
      <c r="J354" s="330"/>
      <c r="K354" s="330"/>
      <c r="L354" s="79"/>
      <c r="M354" s="80"/>
      <c r="N354" s="79"/>
      <c r="O354" s="80"/>
      <c r="P354" s="79"/>
      <c r="Q354" s="80"/>
      <c r="R354" s="79"/>
      <c r="S354" s="80"/>
      <c r="T354" s="79"/>
      <c r="U354" s="80"/>
      <c r="V354" s="79"/>
      <c r="W354" s="80"/>
      <c r="X354" s="79"/>
      <c r="Y354" s="80"/>
      <c r="Z354" s="50">
        <f t="shared" si="5"/>
        <v>0</v>
      </c>
      <c r="AA354" s="60"/>
      <c r="AB354" s="60"/>
    </row>
    <row r="355" spans="1:28" x14ac:dyDescent="0.25">
      <c r="A355" s="443"/>
      <c r="B355" s="443"/>
      <c r="C355" s="443"/>
      <c r="D355" s="330"/>
      <c r="E355" s="330"/>
      <c r="F355" s="330"/>
      <c r="G355" s="330"/>
      <c r="H355" s="330"/>
      <c r="I355" s="330"/>
      <c r="J355" s="330"/>
      <c r="K355" s="330"/>
      <c r="L355" s="79"/>
      <c r="M355" s="80"/>
      <c r="N355" s="79"/>
      <c r="O355" s="80"/>
      <c r="P355" s="79"/>
      <c r="Q355" s="80"/>
      <c r="R355" s="79"/>
      <c r="S355" s="80"/>
      <c r="T355" s="79"/>
      <c r="U355" s="80"/>
      <c r="V355" s="79"/>
      <c r="W355" s="80"/>
      <c r="X355" s="79"/>
      <c r="Y355" s="80"/>
      <c r="Z355" s="50">
        <f t="shared" si="5"/>
        <v>0</v>
      </c>
      <c r="AA355" s="60"/>
      <c r="AB355" s="60"/>
    </row>
    <row r="356" spans="1:28" x14ac:dyDescent="0.25">
      <c r="A356" s="443"/>
      <c r="B356" s="443"/>
      <c r="C356" s="443"/>
      <c r="D356" s="330"/>
      <c r="E356" s="330"/>
      <c r="F356" s="330"/>
      <c r="G356" s="330"/>
      <c r="H356" s="330"/>
      <c r="I356" s="330"/>
      <c r="J356" s="330"/>
      <c r="K356" s="330"/>
      <c r="L356" s="79"/>
      <c r="M356" s="80"/>
      <c r="N356" s="79"/>
      <c r="O356" s="80"/>
      <c r="P356" s="79"/>
      <c r="Q356" s="80"/>
      <c r="R356" s="79"/>
      <c r="S356" s="80"/>
      <c r="T356" s="79"/>
      <c r="U356" s="80"/>
      <c r="V356" s="79"/>
      <c r="W356" s="80"/>
      <c r="X356" s="79"/>
      <c r="Y356" s="80"/>
      <c r="Z356" s="50">
        <f t="shared" si="5"/>
        <v>0</v>
      </c>
      <c r="AA356" s="60"/>
      <c r="AB356" s="60"/>
    </row>
    <row r="357" spans="1:28" x14ac:dyDescent="0.25">
      <c r="A357" s="443"/>
      <c r="B357" s="443"/>
      <c r="C357" s="443"/>
      <c r="D357" s="330"/>
      <c r="E357" s="330"/>
      <c r="F357" s="330"/>
      <c r="G357" s="330"/>
      <c r="H357" s="330"/>
      <c r="I357" s="330"/>
      <c r="J357" s="330"/>
      <c r="K357" s="330"/>
      <c r="L357" s="79"/>
      <c r="M357" s="80"/>
      <c r="N357" s="79"/>
      <c r="O357" s="80"/>
      <c r="P357" s="79"/>
      <c r="Q357" s="80"/>
      <c r="R357" s="79"/>
      <c r="S357" s="80"/>
      <c r="T357" s="79"/>
      <c r="U357" s="80"/>
      <c r="V357" s="79"/>
      <c r="W357" s="80"/>
      <c r="X357" s="79"/>
      <c r="Y357" s="80"/>
      <c r="Z357" s="50">
        <f t="shared" si="5"/>
        <v>0</v>
      </c>
      <c r="AA357" s="60"/>
      <c r="AB357" s="60"/>
    </row>
    <row r="358" spans="1:28" x14ac:dyDescent="0.25">
      <c r="A358" s="443"/>
      <c r="B358" s="443"/>
      <c r="C358" s="443"/>
      <c r="D358" s="330"/>
      <c r="E358" s="330"/>
      <c r="F358" s="330"/>
      <c r="G358" s="330"/>
      <c r="H358" s="330"/>
      <c r="I358" s="330"/>
      <c r="J358" s="330"/>
      <c r="K358" s="330"/>
      <c r="L358" s="79"/>
      <c r="M358" s="80"/>
      <c r="N358" s="79"/>
      <c r="O358" s="80"/>
      <c r="P358" s="79"/>
      <c r="Q358" s="80"/>
      <c r="R358" s="79"/>
      <c r="S358" s="80"/>
      <c r="T358" s="79"/>
      <c r="U358" s="80"/>
      <c r="V358" s="79"/>
      <c r="W358" s="80"/>
      <c r="X358" s="79"/>
      <c r="Y358" s="80"/>
      <c r="Z358" s="50">
        <f t="shared" si="5"/>
        <v>0</v>
      </c>
      <c r="AA358" s="60"/>
      <c r="AB358" s="60"/>
    </row>
    <row r="359" spans="1:28" x14ac:dyDescent="0.25">
      <c r="A359" s="443"/>
      <c r="B359" s="443"/>
      <c r="C359" s="443"/>
      <c r="D359" s="330"/>
      <c r="E359" s="330"/>
      <c r="F359" s="330"/>
      <c r="G359" s="330"/>
      <c r="H359" s="330"/>
      <c r="I359" s="330"/>
      <c r="J359" s="330"/>
      <c r="K359" s="330"/>
      <c r="L359" s="79"/>
      <c r="M359" s="80"/>
      <c r="N359" s="79"/>
      <c r="O359" s="80"/>
      <c r="P359" s="79"/>
      <c r="Q359" s="80"/>
      <c r="R359" s="79"/>
      <c r="S359" s="80"/>
      <c r="T359" s="79"/>
      <c r="U359" s="80"/>
      <c r="V359" s="79"/>
      <c r="W359" s="80"/>
      <c r="X359" s="79"/>
      <c r="Y359" s="80"/>
      <c r="Z359" s="50">
        <f t="shared" si="5"/>
        <v>0</v>
      </c>
      <c r="AA359" s="60"/>
      <c r="AB359" s="60"/>
    </row>
    <row r="360" spans="1:28" x14ac:dyDescent="0.25">
      <c r="A360" s="443"/>
      <c r="B360" s="443"/>
      <c r="C360" s="443"/>
      <c r="D360" s="330"/>
      <c r="E360" s="330"/>
      <c r="F360" s="330"/>
      <c r="G360" s="330"/>
      <c r="H360" s="330"/>
      <c r="I360" s="330"/>
      <c r="J360" s="330"/>
      <c r="K360" s="330"/>
      <c r="L360" s="79"/>
      <c r="M360" s="80"/>
      <c r="N360" s="79"/>
      <c r="O360" s="80"/>
      <c r="P360" s="79"/>
      <c r="Q360" s="80"/>
      <c r="R360" s="79"/>
      <c r="S360" s="80"/>
      <c r="T360" s="79"/>
      <c r="U360" s="80"/>
      <c r="V360" s="79"/>
      <c r="W360" s="80"/>
      <c r="X360" s="79"/>
      <c r="Y360" s="80"/>
      <c r="Z360" s="50">
        <f t="shared" si="5"/>
        <v>0</v>
      </c>
      <c r="AA360" s="60"/>
      <c r="AB360" s="60"/>
    </row>
    <row r="361" spans="1:28" x14ac:dyDescent="0.25">
      <c r="A361" s="443"/>
      <c r="B361" s="443"/>
      <c r="C361" s="443"/>
      <c r="D361" s="330"/>
      <c r="E361" s="330"/>
      <c r="F361" s="330"/>
      <c r="G361" s="330"/>
      <c r="H361" s="330"/>
      <c r="I361" s="330"/>
      <c r="J361" s="330"/>
      <c r="K361" s="330"/>
      <c r="L361" s="79"/>
      <c r="M361" s="80"/>
      <c r="N361" s="79"/>
      <c r="O361" s="80"/>
      <c r="P361" s="79"/>
      <c r="Q361" s="80"/>
      <c r="R361" s="79"/>
      <c r="S361" s="80"/>
      <c r="T361" s="79"/>
      <c r="U361" s="80"/>
      <c r="V361" s="79"/>
      <c r="W361" s="80"/>
      <c r="X361" s="79"/>
      <c r="Y361" s="80"/>
      <c r="Z361" s="50">
        <f t="shared" si="5"/>
        <v>0</v>
      </c>
      <c r="AA361" s="60"/>
      <c r="AB361" s="60"/>
    </row>
    <row r="362" spans="1:28" x14ac:dyDescent="0.25">
      <c r="A362" s="443"/>
      <c r="B362" s="443"/>
      <c r="C362" s="443"/>
      <c r="D362" s="330"/>
      <c r="E362" s="330"/>
      <c r="F362" s="330"/>
      <c r="G362" s="330"/>
      <c r="H362" s="330"/>
      <c r="I362" s="330"/>
      <c r="J362" s="330"/>
      <c r="K362" s="330"/>
      <c r="L362" s="79"/>
      <c r="M362" s="80"/>
      <c r="N362" s="79"/>
      <c r="O362" s="80"/>
      <c r="P362" s="79"/>
      <c r="Q362" s="80"/>
      <c r="R362" s="79"/>
      <c r="S362" s="80"/>
      <c r="T362" s="79"/>
      <c r="U362" s="80"/>
      <c r="V362" s="79"/>
      <c r="W362" s="80"/>
      <c r="X362" s="79"/>
      <c r="Y362" s="80"/>
      <c r="Z362" s="50">
        <f t="shared" si="5"/>
        <v>0</v>
      </c>
      <c r="AA362" s="60"/>
      <c r="AB362" s="60"/>
    </row>
    <row r="363" spans="1:28" x14ac:dyDescent="0.25">
      <c r="A363" s="443"/>
      <c r="B363" s="443"/>
      <c r="C363" s="443"/>
      <c r="D363" s="330"/>
      <c r="E363" s="330"/>
      <c r="F363" s="330"/>
      <c r="G363" s="330"/>
      <c r="H363" s="330"/>
      <c r="I363" s="330"/>
      <c r="J363" s="330"/>
      <c r="K363" s="330"/>
      <c r="L363" s="79"/>
      <c r="M363" s="80"/>
      <c r="N363" s="79"/>
      <c r="O363" s="80"/>
      <c r="P363" s="79"/>
      <c r="Q363" s="80"/>
      <c r="R363" s="79"/>
      <c r="S363" s="80"/>
      <c r="T363" s="79"/>
      <c r="U363" s="80"/>
      <c r="V363" s="79"/>
      <c r="W363" s="80"/>
      <c r="X363" s="79"/>
      <c r="Y363" s="80"/>
      <c r="Z363" s="50">
        <f t="shared" si="5"/>
        <v>0</v>
      </c>
      <c r="AA363" s="60"/>
      <c r="AB363" s="60"/>
    </row>
    <row r="364" spans="1:28" x14ac:dyDescent="0.25">
      <c r="A364" s="443"/>
      <c r="B364" s="443"/>
      <c r="C364" s="443"/>
      <c r="D364" s="330"/>
      <c r="E364" s="330"/>
      <c r="F364" s="330"/>
      <c r="G364" s="330"/>
      <c r="H364" s="330"/>
      <c r="I364" s="330"/>
      <c r="J364" s="330"/>
      <c r="K364" s="330"/>
      <c r="L364" s="79"/>
      <c r="M364" s="80"/>
      <c r="N364" s="79"/>
      <c r="O364" s="80"/>
      <c r="P364" s="79"/>
      <c r="Q364" s="80"/>
      <c r="R364" s="79"/>
      <c r="S364" s="80"/>
      <c r="T364" s="79"/>
      <c r="U364" s="80"/>
      <c r="V364" s="79"/>
      <c r="W364" s="80"/>
      <c r="X364" s="79"/>
      <c r="Y364" s="80"/>
      <c r="Z364" s="50">
        <f t="shared" si="5"/>
        <v>0</v>
      </c>
      <c r="AA364" s="60"/>
      <c r="AB364" s="60"/>
    </row>
    <row r="365" spans="1:28" x14ac:dyDescent="0.25">
      <c r="A365" s="443"/>
      <c r="B365" s="443"/>
      <c r="C365" s="443"/>
      <c r="D365" s="330"/>
      <c r="E365" s="330"/>
      <c r="F365" s="330"/>
      <c r="G365" s="330"/>
      <c r="H365" s="330"/>
      <c r="I365" s="330"/>
      <c r="J365" s="330"/>
      <c r="K365" s="330"/>
      <c r="L365" s="79"/>
      <c r="M365" s="80"/>
      <c r="N365" s="79"/>
      <c r="O365" s="80"/>
      <c r="P365" s="79"/>
      <c r="Q365" s="80"/>
      <c r="R365" s="79"/>
      <c r="S365" s="80"/>
      <c r="T365" s="79"/>
      <c r="U365" s="80"/>
      <c r="V365" s="79"/>
      <c r="W365" s="80"/>
      <c r="X365" s="79"/>
      <c r="Y365" s="80"/>
      <c r="Z365" s="50">
        <f t="shared" si="5"/>
        <v>0</v>
      </c>
      <c r="AA365" s="60"/>
      <c r="AB365" s="60"/>
    </row>
    <row r="366" spans="1:28" x14ac:dyDescent="0.25">
      <c r="A366" s="443"/>
      <c r="B366" s="443"/>
      <c r="C366" s="443"/>
      <c r="D366" s="330"/>
      <c r="E366" s="330"/>
      <c r="F366" s="330"/>
      <c r="G366" s="330"/>
      <c r="H366" s="330"/>
      <c r="I366" s="330"/>
      <c r="J366" s="330"/>
      <c r="K366" s="330"/>
      <c r="L366" s="79"/>
      <c r="M366" s="80"/>
      <c r="N366" s="79"/>
      <c r="O366" s="80"/>
      <c r="P366" s="79"/>
      <c r="Q366" s="80"/>
      <c r="R366" s="79"/>
      <c r="S366" s="80"/>
      <c r="T366" s="79"/>
      <c r="U366" s="80"/>
      <c r="V366" s="79"/>
      <c r="W366" s="80"/>
      <c r="X366" s="79"/>
      <c r="Y366" s="80"/>
      <c r="Z366" s="50">
        <f t="shared" si="5"/>
        <v>0</v>
      </c>
      <c r="AA366" s="60"/>
      <c r="AB366" s="60"/>
    </row>
    <row r="367" spans="1:28" x14ac:dyDescent="0.25">
      <c r="A367" s="443"/>
      <c r="B367" s="443"/>
      <c r="C367" s="443"/>
      <c r="D367" s="330"/>
      <c r="E367" s="330"/>
      <c r="F367" s="330"/>
      <c r="G367" s="330"/>
      <c r="H367" s="330"/>
      <c r="I367" s="330"/>
      <c r="J367" s="330"/>
      <c r="K367" s="330"/>
      <c r="L367" s="79"/>
      <c r="M367" s="80"/>
      <c r="N367" s="79"/>
      <c r="O367" s="80"/>
      <c r="P367" s="79"/>
      <c r="Q367" s="80"/>
      <c r="R367" s="79"/>
      <c r="S367" s="80"/>
      <c r="T367" s="79"/>
      <c r="U367" s="80"/>
      <c r="V367" s="79"/>
      <c r="W367" s="80"/>
      <c r="X367" s="79"/>
      <c r="Y367" s="80"/>
      <c r="Z367" s="50">
        <f t="shared" si="5"/>
        <v>0</v>
      </c>
      <c r="AA367" s="60"/>
      <c r="AB367" s="60"/>
    </row>
    <row r="368" spans="1:28" x14ac:dyDescent="0.25">
      <c r="A368" s="443"/>
      <c r="B368" s="443"/>
      <c r="C368" s="443"/>
      <c r="D368" s="330"/>
      <c r="E368" s="330"/>
      <c r="F368" s="330"/>
      <c r="G368" s="330"/>
      <c r="H368" s="330"/>
      <c r="I368" s="330"/>
      <c r="J368" s="330"/>
      <c r="K368" s="330"/>
      <c r="L368" s="79"/>
      <c r="M368" s="80"/>
      <c r="N368" s="79"/>
      <c r="O368" s="80"/>
      <c r="P368" s="79"/>
      <c r="Q368" s="80"/>
      <c r="R368" s="79"/>
      <c r="S368" s="80"/>
      <c r="T368" s="79"/>
      <c r="U368" s="80"/>
      <c r="V368" s="79"/>
      <c r="W368" s="80"/>
      <c r="X368" s="79"/>
      <c r="Y368" s="80"/>
      <c r="Z368" s="50">
        <f t="shared" si="5"/>
        <v>0</v>
      </c>
      <c r="AA368" s="60"/>
      <c r="AB368" s="60"/>
    </row>
    <row r="369" spans="1:28" x14ac:dyDescent="0.25">
      <c r="A369" s="443"/>
      <c r="B369" s="443"/>
      <c r="C369" s="443"/>
      <c r="D369" s="330"/>
      <c r="E369" s="330"/>
      <c r="F369" s="330"/>
      <c r="G369" s="330"/>
      <c r="H369" s="330"/>
      <c r="I369" s="330"/>
      <c r="J369" s="330"/>
      <c r="K369" s="330"/>
      <c r="L369" s="79"/>
      <c r="M369" s="80"/>
      <c r="N369" s="79"/>
      <c r="O369" s="80"/>
      <c r="P369" s="79"/>
      <c r="Q369" s="80"/>
      <c r="R369" s="79"/>
      <c r="S369" s="80"/>
      <c r="T369" s="79"/>
      <c r="U369" s="80"/>
      <c r="V369" s="79"/>
      <c r="W369" s="80"/>
      <c r="X369" s="79"/>
      <c r="Y369" s="80"/>
      <c r="Z369" s="50">
        <f t="shared" si="5"/>
        <v>0</v>
      </c>
      <c r="AA369" s="60"/>
      <c r="AB369" s="60"/>
    </row>
    <row r="370" spans="1:28" x14ac:dyDescent="0.25">
      <c r="A370" s="443"/>
      <c r="B370" s="443"/>
      <c r="C370" s="443"/>
      <c r="D370" s="330"/>
      <c r="E370" s="330"/>
      <c r="F370" s="330"/>
      <c r="G370" s="330"/>
      <c r="H370" s="330"/>
      <c r="I370" s="330"/>
      <c r="J370" s="330"/>
      <c r="K370" s="330"/>
      <c r="L370" s="79"/>
      <c r="M370" s="80"/>
      <c r="N370" s="79"/>
      <c r="O370" s="80"/>
      <c r="P370" s="79"/>
      <c r="Q370" s="80"/>
      <c r="R370" s="79"/>
      <c r="S370" s="80"/>
      <c r="T370" s="79"/>
      <c r="U370" s="80"/>
      <c r="V370" s="79"/>
      <c r="W370" s="80"/>
      <c r="X370" s="79"/>
      <c r="Y370" s="80"/>
      <c r="Z370" s="50">
        <f t="shared" si="5"/>
        <v>0</v>
      </c>
      <c r="AA370" s="60"/>
      <c r="AB370" s="60"/>
    </row>
    <row r="371" spans="1:28" x14ac:dyDescent="0.25">
      <c r="A371" s="443"/>
      <c r="B371" s="443"/>
      <c r="C371" s="443"/>
      <c r="D371" s="330"/>
      <c r="E371" s="330"/>
      <c r="F371" s="330"/>
      <c r="G371" s="330"/>
      <c r="H371" s="330"/>
      <c r="I371" s="330"/>
      <c r="J371" s="330"/>
      <c r="K371" s="330"/>
      <c r="L371" s="79"/>
      <c r="M371" s="80"/>
      <c r="N371" s="79"/>
      <c r="O371" s="80"/>
      <c r="P371" s="79"/>
      <c r="Q371" s="80"/>
      <c r="R371" s="79"/>
      <c r="S371" s="80"/>
      <c r="T371" s="79"/>
      <c r="U371" s="80"/>
      <c r="V371" s="79"/>
      <c r="W371" s="80"/>
      <c r="X371" s="79"/>
      <c r="Y371" s="80"/>
      <c r="Z371" s="50">
        <f t="shared" si="5"/>
        <v>0</v>
      </c>
      <c r="AA371" s="60"/>
      <c r="AB371" s="60"/>
    </row>
    <row r="372" spans="1:28" x14ac:dyDescent="0.25">
      <c r="A372" s="443"/>
      <c r="B372" s="443"/>
      <c r="C372" s="443"/>
      <c r="D372" s="330"/>
      <c r="E372" s="330"/>
      <c r="F372" s="330"/>
      <c r="G372" s="330"/>
      <c r="H372" s="330"/>
      <c r="I372" s="330"/>
      <c r="J372" s="330"/>
      <c r="K372" s="330"/>
      <c r="L372" s="79"/>
      <c r="M372" s="80"/>
      <c r="N372" s="79"/>
      <c r="O372" s="80"/>
      <c r="P372" s="79"/>
      <c r="Q372" s="80"/>
      <c r="R372" s="79"/>
      <c r="S372" s="80"/>
      <c r="T372" s="79"/>
      <c r="U372" s="80"/>
      <c r="V372" s="79"/>
      <c r="W372" s="80"/>
      <c r="X372" s="79"/>
      <c r="Y372" s="80"/>
      <c r="Z372" s="50">
        <f t="shared" si="5"/>
        <v>0</v>
      </c>
      <c r="AA372" s="60"/>
      <c r="AB372" s="60"/>
    </row>
    <row r="373" spans="1:28" x14ac:dyDescent="0.25">
      <c r="A373" s="443"/>
      <c r="B373" s="443"/>
      <c r="C373" s="443"/>
      <c r="D373" s="330"/>
      <c r="E373" s="330"/>
      <c r="F373" s="330"/>
      <c r="G373" s="330"/>
      <c r="H373" s="330"/>
      <c r="I373" s="330"/>
      <c r="J373" s="330"/>
      <c r="K373" s="330"/>
      <c r="L373" s="79"/>
      <c r="M373" s="80"/>
      <c r="N373" s="79"/>
      <c r="O373" s="80"/>
      <c r="P373" s="79"/>
      <c r="Q373" s="80"/>
      <c r="R373" s="79"/>
      <c r="S373" s="80"/>
      <c r="T373" s="79"/>
      <c r="U373" s="80"/>
      <c r="V373" s="79"/>
      <c r="W373" s="80"/>
      <c r="X373" s="79"/>
      <c r="Y373" s="80"/>
      <c r="Z373" s="50">
        <f t="shared" si="5"/>
        <v>0</v>
      </c>
      <c r="AA373" s="60"/>
      <c r="AB373" s="60"/>
    </row>
    <row r="374" spans="1:28" x14ac:dyDescent="0.25">
      <c r="A374" s="443"/>
      <c r="B374" s="443"/>
      <c r="C374" s="443"/>
      <c r="D374" s="330"/>
      <c r="E374" s="330"/>
      <c r="F374" s="330"/>
      <c r="G374" s="330"/>
      <c r="H374" s="330"/>
      <c r="I374" s="330"/>
      <c r="J374" s="330"/>
      <c r="K374" s="330"/>
      <c r="L374" s="79"/>
      <c r="M374" s="80"/>
      <c r="N374" s="79"/>
      <c r="O374" s="80"/>
      <c r="P374" s="79"/>
      <c r="Q374" s="80"/>
      <c r="R374" s="79"/>
      <c r="S374" s="80"/>
      <c r="T374" s="79"/>
      <c r="U374" s="80"/>
      <c r="V374" s="79"/>
      <c r="W374" s="80"/>
      <c r="X374" s="79"/>
      <c r="Y374" s="80"/>
      <c r="Z374" s="50">
        <f t="shared" si="5"/>
        <v>0</v>
      </c>
      <c r="AA374" s="60"/>
      <c r="AB374" s="60"/>
    </row>
    <row r="375" spans="1:28" x14ac:dyDescent="0.25">
      <c r="A375" s="443"/>
      <c r="B375" s="443"/>
      <c r="C375" s="443"/>
      <c r="D375" s="330"/>
      <c r="E375" s="330"/>
      <c r="F375" s="330"/>
      <c r="G375" s="330"/>
      <c r="H375" s="330"/>
      <c r="I375" s="330"/>
      <c r="J375" s="330"/>
      <c r="K375" s="330"/>
      <c r="L375" s="79"/>
      <c r="M375" s="80"/>
      <c r="N375" s="79"/>
      <c r="O375" s="80"/>
      <c r="P375" s="79"/>
      <c r="Q375" s="80"/>
      <c r="R375" s="79"/>
      <c r="S375" s="80"/>
      <c r="T375" s="79"/>
      <c r="U375" s="80"/>
      <c r="V375" s="79"/>
      <c r="W375" s="80"/>
      <c r="X375" s="79"/>
      <c r="Y375" s="80"/>
      <c r="Z375" s="50">
        <f t="shared" si="5"/>
        <v>0</v>
      </c>
      <c r="AA375" s="60"/>
      <c r="AB375" s="60"/>
    </row>
    <row r="376" spans="1:28" x14ac:dyDescent="0.25">
      <c r="A376" s="443"/>
      <c r="B376" s="443"/>
      <c r="C376" s="443"/>
      <c r="D376" s="330"/>
      <c r="E376" s="330"/>
      <c r="F376" s="330"/>
      <c r="G376" s="330"/>
      <c r="H376" s="330"/>
      <c r="I376" s="330"/>
      <c r="J376" s="330"/>
      <c r="K376" s="330"/>
      <c r="L376" s="79"/>
      <c r="M376" s="80"/>
      <c r="N376" s="79"/>
      <c r="O376" s="80"/>
      <c r="P376" s="79"/>
      <c r="Q376" s="80"/>
      <c r="R376" s="79"/>
      <c r="S376" s="80"/>
      <c r="T376" s="79"/>
      <c r="U376" s="80"/>
      <c r="V376" s="79"/>
      <c r="W376" s="80"/>
      <c r="X376" s="79"/>
      <c r="Y376" s="80"/>
      <c r="Z376" s="50">
        <f t="shared" si="5"/>
        <v>0</v>
      </c>
      <c r="AA376" s="60"/>
      <c r="AB376" s="60"/>
    </row>
    <row r="377" spans="1:28" x14ac:dyDescent="0.25">
      <c r="A377" s="443"/>
      <c r="B377" s="443"/>
      <c r="C377" s="443"/>
      <c r="D377" s="330"/>
      <c r="E377" s="330"/>
      <c r="F377" s="330"/>
      <c r="G377" s="330"/>
      <c r="H377" s="330"/>
      <c r="I377" s="330"/>
      <c r="J377" s="330"/>
      <c r="K377" s="330"/>
      <c r="L377" s="79"/>
      <c r="M377" s="80"/>
      <c r="N377" s="79"/>
      <c r="O377" s="80"/>
      <c r="P377" s="79"/>
      <c r="Q377" s="80"/>
      <c r="R377" s="79"/>
      <c r="S377" s="80"/>
      <c r="T377" s="79"/>
      <c r="U377" s="80"/>
      <c r="V377" s="79"/>
      <c r="W377" s="80"/>
      <c r="X377" s="79"/>
      <c r="Y377" s="80"/>
      <c r="Z377" s="50">
        <f t="shared" si="5"/>
        <v>0</v>
      </c>
      <c r="AA377" s="60"/>
      <c r="AB377" s="60"/>
    </row>
    <row r="378" spans="1:28" x14ac:dyDescent="0.25">
      <c r="A378" s="443"/>
      <c r="B378" s="443"/>
      <c r="C378" s="443"/>
      <c r="D378" s="330"/>
      <c r="E378" s="330"/>
      <c r="F378" s="330"/>
      <c r="G378" s="330"/>
      <c r="H378" s="330"/>
      <c r="I378" s="330"/>
      <c r="J378" s="330"/>
      <c r="K378" s="330"/>
      <c r="L378" s="79"/>
      <c r="M378" s="80"/>
      <c r="N378" s="79"/>
      <c r="O378" s="80"/>
      <c r="P378" s="79"/>
      <c r="Q378" s="80"/>
      <c r="R378" s="79"/>
      <c r="S378" s="80"/>
      <c r="T378" s="79"/>
      <c r="U378" s="80"/>
      <c r="V378" s="79"/>
      <c r="W378" s="80"/>
      <c r="X378" s="79"/>
      <c r="Y378" s="80"/>
      <c r="Z378" s="50">
        <f t="shared" si="5"/>
        <v>0</v>
      </c>
      <c r="AA378" s="60"/>
      <c r="AB378" s="60"/>
    </row>
    <row r="379" spans="1:28" x14ac:dyDescent="0.25">
      <c r="A379" s="443"/>
      <c r="B379" s="443"/>
      <c r="C379" s="443"/>
      <c r="D379" s="330"/>
      <c r="E379" s="330"/>
      <c r="F379" s="330"/>
      <c r="G379" s="330"/>
      <c r="H379" s="330"/>
      <c r="I379" s="330"/>
      <c r="J379" s="330"/>
      <c r="K379" s="330"/>
      <c r="L379" s="79"/>
      <c r="M379" s="80"/>
      <c r="N379" s="79"/>
      <c r="O379" s="80"/>
      <c r="P379" s="79"/>
      <c r="Q379" s="80"/>
      <c r="R379" s="79"/>
      <c r="S379" s="80"/>
      <c r="T379" s="79"/>
      <c r="U379" s="80"/>
      <c r="V379" s="79"/>
      <c r="W379" s="80"/>
      <c r="X379" s="79"/>
      <c r="Y379" s="80"/>
      <c r="Z379" s="50">
        <f t="shared" si="5"/>
        <v>0</v>
      </c>
      <c r="AA379" s="60"/>
      <c r="AB379" s="60"/>
    </row>
    <row r="380" spans="1:28" x14ac:dyDescent="0.25">
      <c r="A380" s="443"/>
      <c r="B380" s="443"/>
      <c r="C380" s="443"/>
      <c r="D380" s="330"/>
      <c r="E380" s="330"/>
      <c r="F380" s="330"/>
      <c r="G380" s="330"/>
      <c r="H380" s="330"/>
      <c r="I380" s="330"/>
      <c r="J380" s="330"/>
      <c r="K380" s="330"/>
      <c r="L380" s="79"/>
      <c r="M380" s="80"/>
      <c r="N380" s="79"/>
      <c r="O380" s="80"/>
      <c r="P380" s="79"/>
      <c r="Q380" s="80"/>
      <c r="R380" s="79"/>
      <c r="S380" s="80"/>
      <c r="T380" s="79"/>
      <c r="U380" s="80"/>
      <c r="V380" s="79"/>
      <c r="W380" s="80"/>
      <c r="X380" s="79"/>
      <c r="Y380" s="80"/>
      <c r="Z380" s="50">
        <f t="shared" si="5"/>
        <v>0</v>
      </c>
      <c r="AA380" s="60"/>
      <c r="AB380" s="60"/>
    </row>
    <row r="381" spans="1:28" x14ac:dyDescent="0.25">
      <c r="A381" s="443"/>
      <c r="B381" s="443"/>
      <c r="C381" s="443"/>
      <c r="D381" s="330"/>
      <c r="E381" s="330"/>
      <c r="F381" s="330"/>
      <c r="G381" s="330"/>
      <c r="H381" s="330"/>
      <c r="I381" s="330"/>
      <c r="J381" s="330"/>
      <c r="K381" s="330"/>
      <c r="L381" s="79"/>
      <c r="M381" s="80"/>
      <c r="N381" s="79"/>
      <c r="O381" s="80"/>
      <c r="P381" s="79"/>
      <c r="Q381" s="80"/>
      <c r="R381" s="79"/>
      <c r="S381" s="80"/>
      <c r="T381" s="79"/>
      <c r="U381" s="80"/>
      <c r="V381" s="79"/>
      <c r="W381" s="80"/>
      <c r="X381" s="79"/>
      <c r="Y381" s="80"/>
      <c r="Z381" s="50">
        <f t="shared" si="5"/>
        <v>0</v>
      </c>
      <c r="AA381" s="60"/>
      <c r="AB381" s="60"/>
    </row>
    <row r="382" spans="1:28" x14ac:dyDescent="0.25">
      <c r="A382" s="443"/>
      <c r="B382" s="443"/>
      <c r="C382" s="443"/>
      <c r="D382" s="330"/>
      <c r="E382" s="330"/>
      <c r="F382" s="330"/>
      <c r="G382" s="330"/>
      <c r="H382" s="330"/>
      <c r="I382" s="330"/>
      <c r="J382" s="330"/>
      <c r="K382" s="330"/>
      <c r="L382" s="79"/>
      <c r="M382" s="80"/>
      <c r="N382" s="79"/>
      <c r="O382" s="80"/>
      <c r="P382" s="79"/>
      <c r="Q382" s="80"/>
      <c r="R382" s="79"/>
      <c r="S382" s="80"/>
      <c r="T382" s="79"/>
      <c r="U382" s="80"/>
      <c r="V382" s="79"/>
      <c r="W382" s="80"/>
      <c r="X382" s="79"/>
      <c r="Y382" s="80"/>
      <c r="Z382" s="50">
        <f t="shared" si="5"/>
        <v>0</v>
      </c>
      <c r="AA382" s="60"/>
      <c r="AB382" s="60"/>
    </row>
    <row r="383" spans="1:28" x14ac:dyDescent="0.25">
      <c r="A383" s="443"/>
      <c r="B383" s="443"/>
      <c r="C383" s="443"/>
      <c r="D383" s="330"/>
      <c r="E383" s="330"/>
      <c r="F383" s="330"/>
      <c r="G383" s="330"/>
      <c r="H383" s="330"/>
      <c r="I383" s="330"/>
      <c r="J383" s="330"/>
      <c r="K383" s="330"/>
      <c r="L383" s="79"/>
      <c r="M383" s="80"/>
      <c r="N383" s="79"/>
      <c r="O383" s="80"/>
      <c r="P383" s="79"/>
      <c r="Q383" s="80"/>
      <c r="R383" s="79"/>
      <c r="S383" s="80"/>
      <c r="T383" s="79"/>
      <c r="U383" s="80"/>
      <c r="V383" s="79"/>
      <c r="W383" s="80"/>
      <c r="X383" s="79"/>
      <c r="Y383" s="80"/>
      <c r="Z383" s="50">
        <f t="shared" si="5"/>
        <v>0</v>
      </c>
      <c r="AA383" s="60"/>
      <c r="AB383" s="60"/>
    </row>
    <row r="384" spans="1:28" x14ac:dyDescent="0.25">
      <c r="A384" s="443"/>
      <c r="B384" s="443"/>
      <c r="C384" s="443"/>
      <c r="D384" s="330"/>
      <c r="E384" s="330"/>
      <c r="F384" s="330"/>
      <c r="G384" s="330"/>
      <c r="H384" s="330"/>
      <c r="I384" s="330"/>
      <c r="J384" s="330"/>
      <c r="K384" s="330"/>
      <c r="L384" s="79"/>
      <c r="M384" s="80"/>
      <c r="N384" s="79"/>
      <c r="O384" s="80"/>
      <c r="P384" s="79"/>
      <c r="Q384" s="80"/>
      <c r="R384" s="79"/>
      <c r="S384" s="80"/>
      <c r="T384" s="79"/>
      <c r="U384" s="80"/>
      <c r="V384" s="79"/>
      <c r="W384" s="80"/>
      <c r="X384" s="79"/>
      <c r="Y384" s="80"/>
      <c r="Z384" s="50">
        <f t="shared" si="5"/>
        <v>0</v>
      </c>
      <c r="AA384" s="60"/>
      <c r="AB384" s="60"/>
    </row>
    <row r="385" spans="1:28" x14ac:dyDescent="0.25">
      <c r="A385" s="443"/>
      <c r="B385" s="443"/>
      <c r="C385" s="443"/>
      <c r="D385" s="330"/>
      <c r="E385" s="330"/>
      <c r="F385" s="330"/>
      <c r="G385" s="330"/>
      <c r="H385" s="330"/>
      <c r="I385" s="330"/>
      <c r="J385" s="330"/>
      <c r="K385" s="330"/>
      <c r="L385" s="79"/>
      <c r="M385" s="80"/>
      <c r="N385" s="79"/>
      <c r="O385" s="80"/>
      <c r="P385" s="79"/>
      <c r="Q385" s="80"/>
      <c r="R385" s="79"/>
      <c r="S385" s="80"/>
      <c r="T385" s="79"/>
      <c r="U385" s="80"/>
      <c r="V385" s="79"/>
      <c r="W385" s="80"/>
      <c r="X385" s="79"/>
      <c r="Y385" s="80"/>
      <c r="Z385" s="50">
        <f t="shared" si="5"/>
        <v>0</v>
      </c>
      <c r="AA385" s="60"/>
      <c r="AB385" s="60"/>
    </row>
    <row r="386" spans="1:28" x14ac:dyDescent="0.25">
      <c r="A386" s="443"/>
      <c r="B386" s="443"/>
      <c r="C386" s="443"/>
      <c r="D386" s="330"/>
      <c r="E386" s="330"/>
      <c r="F386" s="330"/>
      <c r="G386" s="330"/>
      <c r="H386" s="330"/>
      <c r="I386" s="330"/>
      <c r="J386" s="330"/>
      <c r="K386" s="330"/>
      <c r="L386" s="79"/>
      <c r="M386" s="80"/>
      <c r="N386" s="79"/>
      <c r="O386" s="80"/>
      <c r="P386" s="79"/>
      <c r="Q386" s="80"/>
      <c r="R386" s="79"/>
      <c r="S386" s="80"/>
      <c r="T386" s="79"/>
      <c r="U386" s="80"/>
      <c r="V386" s="79"/>
      <c r="W386" s="80"/>
      <c r="X386" s="79"/>
      <c r="Y386" s="80"/>
      <c r="Z386" s="50">
        <f t="shared" si="5"/>
        <v>0</v>
      </c>
      <c r="AA386" s="60"/>
      <c r="AB386" s="60"/>
    </row>
    <row r="387" spans="1:28" x14ac:dyDescent="0.25">
      <c r="A387" s="443"/>
      <c r="B387" s="443"/>
      <c r="C387" s="443"/>
      <c r="D387" s="330"/>
      <c r="E387" s="330"/>
      <c r="F387" s="330"/>
      <c r="G387" s="330"/>
      <c r="H387" s="330"/>
      <c r="I387" s="330"/>
      <c r="J387" s="330"/>
      <c r="K387" s="330"/>
      <c r="L387" s="79"/>
      <c r="M387" s="80"/>
      <c r="N387" s="79"/>
      <c r="O387" s="80"/>
      <c r="P387" s="79"/>
      <c r="Q387" s="80"/>
      <c r="R387" s="79"/>
      <c r="S387" s="80"/>
      <c r="T387" s="79"/>
      <c r="U387" s="80"/>
      <c r="V387" s="79"/>
      <c r="W387" s="80"/>
      <c r="X387" s="79"/>
      <c r="Y387" s="80"/>
      <c r="Z387" s="50">
        <f t="shared" si="5"/>
        <v>0</v>
      </c>
      <c r="AA387" s="60"/>
      <c r="AB387" s="60"/>
    </row>
    <row r="388" spans="1:28" x14ac:dyDescent="0.25">
      <c r="A388" s="443"/>
      <c r="B388" s="443"/>
      <c r="C388" s="443"/>
      <c r="D388" s="330"/>
      <c r="E388" s="330"/>
      <c r="F388" s="330"/>
      <c r="G388" s="330"/>
      <c r="H388" s="330"/>
      <c r="I388" s="330"/>
      <c r="J388" s="330"/>
      <c r="K388" s="330"/>
      <c r="L388" s="79"/>
      <c r="M388" s="80"/>
      <c r="N388" s="79"/>
      <c r="O388" s="80"/>
      <c r="P388" s="79"/>
      <c r="Q388" s="80"/>
      <c r="R388" s="79"/>
      <c r="S388" s="80"/>
      <c r="T388" s="79"/>
      <c r="U388" s="80"/>
      <c r="V388" s="79"/>
      <c r="W388" s="80"/>
      <c r="X388" s="79"/>
      <c r="Y388" s="80"/>
      <c r="Z388" s="50">
        <f t="shared" si="5"/>
        <v>0</v>
      </c>
      <c r="AA388" s="60"/>
      <c r="AB388" s="60"/>
    </row>
    <row r="389" spans="1:28" x14ac:dyDescent="0.25">
      <c r="A389" s="443"/>
      <c r="B389" s="443"/>
      <c r="C389" s="443"/>
      <c r="D389" s="330"/>
      <c r="E389" s="330"/>
      <c r="F389" s="330"/>
      <c r="G389" s="330"/>
      <c r="H389" s="330"/>
      <c r="I389" s="330"/>
      <c r="J389" s="330"/>
      <c r="K389" s="330"/>
      <c r="L389" s="79"/>
      <c r="M389" s="80"/>
      <c r="N389" s="79"/>
      <c r="O389" s="80"/>
      <c r="P389" s="79"/>
      <c r="Q389" s="80"/>
      <c r="R389" s="79"/>
      <c r="S389" s="80"/>
      <c r="T389" s="79"/>
      <c r="U389" s="80"/>
      <c r="V389" s="79"/>
      <c r="W389" s="80"/>
      <c r="X389" s="79"/>
      <c r="Y389" s="80"/>
      <c r="Z389" s="50">
        <f t="shared" si="5"/>
        <v>0</v>
      </c>
      <c r="AA389" s="60"/>
      <c r="AB389" s="60"/>
    </row>
    <row r="390" spans="1:28" x14ac:dyDescent="0.25">
      <c r="A390" s="443"/>
      <c r="B390" s="443"/>
      <c r="C390" s="443"/>
      <c r="D390" s="330"/>
      <c r="E390" s="330"/>
      <c r="F390" s="330"/>
      <c r="G390" s="330"/>
      <c r="H390" s="330"/>
      <c r="I390" s="330"/>
      <c r="J390" s="330"/>
      <c r="K390" s="330"/>
      <c r="L390" s="79"/>
      <c r="M390" s="80"/>
      <c r="N390" s="79"/>
      <c r="O390" s="80"/>
      <c r="P390" s="79"/>
      <c r="Q390" s="80"/>
      <c r="R390" s="79"/>
      <c r="S390" s="80"/>
      <c r="T390" s="79"/>
      <c r="U390" s="80"/>
      <c r="V390" s="79"/>
      <c r="W390" s="80"/>
      <c r="X390" s="79"/>
      <c r="Y390" s="80"/>
      <c r="Z390" s="50">
        <f t="shared" si="5"/>
        <v>0</v>
      </c>
      <c r="AA390" s="60"/>
      <c r="AB390" s="60"/>
    </row>
    <row r="391" spans="1:28" x14ac:dyDescent="0.25">
      <c r="A391" s="443"/>
      <c r="B391" s="443"/>
      <c r="C391" s="443"/>
      <c r="D391" s="330"/>
      <c r="E391" s="330"/>
      <c r="F391" s="330"/>
      <c r="G391" s="330"/>
      <c r="H391" s="330"/>
      <c r="I391" s="330"/>
      <c r="J391" s="330"/>
      <c r="K391" s="330"/>
      <c r="L391" s="79"/>
      <c r="M391" s="80"/>
      <c r="N391" s="79"/>
      <c r="O391" s="80"/>
      <c r="P391" s="79"/>
      <c r="Q391" s="80"/>
      <c r="R391" s="79"/>
      <c r="S391" s="80"/>
      <c r="T391" s="79"/>
      <c r="U391" s="80"/>
      <c r="V391" s="79"/>
      <c r="W391" s="80"/>
      <c r="X391" s="79"/>
      <c r="Y391" s="80"/>
      <c r="Z391" s="50">
        <f t="shared" si="5"/>
        <v>0</v>
      </c>
      <c r="AA391" s="60"/>
      <c r="AB391" s="60"/>
    </row>
    <row r="392" spans="1:28" x14ac:dyDescent="0.25">
      <c r="A392" s="443"/>
      <c r="B392" s="443"/>
      <c r="C392" s="443"/>
      <c r="D392" s="330"/>
      <c r="E392" s="330"/>
      <c r="F392" s="330"/>
      <c r="G392" s="330"/>
      <c r="H392" s="330"/>
      <c r="I392" s="330"/>
      <c r="J392" s="330"/>
      <c r="K392" s="330"/>
      <c r="L392" s="79"/>
      <c r="M392" s="80"/>
      <c r="N392" s="79"/>
      <c r="O392" s="80"/>
      <c r="P392" s="79"/>
      <c r="Q392" s="80"/>
      <c r="R392" s="79"/>
      <c r="S392" s="80"/>
      <c r="T392" s="79"/>
      <c r="U392" s="80"/>
      <c r="V392" s="79"/>
      <c r="W392" s="80"/>
      <c r="X392" s="79"/>
      <c r="Y392" s="80"/>
      <c r="Z392" s="50">
        <f t="shared" si="5"/>
        <v>0</v>
      </c>
      <c r="AA392" s="60"/>
      <c r="AB392" s="60"/>
    </row>
    <row r="393" spans="1:28" x14ac:dyDescent="0.25">
      <c r="A393" s="443"/>
      <c r="B393" s="443"/>
      <c r="C393" s="443"/>
      <c r="D393" s="330"/>
      <c r="E393" s="330"/>
      <c r="F393" s="330"/>
      <c r="G393" s="330"/>
      <c r="H393" s="330"/>
      <c r="I393" s="330"/>
      <c r="J393" s="330"/>
      <c r="K393" s="330"/>
      <c r="L393" s="79"/>
      <c r="M393" s="80"/>
      <c r="N393" s="79"/>
      <c r="O393" s="80"/>
      <c r="P393" s="79"/>
      <c r="Q393" s="80"/>
      <c r="R393" s="79"/>
      <c r="S393" s="80"/>
      <c r="T393" s="79"/>
      <c r="U393" s="80"/>
      <c r="V393" s="79"/>
      <c r="W393" s="80"/>
      <c r="X393" s="79"/>
      <c r="Y393" s="80"/>
      <c r="Z393" s="50">
        <f t="shared" si="5"/>
        <v>0</v>
      </c>
      <c r="AA393" s="60"/>
      <c r="AB393" s="60"/>
    </row>
    <row r="394" spans="1:28" x14ac:dyDescent="0.25">
      <c r="A394" s="443"/>
      <c r="B394" s="443"/>
      <c r="C394" s="443"/>
      <c r="D394" s="330"/>
      <c r="E394" s="330"/>
      <c r="F394" s="330"/>
      <c r="G394" s="330"/>
      <c r="H394" s="330"/>
      <c r="I394" s="330"/>
      <c r="J394" s="330"/>
      <c r="K394" s="330"/>
      <c r="L394" s="79"/>
      <c r="M394" s="80"/>
      <c r="N394" s="79"/>
      <c r="O394" s="80"/>
      <c r="P394" s="79"/>
      <c r="Q394" s="80"/>
      <c r="R394" s="79"/>
      <c r="S394" s="80"/>
      <c r="T394" s="79"/>
      <c r="U394" s="80"/>
      <c r="V394" s="79"/>
      <c r="W394" s="80"/>
      <c r="X394" s="79"/>
      <c r="Y394" s="80"/>
      <c r="Z394" s="50">
        <f t="shared" ref="Z394:Z457" si="6">SUM(L394:Y394)</f>
        <v>0</v>
      </c>
      <c r="AA394" s="60"/>
      <c r="AB394" s="60"/>
    </row>
    <row r="395" spans="1:28" x14ac:dyDescent="0.25">
      <c r="A395" s="443"/>
      <c r="B395" s="443"/>
      <c r="C395" s="443"/>
      <c r="D395" s="330"/>
      <c r="E395" s="330"/>
      <c r="F395" s="330"/>
      <c r="G395" s="330"/>
      <c r="H395" s="330"/>
      <c r="I395" s="330"/>
      <c r="J395" s="330"/>
      <c r="K395" s="330"/>
      <c r="L395" s="79"/>
      <c r="M395" s="80"/>
      <c r="N395" s="79"/>
      <c r="O395" s="80"/>
      <c r="P395" s="79"/>
      <c r="Q395" s="80"/>
      <c r="R395" s="79"/>
      <c r="S395" s="80"/>
      <c r="T395" s="79"/>
      <c r="U395" s="80"/>
      <c r="V395" s="79"/>
      <c r="W395" s="80"/>
      <c r="X395" s="79"/>
      <c r="Y395" s="80"/>
      <c r="Z395" s="50">
        <f t="shared" si="6"/>
        <v>0</v>
      </c>
      <c r="AA395" s="60"/>
      <c r="AB395" s="60"/>
    </row>
    <row r="396" spans="1:28" x14ac:dyDescent="0.25">
      <c r="A396" s="443"/>
      <c r="B396" s="443"/>
      <c r="C396" s="443"/>
      <c r="D396" s="330"/>
      <c r="E396" s="330"/>
      <c r="F396" s="330"/>
      <c r="G396" s="330"/>
      <c r="H396" s="330"/>
      <c r="I396" s="330"/>
      <c r="J396" s="330"/>
      <c r="K396" s="330"/>
      <c r="L396" s="79"/>
      <c r="M396" s="80"/>
      <c r="N396" s="79"/>
      <c r="O396" s="80"/>
      <c r="P396" s="79"/>
      <c r="Q396" s="80"/>
      <c r="R396" s="79"/>
      <c r="S396" s="80"/>
      <c r="T396" s="79"/>
      <c r="U396" s="80"/>
      <c r="V396" s="79"/>
      <c r="W396" s="80"/>
      <c r="X396" s="79"/>
      <c r="Y396" s="80"/>
      <c r="Z396" s="50">
        <f t="shared" si="6"/>
        <v>0</v>
      </c>
      <c r="AA396" s="60"/>
      <c r="AB396" s="60"/>
    </row>
    <row r="397" spans="1:28" x14ac:dyDescent="0.25">
      <c r="A397" s="443"/>
      <c r="B397" s="443"/>
      <c r="C397" s="443"/>
      <c r="D397" s="330"/>
      <c r="E397" s="330"/>
      <c r="F397" s="330"/>
      <c r="G397" s="330"/>
      <c r="H397" s="330"/>
      <c r="I397" s="330"/>
      <c r="J397" s="330"/>
      <c r="K397" s="330"/>
      <c r="L397" s="79"/>
      <c r="M397" s="80"/>
      <c r="N397" s="79"/>
      <c r="O397" s="80"/>
      <c r="P397" s="79"/>
      <c r="Q397" s="80"/>
      <c r="R397" s="79"/>
      <c r="S397" s="80"/>
      <c r="T397" s="79"/>
      <c r="U397" s="80"/>
      <c r="V397" s="79"/>
      <c r="W397" s="80"/>
      <c r="X397" s="79"/>
      <c r="Y397" s="80"/>
      <c r="Z397" s="50">
        <f t="shared" si="6"/>
        <v>0</v>
      </c>
      <c r="AA397" s="60"/>
      <c r="AB397" s="60"/>
    </row>
    <row r="398" spans="1:28" x14ac:dyDescent="0.25">
      <c r="A398" s="443"/>
      <c r="B398" s="443"/>
      <c r="C398" s="443"/>
      <c r="D398" s="330"/>
      <c r="E398" s="330"/>
      <c r="F398" s="330"/>
      <c r="G398" s="330"/>
      <c r="H398" s="330"/>
      <c r="I398" s="330"/>
      <c r="J398" s="330"/>
      <c r="K398" s="330"/>
      <c r="L398" s="79"/>
      <c r="M398" s="80"/>
      <c r="N398" s="79"/>
      <c r="O398" s="80"/>
      <c r="P398" s="79"/>
      <c r="Q398" s="80"/>
      <c r="R398" s="79"/>
      <c r="S398" s="80"/>
      <c r="T398" s="79"/>
      <c r="U398" s="80"/>
      <c r="V398" s="79"/>
      <c r="W398" s="80"/>
      <c r="X398" s="79"/>
      <c r="Y398" s="80"/>
      <c r="Z398" s="50">
        <f t="shared" si="6"/>
        <v>0</v>
      </c>
      <c r="AA398" s="60"/>
      <c r="AB398" s="60"/>
    </row>
    <row r="399" spans="1:28" x14ac:dyDescent="0.25">
      <c r="A399" s="443"/>
      <c r="B399" s="443"/>
      <c r="C399" s="443"/>
      <c r="D399" s="330"/>
      <c r="E399" s="330"/>
      <c r="F399" s="330"/>
      <c r="G399" s="330"/>
      <c r="H399" s="330"/>
      <c r="I399" s="330"/>
      <c r="J399" s="330"/>
      <c r="K399" s="330"/>
      <c r="L399" s="79"/>
      <c r="M399" s="80"/>
      <c r="N399" s="79"/>
      <c r="O399" s="80"/>
      <c r="P399" s="79"/>
      <c r="Q399" s="80"/>
      <c r="R399" s="79"/>
      <c r="S399" s="80"/>
      <c r="T399" s="79"/>
      <c r="U399" s="80"/>
      <c r="V399" s="79"/>
      <c r="W399" s="80"/>
      <c r="X399" s="79"/>
      <c r="Y399" s="80"/>
      <c r="Z399" s="50">
        <f t="shared" si="6"/>
        <v>0</v>
      </c>
      <c r="AA399" s="60"/>
      <c r="AB399" s="60"/>
    </row>
    <row r="400" spans="1:28" x14ac:dyDescent="0.25">
      <c r="A400" s="443"/>
      <c r="B400" s="443"/>
      <c r="C400" s="443"/>
      <c r="D400" s="330"/>
      <c r="E400" s="330"/>
      <c r="F400" s="330"/>
      <c r="G400" s="330"/>
      <c r="H400" s="330"/>
      <c r="I400" s="330"/>
      <c r="J400" s="330"/>
      <c r="K400" s="330"/>
      <c r="L400" s="79"/>
      <c r="M400" s="80"/>
      <c r="N400" s="79"/>
      <c r="O400" s="80"/>
      <c r="P400" s="79"/>
      <c r="Q400" s="80"/>
      <c r="R400" s="79"/>
      <c r="S400" s="80"/>
      <c r="T400" s="79"/>
      <c r="U400" s="80"/>
      <c r="V400" s="79"/>
      <c r="W400" s="80"/>
      <c r="X400" s="79"/>
      <c r="Y400" s="80"/>
      <c r="Z400" s="50">
        <f t="shared" si="6"/>
        <v>0</v>
      </c>
      <c r="AA400" s="60"/>
      <c r="AB400" s="60"/>
    </row>
    <row r="401" spans="1:28" x14ac:dyDescent="0.25">
      <c r="A401" s="443"/>
      <c r="B401" s="443"/>
      <c r="C401" s="443"/>
      <c r="D401" s="330"/>
      <c r="E401" s="330"/>
      <c r="F401" s="330"/>
      <c r="G401" s="330"/>
      <c r="H401" s="330"/>
      <c r="I401" s="330"/>
      <c r="J401" s="330"/>
      <c r="K401" s="330"/>
      <c r="L401" s="79"/>
      <c r="M401" s="80"/>
      <c r="N401" s="79"/>
      <c r="O401" s="80"/>
      <c r="P401" s="79"/>
      <c r="Q401" s="80"/>
      <c r="R401" s="79"/>
      <c r="S401" s="80"/>
      <c r="T401" s="79"/>
      <c r="U401" s="80"/>
      <c r="V401" s="79"/>
      <c r="W401" s="80"/>
      <c r="X401" s="79"/>
      <c r="Y401" s="80"/>
      <c r="Z401" s="50">
        <f t="shared" si="6"/>
        <v>0</v>
      </c>
      <c r="AA401" s="60"/>
      <c r="AB401" s="60"/>
    </row>
    <row r="402" spans="1:28" x14ac:dyDescent="0.25">
      <c r="A402" s="443"/>
      <c r="B402" s="443"/>
      <c r="C402" s="443"/>
      <c r="D402" s="330"/>
      <c r="E402" s="330"/>
      <c r="F402" s="330"/>
      <c r="G402" s="330"/>
      <c r="H402" s="330"/>
      <c r="I402" s="330"/>
      <c r="J402" s="330"/>
      <c r="K402" s="330"/>
      <c r="L402" s="79"/>
      <c r="M402" s="80"/>
      <c r="N402" s="79"/>
      <c r="O402" s="80"/>
      <c r="P402" s="79"/>
      <c r="Q402" s="80"/>
      <c r="R402" s="79"/>
      <c r="S402" s="80"/>
      <c r="T402" s="79"/>
      <c r="U402" s="80"/>
      <c r="V402" s="79"/>
      <c r="W402" s="80"/>
      <c r="X402" s="79"/>
      <c r="Y402" s="80"/>
      <c r="Z402" s="50">
        <f t="shared" si="6"/>
        <v>0</v>
      </c>
      <c r="AA402" s="60"/>
      <c r="AB402" s="60"/>
    </row>
    <row r="403" spans="1:28" x14ac:dyDescent="0.25">
      <c r="A403" s="443"/>
      <c r="B403" s="443"/>
      <c r="C403" s="443"/>
      <c r="D403" s="330"/>
      <c r="E403" s="330"/>
      <c r="F403" s="330"/>
      <c r="G403" s="330"/>
      <c r="H403" s="330"/>
      <c r="I403" s="330"/>
      <c r="J403" s="330"/>
      <c r="K403" s="330"/>
      <c r="L403" s="79"/>
      <c r="M403" s="80"/>
      <c r="N403" s="79"/>
      <c r="O403" s="80"/>
      <c r="P403" s="79"/>
      <c r="Q403" s="80"/>
      <c r="R403" s="79"/>
      <c r="S403" s="80"/>
      <c r="T403" s="79"/>
      <c r="U403" s="80"/>
      <c r="V403" s="79"/>
      <c r="W403" s="80"/>
      <c r="X403" s="79"/>
      <c r="Y403" s="80"/>
      <c r="Z403" s="50">
        <f t="shared" si="6"/>
        <v>0</v>
      </c>
      <c r="AA403" s="60"/>
      <c r="AB403" s="60"/>
    </row>
    <row r="404" spans="1:28" x14ac:dyDescent="0.25">
      <c r="A404" s="443"/>
      <c r="B404" s="443"/>
      <c r="C404" s="443"/>
      <c r="D404" s="330"/>
      <c r="E404" s="330"/>
      <c r="F404" s="330"/>
      <c r="G404" s="330"/>
      <c r="H404" s="330"/>
      <c r="I404" s="330"/>
      <c r="J404" s="330"/>
      <c r="K404" s="330"/>
      <c r="L404" s="79"/>
      <c r="M404" s="80"/>
      <c r="N404" s="79"/>
      <c r="O404" s="80"/>
      <c r="P404" s="79"/>
      <c r="Q404" s="80"/>
      <c r="R404" s="79"/>
      <c r="S404" s="80"/>
      <c r="T404" s="79"/>
      <c r="U404" s="80"/>
      <c r="V404" s="79"/>
      <c r="W404" s="80"/>
      <c r="X404" s="79"/>
      <c r="Y404" s="80"/>
      <c r="Z404" s="50">
        <f t="shared" si="6"/>
        <v>0</v>
      </c>
      <c r="AA404" s="60"/>
      <c r="AB404" s="60"/>
    </row>
    <row r="405" spans="1:28" x14ac:dyDescent="0.25">
      <c r="A405" s="443"/>
      <c r="B405" s="443"/>
      <c r="C405" s="443"/>
      <c r="D405" s="330"/>
      <c r="E405" s="330"/>
      <c r="F405" s="330"/>
      <c r="G405" s="330"/>
      <c r="H405" s="330"/>
      <c r="I405" s="330"/>
      <c r="J405" s="330"/>
      <c r="K405" s="330"/>
      <c r="L405" s="79"/>
      <c r="M405" s="80"/>
      <c r="N405" s="79"/>
      <c r="O405" s="80"/>
      <c r="P405" s="79"/>
      <c r="Q405" s="80"/>
      <c r="R405" s="79"/>
      <c r="S405" s="80"/>
      <c r="T405" s="79"/>
      <c r="U405" s="80"/>
      <c r="V405" s="79"/>
      <c r="W405" s="80"/>
      <c r="X405" s="79"/>
      <c r="Y405" s="80"/>
      <c r="Z405" s="50">
        <f t="shared" si="6"/>
        <v>0</v>
      </c>
      <c r="AA405" s="60"/>
      <c r="AB405" s="60"/>
    </row>
    <row r="406" spans="1:28" x14ac:dyDescent="0.25">
      <c r="A406" s="443"/>
      <c r="B406" s="443"/>
      <c r="C406" s="443"/>
      <c r="D406" s="330"/>
      <c r="E406" s="330"/>
      <c r="F406" s="330"/>
      <c r="G406" s="330"/>
      <c r="H406" s="330"/>
      <c r="I406" s="330"/>
      <c r="J406" s="330"/>
      <c r="K406" s="330"/>
      <c r="L406" s="79"/>
      <c r="M406" s="80"/>
      <c r="N406" s="79"/>
      <c r="O406" s="80"/>
      <c r="P406" s="79"/>
      <c r="Q406" s="80"/>
      <c r="R406" s="79"/>
      <c r="S406" s="80"/>
      <c r="T406" s="79"/>
      <c r="U406" s="80"/>
      <c r="V406" s="79"/>
      <c r="W406" s="80"/>
      <c r="X406" s="79"/>
      <c r="Y406" s="80"/>
      <c r="Z406" s="50">
        <f t="shared" si="6"/>
        <v>0</v>
      </c>
      <c r="AA406" s="60"/>
      <c r="AB406" s="60"/>
    </row>
    <row r="407" spans="1:28" x14ac:dyDescent="0.25">
      <c r="A407" s="443"/>
      <c r="B407" s="443"/>
      <c r="C407" s="443"/>
      <c r="D407" s="330"/>
      <c r="E407" s="330"/>
      <c r="F407" s="330"/>
      <c r="G407" s="330"/>
      <c r="H407" s="330"/>
      <c r="I407" s="330"/>
      <c r="J407" s="330"/>
      <c r="K407" s="330"/>
      <c r="L407" s="79"/>
      <c r="M407" s="80"/>
      <c r="N407" s="79"/>
      <c r="O407" s="80"/>
      <c r="P407" s="79"/>
      <c r="Q407" s="80"/>
      <c r="R407" s="79"/>
      <c r="S407" s="80"/>
      <c r="T407" s="79"/>
      <c r="U407" s="80"/>
      <c r="V407" s="79"/>
      <c r="W407" s="80"/>
      <c r="X407" s="79"/>
      <c r="Y407" s="80"/>
      <c r="Z407" s="50">
        <f t="shared" si="6"/>
        <v>0</v>
      </c>
      <c r="AA407" s="60"/>
      <c r="AB407" s="60"/>
    </row>
    <row r="408" spans="1:28" x14ac:dyDescent="0.25">
      <c r="A408" s="443"/>
      <c r="B408" s="443"/>
      <c r="C408" s="443"/>
      <c r="D408" s="330"/>
      <c r="E408" s="330"/>
      <c r="F408" s="330"/>
      <c r="G408" s="330"/>
      <c r="H408" s="330"/>
      <c r="I408" s="330"/>
      <c r="J408" s="330"/>
      <c r="K408" s="330"/>
      <c r="L408" s="79"/>
      <c r="M408" s="80"/>
      <c r="N408" s="79"/>
      <c r="O408" s="80"/>
      <c r="P408" s="79"/>
      <c r="Q408" s="80"/>
      <c r="R408" s="79"/>
      <c r="S408" s="80"/>
      <c r="T408" s="79"/>
      <c r="U408" s="80"/>
      <c r="V408" s="79"/>
      <c r="W408" s="80"/>
      <c r="X408" s="79"/>
      <c r="Y408" s="80"/>
      <c r="Z408" s="50">
        <f t="shared" si="6"/>
        <v>0</v>
      </c>
      <c r="AA408" s="60"/>
      <c r="AB408" s="60"/>
    </row>
    <row r="409" spans="1:28" x14ac:dyDescent="0.25">
      <c r="A409" s="443"/>
      <c r="B409" s="443"/>
      <c r="C409" s="443"/>
      <c r="D409" s="330"/>
      <c r="E409" s="330"/>
      <c r="F409" s="330"/>
      <c r="G409" s="330"/>
      <c r="H409" s="330"/>
      <c r="I409" s="330"/>
      <c r="J409" s="330"/>
      <c r="K409" s="330"/>
      <c r="L409" s="79"/>
      <c r="M409" s="80"/>
      <c r="N409" s="79"/>
      <c r="O409" s="80"/>
      <c r="P409" s="79"/>
      <c r="Q409" s="80"/>
      <c r="R409" s="79"/>
      <c r="S409" s="80"/>
      <c r="T409" s="79"/>
      <c r="U409" s="80"/>
      <c r="V409" s="79"/>
      <c r="W409" s="80"/>
      <c r="X409" s="79"/>
      <c r="Y409" s="80"/>
      <c r="Z409" s="50">
        <f t="shared" si="6"/>
        <v>0</v>
      </c>
      <c r="AA409" s="60"/>
      <c r="AB409" s="60"/>
    </row>
    <row r="410" spans="1:28" x14ac:dyDescent="0.25">
      <c r="A410" s="443"/>
      <c r="B410" s="443"/>
      <c r="C410" s="443"/>
      <c r="D410" s="330"/>
      <c r="E410" s="330"/>
      <c r="F410" s="330"/>
      <c r="G410" s="330"/>
      <c r="H410" s="330"/>
      <c r="I410" s="330"/>
      <c r="J410" s="330"/>
      <c r="K410" s="330"/>
      <c r="L410" s="79"/>
      <c r="M410" s="80"/>
      <c r="N410" s="79"/>
      <c r="O410" s="80"/>
      <c r="P410" s="79"/>
      <c r="Q410" s="80"/>
      <c r="R410" s="79"/>
      <c r="S410" s="80"/>
      <c r="T410" s="79"/>
      <c r="U410" s="80"/>
      <c r="V410" s="79"/>
      <c r="W410" s="80"/>
      <c r="X410" s="79"/>
      <c r="Y410" s="80"/>
      <c r="Z410" s="50">
        <f t="shared" si="6"/>
        <v>0</v>
      </c>
      <c r="AA410" s="60"/>
      <c r="AB410" s="60"/>
    </row>
    <row r="411" spans="1:28" x14ac:dyDescent="0.25">
      <c r="A411" s="443"/>
      <c r="B411" s="443"/>
      <c r="C411" s="443"/>
      <c r="D411" s="330"/>
      <c r="E411" s="330"/>
      <c r="F411" s="330"/>
      <c r="G411" s="330"/>
      <c r="H411" s="330"/>
      <c r="I411" s="330"/>
      <c r="J411" s="330"/>
      <c r="K411" s="330"/>
      <c r="L411" s="79"/>
      <c r="M411" s="80"/>
      <c r="N411" s="79"/>
      <c r="O411" s="80"/>
      <c r="P411" s="79"/>
      <c r="Q411" s="80"/>
      <c r="R411" s="79"/>
      <c r="S411" s="80"/>
      <c r="T411" s="79"/>
      <c r="U411" s="80"/>
      <c r="V411" s="79"/>
      <c r="W411" s="80"/>
      <c r="X411" s="79"/>
      <c r="Y411" s="80"/>
      <c r="Z411" s="50">
        <f t="shared" si="6"/>
        <v>0</v>
      </c>
      <c r="AA411" s="60"/>
      <c r="AB411" s="60"/>
    </row>
    <row r="412" spans="1:28" x14ac:dyDescent="0.25">
      <c r="A412" s="443"/>
      <c r="B412" s="443"/>
      <c r="C412" s="443"/>
      <c r="D412" s="330"/>
      <c r="E412" s="330"/>
      <c r="F412" s="330"/>
      <c r="G412" s="330"/>
      <c r="H412" s="330"/>
      <c r="I412" s="330"/>
      <c r="J412" s="330"/>
      <c r="K412" s="330"/>
      <c r="L412" s="79"/>
      <c r="M412" s="80"/>
      <c r="N412" s="79"/>
      <c r="O412" s="80"/>
      <c r="P412" s="79"/>
      <c r="Q412" s="80"/>
      <c r="R412" s="79"/>
      <c r="S412" s="80"/>
      <c r="T412" s="79"/>
      <c r="U412" s="80"/>
      <c r="V412" s="79"/>
      <c r="W412" s="80"/>
      <c r="X412" s="79"/>
      <c r="Y412" s="80"/>
      <c r="Z412" s="50">
        <f t="shared" si="6"/>
        <v>0</v>
      </c>
      <c r="AA412" s="60"/>
      <c r="AB412" s="60"/>
    </row>
    <row r="413" spans="1:28" x14ac:dyDescent="0.25">
      <c r="A413" s="443"/>
      <c r="B413" s="443"/>
      <c r="C413" s="443"/>
      <c r="D413" s="330"/>
      <c r="E413" s="330"/>
      <c r="F413" s="330"/>
      <c r="G413" s="330"/>
      <c r="H413" s="330"/>
      <c r="I413" s="330"/>
      <c r="J413" s="330"/>
      <c r="K413" s="330"/>
      <c r="L413" s="79"/>
      <c r="M413" s="80"/>
      <c r="N413" s="79"/>
      <c r="O413" s="80"/>
      <c r="P413" s="79"/>
      <c r="Q413" s="80"/>
      <c r="R413" s="79"/>
      <c r="S413" s="80"/>
      <c r="T413" s="79"/>
      <c r="U413" s="80"/>
      <c r="V413" s="79"/>
      <c r="W413" s="80"/>
      <c r="X413" s="79"/>
      <c r="Y413" s="80"/>
      <c r="Z413" s="50">
        <f t="shared" si="6"/>
        <v>0</v>
      </c>
      <c r="AA413" s="60"/>
      <c r="AB413" s="60"/>
    </row>
    <row r="414" spans="1:28" x14ac:dyDescent="0.25">
      <c r="A414" s="443"/>
      <c r="B414" s="443"/>
      <c r="C414" s="443"/>
      <c r="D414" s="330"/>
      <c r="E414" s="330"/>
      <c r="F414" s="330"/>
      <c r="G414" s="330"/>
      <c r="H414" s="330"/>
      <c r="I414" s="330"/>
      <c r="J414" s="330"/>
      <c r="K414" s="330"/>
      <c r="L414" s="79"/>
      <c r="M414" s="80"/>
      <c r="N414" s="79"/>
      <c r="O414" s="80"/>
      <c r="P414" s="79"/>
      <c r="Q414" s="80"/>
      <c r="R414" s="79"/>
      <c r="S414" s="80"/>
      <c r="T414" s="79"/>
      <c r="U414" s="80"/>
      <c r="V414" s="79"/>
      <c r="W414" s="80"/>
      <c r="X414" s="79"/>
      <c r="Y414" s="80"/>
      <c r="Z414" s="50">
        <f t="shared" si="6"/>
        <v>0</v>
      </c>
      <c r="AA414" s="60"/>
      <c r="AB414" s="60"/>
    </row>
    <row r="415" spans="1:28" x14ac:dyDescent="0.25">
      <c r="A415" s="443"/>
      <c r="B415" s="443"/>
      <c r="C415" s="443"/>
      <c r="D415" s="330"/>
      <c r="E415" s="330"/>
      <c r="F415" s="330"/>
      <c r="G415" s="330"/>
      <c r="H415" s="330"/>
      <c r="I415" s="330"/>
      <c r="J415" s="330"/>
      <c r="K415" s="330"/>
      <c r="L415" s="79"/>
      <c r="M415" s="80"/>
      <c r="N415" s="79"/>
      <c r="O415" s="80"/>
      <c r="P415" s="79"/>
      <c r="Q415" s="80"/>
      <c r="R415" s="79"/>
      <c r="S415" s="80"/>
      <c r="T415" s="79"/>
      <c r="U415" s="80"/>
      <c r="V415" s="79"/>
      <c r="W415" s="80"/>
      <c r="X415" s="79"/>
      <c r="Y415" s="80"/>
      <c r="Z415" s="50">
        <f t="shared" si="6"/>
        <v>0</v>
      </c>
      <c r="AA415" s="60"/>
      <c r="AB415" s="60"/>
    </row>
    <row r="416" spans="1:28" x14ac:dyDescent="0.25">
      <c r="A416" s="443"/>
      <c r="B416" s="443"/>
      <c r="C416" s="443"/>
      <c r="D416" s="330"/>
      <c r="E416" s="330"/>
      <c r="F416" s="330"/>
      <c r="G416" s="330"/>
      <c r="H416" s="330"/>
      <c r="I416" s="330"/>
      <c r="J416" s="330"/>
      <c r="K416" s="330"/>
      <c r="L416" s="79"/>
      <c r="M416" s="80"/>
      <c r="N416" s="79"/>
      <c r="O416" s="80"/>
      <c r="P416" s="79"/>
      <c r="Q416" s="80"/>
      <c r="R416" s="79"/>
      <c r="S416" s="80"/>
      <c r="T416" s="79"/>
      <c r="U416" s="80"/>
      <c r="V416" s="79"/>
      <c r="W416" s="80"/>
      <c r="X416" s="79"/>
      <c r="Y416" s="80"/>
      <c r="Z416" s="50">
        <f t="shared" si="6"/>
        <v>0</v>
      </c>
      <c r="AA416" s="60"/>
      <c r="AB416" s="60"/>
    </row>
    <row r="417" spans="1:28" x14ac:dyDescent="0.25">
      <c r="A417" s="443"/>
      <c r="B417" s="443"/>
      <c r="C417" s="443"/>
      <c r="D417" s="330"/>
      <c r="E417" s="330"/>
      <c r="F417" s="330"/>
      <c r="G417" s="330"/>
      <c r="H417" s="330"/>
      <c r="I417" s="330"/>
      <c r="J417" s="330"/>
      <c r="K417" s="330"/>
      <c r="L417" s="79"/>
      <c r="M417" s="80"/>
      <c r="N417" s="79"/>
      <c r="O417" s="80"/>
      <c r="P417" s="79"/>
      <c r="Q417" s="80"/>
      <c r="R417" s="79"/>
      <c r="S417" s="80"/>
      <c r="T417" s="79"/>
      <c r="U417" s="80"/>
      <c r="V417" s="79"/>
      <c r="W417" s="80"/>
      <c r="X417" s="79"/>
      <c r="Y417" s="80"/>
      <c r="Z417" s="50">
        <f t="shared" si="6"/>
        <v>0</v>
      </c>
      <c r="AA417" s="60"/>
      <c r="AB417" s="60"/>
    </row>
    <row r="418" spans="1:28" x14ac:dyDescent="0.25">
      <c r="A418" s="443"/>
      <c r="B418" s="443"/>
      <c r="C418" s="443"/>
      <c r="D418" s="330"/>
      <c r="E418" s="330"/>
      <c r="F418" s="330"/>
      <c r="G418" s="330"/>
      <c r="H418" s="330"/>
      <c r="I418" s="330"/>
      <c r="J418" s="330"/>
      <c r="K418" s="330"/>
      <c r="L418" s="79"/>
      <c r="M418" s="80"/>
      <c r="N418" s="79"/>
      <c r="O418" s="80"/>
      <c r="P418" s="79"/>
      <c r="Q418" s="80"/>
      <c r="R418" s="79"/>
      <c r="S418" s="80"/>
      <c r="T418" s="79"/>
      <c r="U418" s="80"/>
      <c r="V418" s="79"/>
      <c r="W418" s="80"/>
      <c r="X418" s="79"/>
      <c r="Y418" s="80"/>
      <c r="Z418" s="50">
        <f t="shared" si="6"/>
        <v>0</v>
      </c>
      <c r="AA418" s="60"/>
      <c r="AB418" s="60"/>
    </row>
    <row r="419" spans="1:28" x14ac:dyDescent="0.25">
      <c r="A419" s="443"/>
      <c r="B419" s="443"/>
      <c r="C419" s="443"/>
      <c r="D419" s="330"/>
      <c r="E419" s="330"/>
      <c r="F419" s="330"/>
      <c r="G419" s="330"/>
      <c r="H419" s="330"/>
      <c r="I419" s="330"/>
      <c r="J419" s="330"/>
      <c r="K419" s="330"/>
      <c r="L419" s="79"/>
      <c r="M419" s="80"/>
      <c r="N419" s="79"/>
      <c r="O419" s="80"/>
      <c r="P419" s="79"/>
      <c r="Q419" s="80"/>
      <c r="R419" s="79"/>
      <c r="S419" s="80"/>
      <c r="T419" s="79"/>
      <c r="U419" s="80"/>
      <c r="V419" s="79"/>
      <c r="W419" s="80"/>
      <c r="X419" s="79"/>
      <c r="Y419" s="80"/>
      <c r="Z419" s="50">
        <f t="shared" si="6"/>
        <v>0</v>
      </c>
      <c r="AA419" s="60"/>
      <c r="AB419" s="60"/>
    </row>
    <row r="420" spans="1:28" x14ac:dyDescent="0.25">
      <c r="A420" s="443"/>
      <c r="B420" s="443"/>
      <c r="C420" s="443"/>
      <c r="D420" s="330"/>
      <c r="E420" s="330"/>
      <c r="F420" s="330"/>
      <c r="G420" s="330"/>
      <c r="H420" s="330"/>
      <c r="I420" s="330"/>
      <c r="J420" s="330"/>
      <c r="K420" s="330"/>
      <c r="L420" s="79"/>
      <c r="M420" s="80"/>
      <c r="N420" s="79"/>
      <c r="O420" s="80"/>
      <c r="P420" s="79"/>
      <c r="Q420" s="80"/>
      <c r="R420" s="79"/>
      <c r="S420" s="80"/>
      <c r="T420" s="79"/>
      <c r="U420" s="80"/>
      <c r="V420" s="79"/>
      <c r="W420" s="80"/>
      <c r="X420" s="79"/>
      <c r="Y420" s="80"/>
      <c r="Z420" s="50">
        <f t="shared" si="6"/>
        <v>0</v>
      </c>
      <c r="AA420" s="60"/>
      <c r="AB420" s="60"/>
    </row>
    <row r="421" spans="1:28" x14ac:dyDescent="0.25">
      <c r="A421" s="443"/>
      <c r="B421" s="443"/>
      <c r="C421" s="443"/>
      <c r="D421" s="330"/>
      <c r="E421" s="330"/>
      <c r="F421" s="330"/>
      <c r="G421" s="330"/>
      <c r="H421" s="330"/>
      <c r="I421" s="330"/>
      <c r="J421" s="330"/>
      <c r="K421" s="330"/>
      <c r="L421" s="79"/>
      <c r="M421" s="80"/>
      <c r="N421" s="79"/>
      <c r="O421" s="80"/>
      <c r="P421" s="79"/>
      <c r="Q421" s="80"/>
      <c r="R421" s="79"/>
      <c r="S421" s="80"/>
      <c r="T421" s="79"/>
      <c r="U421" s="80"/>
      <c r="V421" s="79"/>
      <c r="W421" s="80"/>
      <c r="X421" s="79"/>
      <c r="Y421" s="80"/>
      <c r="Z421" s="50">
        <f t="shared" si="6"/>
        <v>0</v>
      </c>
      <c r="AA421" s="60"/>
      <c r="AB421" s="60"/>
    </row>
    <row r="422" spans="1:28" x14ac:dyDescent="0.25">
      <c r="A422" s="443"/>
      <c r="B422" s="443"/>
      <c r="C422" s="443"/>
      <c r="D422" s="330"/>
      <c r="E422" s="330"/>
      <c r="F422" s="330"/>
      <c r="G422" s="330"/>
      <c r="H422" s="330"/>
      <c r="I422" s="330"/>
      <c r="J422" s="330"/>
      <c r="K422" s="330"/>
      <c r="L422" s="79"/>
      <c r="M422" s="80"/>
      <c r="N422" s="79"/>
      <c r="O422" s="80"/>
      <c r="P422" s="79"/>
      <c r="Q422" s="80"/>
      <c r="R422" s="79"/>
      <c r="S422" s="80"/>
      <c r="T422" s="79"/>
      <c r="U422" s="80"/>
      <c r="V422" s="79"/>
      <c r="W422" s="80"/>
      <c r="X422" s="79"/>
      <c r="Y422" s="80"/>
      <c r="Z422" s="50">
        <f t="shared" si="6"/>
        <v>0</v>
      </c>
      <c r="AA422" s="60"/>
      <c r="AB422" s="60"/>
    </row>
    <row r="423" spans="1:28" x14ac:dyDescent="0.25">
      <c r="A423" s="443"/>
      <c r="B423" s="443"/>
      <c r="C423" s="443"/>
      <c r="D423" s="330"/>
      <c r="E423" s="330"/>
      <c r="F423" s="330"/>
      <c r="G423" s="330"/>
      <c r="H423" s="330"/>
      <c r="I423" s="330"/>
      <c r="J423" s="330"/>
      <c r="K423" s="330"/>
      <c r="L423" s="79"/>
      <c r="M423" s="80"/>
      <c r="N423" s="79"/>
      <c r="O423" s="80"/>
      <c r="P423" s="79"/>
      <c r="Q423" s="80"/>
      <c r="R423" s="79"/>
      <c r="S423" s="80"/>
      <c r="T423" s="79"/>
      <c r="U423" s="80"/>
      <c r="V423" s="79"/>
      <c r="W423" s="80"/>
      <c r="X423" s="79"/>
      <c r="Y423" s="80"/>
      <c r="Z423" s="50">
        <f t="shared" si="6"/>
        <v>0</v>
      </c>
      <c r="AA423" s="60"/>
      <c r="AB423" s="60"/>
    </row>
    <row r="424" spans="1:28" x14ac:dyDescent="0.25">
      <c r="A424" s="443"/>
      <c r="B424" s="443"/>
      <c r="C424" s="443"/>
      <c r="D424" s="330"/>
      <c r="E424" s="330"/>
      <c r="F424" s="330"/>
      <c r="G424" s="330"/>
      <c r="H424" s="330"/>
      <c r="I424" s="330"/>
      <c r="J424" s="330"/>
      <c r="K424" s="330"/>
      <c r="L424" s="79"/>
      <c r="M424" s="80"/>
      <c r="N424" s="79"/>
      <c r="O424" s="80"/>
      <c r="P424" s="79"/>
      <c r="Q424" s="80"/>
      <c r="R424" s="79"/>
      <c r="S424" s="80"/>
      <c r="T424" s="79"/>
      <c r="U424" s="80"/>
      <c r="V424" s="79"/>
      <c r="W424" s="80"/>
      <c r="X424" s="79"/>
      <c r="Y424" s="80"/>
      <c r="Z424" s="50">
        <f t="shared" si="6"/>
        <v>0</v>
      </c>
      <c r="AA424" s="60"/>
      <c r="AB424" s="60"/>
    </row>
    <row r="425" spans="1:28" x14ac:dyDescent="0.25">
      <c r="A425" s="443"/>
      <c r="B425" s="443"/>
      <c r="C425" s="443"/>
      <c r="D425" s="330"/>
      <c r="E425" s="330"/>
      <c r="F425" s="330"/>
      <c r="G425" s="330"/>
      <c r="H425" s="330"/>
      <c r="I425" s="330"/>
      <c r="J425" s="330"/>
      <c r="K425" s="330"/>
      <c r="L425" s="79"/>
      <c r="M425" s="80"/>
      <c r="N425" s="79"/>
      <c r="O425" s="80"/>
      <c r="P425" s="79"/>
      <c r="Q425" s="80"/>
      <c r="R425" s="79"/>
      <c r="S425" s="80"/>
      <c r="T425" s="79"/>
      <c r="U425" s="80"/>
      <c r="V425" s="79"/>
      <c r="W425" s="80"/>
      <c r="X425" s="79"/>
      <c r="Y425" s="80"/>
      <c r="Z425" s="50">
        <f t="shared" si="6"/>
        <v>0</v>
      </c>
      <c r="AA425" s="60"/>
      <c r="AB425" s="60"/>
    </row>
    <row r="426" spans="1:28" x14ac:dyDescent="0.25">
      <c r="A426" s="443"/>
      <c r="B426" s="443"/>
      <c r="C426" s="443"/>
      <c r="D426" s="330"/>
      <c r="E426" s="330"/>
      <c r="F426" s="330"/>
      <c r="G426" s="330"/>
      <c r="H426" s="330"/>
      <c r="I426" s="330"/>
      <c r="J426" s="330"/>
      <c r="K426" s="330"/>
      <c r="L426" s="79"/>
      <c r="M426" s="80"/>
      <c r="N426" s="79"/>
      <c r="O426" s="80"/>
      <c r="P426" s="79"/>
      <c r="Q426" s="80"/>
      <c r="R426" s="79"/>
      <c r="S426" s="80"/>
      <c r="T426" s="79"/>
      <c r="U426" s="80"/>
      <c r="V426" s="79"/>
      <c r="W426" s="80"/>
      <c r="X426" s="79"/>
      <c r="Y426" s="80"/>
      <c r="Z426" s="50">
        <f t="shared" si="6"/>
        <v>0</v>
      </c>
      <c r="AA426" s="60"/>
      <c r="AB426" s="60"/>
    </row>
    <row r="427" spans="1:28" x14ac:dyDescent="0.25">
      <c r="A427" s="443"/>
      <c r="B427" s="443"/>
      <c r="C427" s="443"/>
      <c r="D427" s="330"/>
      <c r="E427" s="330"/>
      <c r="F427" s="330"/>
      <c r="G427" s="330"/>
      <c r="H427" s="330"/>
      <c r="I427" s="330"/>
      <c r="J427" s="330"/>
      <c r="K427" s="330"/>
      <c r="L427" s="79"/>
      <c r="M427" s="80"/>
      <c r="N427" s="79"/>
      <c r="O427" s="80"/>
      <c r="P427" s="79"/>
      <c r="Q427" s="80"/>
      <c r="R427" s="79"/>
      <c r="S427" s="80"/>
      <c r="T427" s="79"/>
      <c r="U427" s="80"/>
      <c r="V427" s="79"/>
      <c r="W427" s="80"/>
      <c r="X427" s="79"/>
      <c r="Y427" s="80"/>
      <c r="Z427" s="50">
        <f t="shared" si="6"/>
        <v>0</v>
      </c>
      <c r="AA427" s="60"/>
      <c r="AB427" s="60"/>
    </row>
    <row r="428" spans="1:28" x14ac:dyDescent="0.25">
      <c r="A428" s="443"/>
      <c r="B428" s="443"/>
      <c r="C428" s="443"/>
      <c r="D428" s="330"/>
      <c r="E428" s="330"/>
      <c r="F428" s="330"/>
      <c r="G428" s="330"/>
      <c r="H428" s="330"/>
      <c r="I428" s="330"/>
      <c r="J428" s="330"/>
      <c r="K428" s="330"/>
      <c r="L428" s="79"/>
      <c r="M428" s="80"/>
      <c r="N428" s="79"/>
      <c r="O428" s="80"/>
      <c r="P428" s="79"/>
      <c r="Q428" s="80"/>
      <c r="R428" s="79"/>
      <c r="S428" s="80"/>
      <c r="T428" s="79"/>
      <c r="U428" s="80"/>
      <c r="V428" s="79"/>
      <c r="W428" s="80"/>
      <c r="X428" s="79"/>
      <c r="Y428" s="80"/>
      <c r="Z428" s="50">
        <f t="shared" si="6"/>
        <v>0</v>
      </c>
      <c r="AA428" s="60"/>
      <c r="AB428" s="60"/>
    </row>
    <row r="429" spans="1:28" x14ac:dyDescent="0.25">
      <c r="A429" s="443"/>
      <c r="B429" s="443"/>
      <c r="C429" s="443"/>
      <c r="D429" s="330"/>
      <c r="E429" s="330"/>
      <c r="F429" s="330"/>
      <c r="G429" s="330"/>
      <c r="H429" s="330"/>
      <c r="I429" s="330"/>
      <c r="J429" s="330"/>
      <c r="K429" s="330"/>
      <c r="L429" s="79"/>
      <c r="M429" s="80"/>
      <c r="N429" s="79"/>
      <c r="O429" s="80"/>
      <c r="P429" s="79"/>
      <c r="Q429" s="80"/>
      <c r="R429" s="79"/>
      <c r="S429" s="80"/>
      <c r="T429" s="79"/>
      <c r="U429" s="80"/>
      <c r="V429" s="79"/>
      <c r="W429" s="80"/>
      <c r="X429" s="79"/>
      <c r="Y429" s="80"/>
      <c r="Z429" s="50">
        <f t="shared" si="6"/>
        <v>0</v>
      </c>
      <c r="AA429" s="60"/>
      <c r="AB429" s="60"/>
    </row>
    <row r="430" spans="1:28" x14ac:dyDescent="0.25">
      <c r="A430" s="443"/>
      <c r="B430" s="443"/>
      <c r="C430" s="443"/>
      <c r="D430" s="330"/>
      <c r="E430" s="330"/>
      <c r="F430" s="330"/>
      <c r="G430" s="330"/>
      <c r="H430" s="330"/>
      <c r="I430" s="330"/>
      <c r="J430" s="330"/>
      <c r="K430" s="330"/>
      <c r="L430" s="79"/>
      <c r="M430" s="80"/>
      <c r="N430" s="79"/>
      <c r="O430" s="80"/>
      <c r="P430" s="79"/>
      <c r="Q430" s="80"/>
      <c r="R430" s="79"/>
      <c r="S430" s="80"/>
      <c r="T430" s="79"/>
      <c r="U430" s="80"/>
      <c r="V430" s="79"/>
      <c r="W430" s="80"/>
      <c r="X430" s="79"/>
      <c r="Y430" s="80"/>
      <c r="Z430" s="50">
        <f t="shared" si="6"/>
        <v>0</v>
      </c>
      <c r="AA430" s="60"/>
      <c r="AB430" s="60"/>
    </row>
    <row r="431" spans="1:28" x14ac:dyDescent="0.25">
      <c r="A431" s="443"/>
      <c r="B431" s="443"/>
      <c r="C431" s="443"/>
      <c r="D431" s="330"/>
      <c r="E431" s="330"/>
      <c r="F431" s="330"/>
      <c r="G431" s="330"/>
      <c r="H431" s="330"/>
      <c r="I431" s="330"/>
      <c r="J431" s="330"/>
      <c r="K431" s="330"/>
      <c r="L431" s="79"/>
      <c r="M431" s="80"/>
      <c r="N431" s="79"/>
      <c r="O431" s="80"/>
      <c r="P431" s="79"/>
      <c r="Q431" s="80"/>
      <c r="R431" s="79"/>
      <c r="S431" s="80"/>
      <c r="T431" s="79"/>
      <c r="U431" s="80"/>
      <c r="V431" s="79"/>
      <c r="W431" s="80"/>
      <c r="X431" s="79"/>
      <c r="Y431" s="80"/>
      <c r="Z431" s="50">
        <f t="shared" si="6"/>
        <v>0</v>
      </c>
      <c r="AA431" s="60"/>
      <c r="AB431" s="60"/>
    </row>
    <row r="432" spans="1:28" x14ac:dyDescent="0.25">
      <c r="A432" s="443"/>
      <c r="B432" s="443"/>
      <c r="C432" s="443"/>
      <c r="D432" s="330"/>
      <c r="E432" s="330"/>
      <c r="F432" s="330"/>
      <c r="G432" s="330"/>
      <c r="H432" s="330"/>
      <c r="I432" s="330"/>
      <c r="J432" s="330"/>
      <c r="K432" s="330"/>
      <c r="L432" s="79"/>
      <c r="M432" s="80"/>
      <c r="N432" s="79"/>
      <c r="O432" s="80"/>
      <c r="P432" s="79"/>
      <c r="Q432" s="80"/>
      <c r="R432" s="79"/>
      <c r="S432" s="80"/>
      <c r="T432" s="79"/>
      <c r="U432" s="80"/>
      <c r="V432" s="79"/>
      <c r="W432" s="80"/>
      <c r="X432" s="79"/>
      <c r="Y432" s="80"/>
      <c r="Z432" s="50">
        <f t="shared" si="6"/>
        <v>0</v>
      </c>
      <c r="AA432" s="60"/>
      <c r="AB432" s="60"/>
    </row>
    <row r="433" spans="1:28" x14ac:dyDescent="0.25">
      <c r="A433" s="443"/>
      <c r="B433" s="443"/>
      <c r="C433" s="443"/>
      <c r="D433" s="330"/>
      <c r="E433" s="330"/>
      <c r="F433" s="330"/>
      <c r="G433" s="330"/>
      <c r="H433" s="330"/>
      <c r="I433" s="330"/>
      <c r="J433" s="330"/>
      <c r="K433" s="330"/>
      <c r="L433" s="79"/>
      <c r="M433" s="80"/>
      <c r="N433" s="79"/>
      <c r="O433" s="80"/>
      <c r="P433" s="79"/>
      <c r="Q433" s="80"/>
      <c r="R433" s="79"/>
      <c r="S433" s="80"/>
      <c r="T433" s="79"/>
      <c r="U433" s="80"/>
      <c r="V433" s="79"/>
      <c r="W433" s="80"/>
      <c r="X433" s="79"/>
      <c r="Y433" s="80"/>
      <c r="Z433" s="50">
        <f t="shared" si="6"/>
        <v>0</v>
      </c>
      <c r="AA433" s="60"/>
      <c r="AB433" s="60"/>
    </row>
    <row r="434" spans="1:28" x14ac:dyDescent="0.25">
      <c r="A434" s="443"/>
      <c r="B434" s="443"/>
      <c r="C434" s="443"/>
      <c r="D434" s="330"/>
      <c r="E434" s="330"/>
      <c r="F434" s="330"/>
      <c r="G434" s="330"/>
      <c r="H434" s="330"/>
      <c r="I434" s="330"/>
      <c r="J434" s="330"/>
      <c r="K434" s="330"/>
      <c r="L434" s="79"/>
      <c r="M434" s="80"/>
      <c r="N434" s="79"/>
      <c r="O434" s="80"/>
      <c r="P434" s="79"/>
      <c r="Q434" s="80"/>
      <c r="R434" s="79"/>
      <c r="S434" s="80"/>
      <c r="T434" s="79"/>
      <c r="U434" s="80"/>
      <c r="V434" s="79"/>
      <c r="W434" s="80"/>
      <c r="X434" s="79"/>
      <c r="Y434" s="80"/>
      <c r="Z434" s="50">
        <f t="shared" si="6"/>
        <v>0</v>
      </c>
      <c r="AA434" s="60"/>
      <c r="AB434" s="60"/>
    </row>
    <row r="435" spans="1:28" x14ac:dyDescent="0.25">
      <c r="A435" s="443"/>
      <c r="B435" s="443"/>
      <c r="C435" s="443"/>
      <c r="D435" s="330"/>
      <c r="E435" s="330"/>
      <c r="F435" s="330"/>
      <c r="G435" s="330"/>
      <c r="H435" s="330"/>
      <c r="I435" s="330"/>
      <c r="J435" s="330"/>
      <c r="K435" s="330"/>
      <c r="L435" s="79"/>
      <c r="M435" s="80"/>
      <c r="N435" s="79"/>
      <c r="O435" s="80"/>
      <c r="P435" s="79"/>
      <c r="Q435" s="80"/>
      <c r="R435" s="79"/>
      <c r="S435" s="80"/>
      <c r="T435" s="79"/>
      <c r="U435" s="80"/>
      <c r="V435" s="79"/>
      <c r="W435" s="80"/>
      <c r="X435" s="79"/>
      <c r="Y435" s="80"/>
      <c r="Z435" s="50">
        <f t="shared" si="6"/>
        <v>0</v>
      </c>
      <c r="AA435" s="60"/>
      <c r="AB435" s="60"/>
    </row>
    <row r="436" spans="1:28" x14ac:dyDescent="0.25">
      <c r="A436" s="443"/>
      <c r="B436" s="443"/>
      <c r="C436" s="443"/>
      <c r="D436" s="330"/>
      <c r="E436" s="330"/>
      <c r="F436" s="330"/>
      <c r="G436" s="330"/>
      <c r="H436" s="330"/>
      <c r="I436" s="330"/>
      <c r="J436" s="330"/>
      <c r="K436" s="330"/>
      <c r="L436" s="79"/>
      <c r="M436" s="80"/>
      <c r="N436" s="79"/>
      <c r="O436" s="80"/>
      <c r="P436" s="79"/>
      <c r="Q436" s="80"/>
      <c r="R436" s="79"/>
      <c r="S436" s="80"/>
      <c r="T436" s="79"/>
      <c r="U436" s="80"/>
      <c r="V436" s="79"/>
      <c r="W436" s="80"/>
      <c r="X436" s="79"/>
      <c r="Y436" s="80"/>
      <c r="Z436" s="50">
        <f t="shared" si="6"/>
        <v>0</v>
      </c>
      <c r="AA436" s="60"/>
      <c r="AB436" s="60"/>
    </row>
    <row r="437" spans="1:28" x14ac:dyDescent="0.25">
      <c r="A437" s="443"/>
      <c r="B437" s="443"/>
      <c r="C437" s="443"/>
      <c r="D437" s="330"/>
      <c r="E437" s="330"/>
      <c r="F437" s="330"/>
      <c r="G437" s="330"/>
      <c r="H437" s="330"/>
      <c r="I437" s="330"/>
      <c r="J437" s="330"/>
      <c r="K437" s="330"/>
      <c r="L437" s="79"/>
      <c r="M437" s="80"/>
      <c r="N437" s="79"/>
      <c r="O437" s="80"/>
      <c r="P437" s="79"/>
      <c r="Q437" s="80"/>
      <c r="R437" s="79"/>
      <c r="S437" s="80"/>
      <c r="T437" s="79"/>
      <c r="U437" s="80"/>
      <c r="V437" s="79"/>
      <c r="W437" s="80"/>
      <c r="X437" s="79"/>
      <c r="Y437" s="80"/>
      <c r="Z437" s="50">
        <f t="shared" si="6"/>
        <v>0</v>
      </c>
      <c r="AA437" s="60"/>
      <c r="AB437" s="60"/>
    </row>
    <row r="438" spans="1:28" x14ac:dyDescent="0.25">
      <c r="A438" s="443"/>
      <c r="B438" s="443"/>
      <c r="C438" s="443"/>
      <c r="D438" s="330"/>
      <c r="E438" s="330"/>
      <c r="F438" s="330"/>
      <c r="G438" s="330"/>
      <c r="H438" s="330"/>
      <c r="I438" s="330"/>
      <c r="J438" s="330"/>
      <c r="K438" s="330"/>
      <c r="L438" s="79"/>
      <c r="M438" s="80"/>
      <c r="N438" s="79"/>
      <c r="O438" s="80"/>
      <c r="P438" s="79"/>
      <c r="Q438" s="80"/>
      <c r="R438" s="79"/>
      <c r="S438" s="80"/>
      <c r="T438" s="79"/>
      <c r="U438" s="80"/>
      <c r="V438" s="79"/>
      <c r="W438" s="80"/>
      <c r="X438" s="79"/>
      <c r="Y438" s="80"/>
      <c r="Z438" s="50">
        <f t="shared" si="6"/>
        <v>0</v>
      </c>
      <c r="AA438" s="60"/>
      <c r="AB438" s="60"/>
    </row>
    <row r="439" spans="1:28" x14ac:dyDescent="0.25">
      <c r="A439" s="443"/>
      <c r="B439" s="443"/>
      <c r="C439" s="443"/>
      <c r="D439" s="330"/>
      <c r="E439" s="330"/>
      <c r="F439" s="330"/>
      <c r="G439" s="330"/>
      <c r="H439" s="330"/>
      <c r="I439" s="330"/>
      <c r="J439" s="330"/>
      <c r="K439" s="330"/>
      <c r="L439" s="79"/>
      <c r="M439" s="80"/>
      <c r="N439" s="79"/>
      <c r="O439" s="80"/>
      <c r="P439" s="79"/>
      <c r="Q439" s="80"/>
      <c r="R439" s="79"/>
      <c r="S439" s="80"/>
      <c r="T439" s="79"/>
      <c r="U439" s="80"/>
      <c r="V439" s="79"/>
      <c r="W439" s="80"/>
      <c r="X439" s="79"/>
      <c r="Y439" s="80"/>
      <c r="Z439" s="50">
        <f t="shared" si="6"/>
        <v>0</v>
      </c>
      <c r="AA439" s="60"/>
      <c r="AB439" s="60"/>
    </row>
    <row r="440" spans="1:28" x14ac:dyDescent="0.25">
      <c r="A440" s="443"/>
      <c r="B440" s="443"/>
      <c r="C440" s="443"/>
      <c r="D440" s="330"/>
      <c r="E440" s="330"/>
      <c r="F440" s="330"/>
      <c r="G440" s="330"/>
      <c r="H440" s="330"/>
      <c r="I440" s="330"/>
      <c r="J440" s="330"/>
      <c r="K440" s="330"/>
      <c r="L440" s="79"/>
      <c r="M440" s="80"/>
      <c r="N440" s="79"/>
      <c r="O440" s="80"/>
      <c r="P440" s="79"/>
      <c r="Q440" s="80"/>
      <c r="R440" s="79"/>
      <c r="S440" s="80"/>
      <c r="T440" s="79"/>
      <c r="U440" s="80"/>
      <c r="V440" s="79"/>
      <c r="W440" s="80"/>
      <c r="X440" s="79"/>
      <c r="Y440" s="80"/>
      <c r="Z440" s="50">
        <f t="shared" si="6"/>
        <v>0</v>
      </c>
      <c r="AA440" s="60"/>
      <c r="AB440" s="60"/>
    </row>
    <row r="441" spans="1:28" x14ac:dyDescent="0.25">
      <c r="A441" s="443"/>
      <c r="B441" s="443"/>
      <c r="C441" s="443"/>
      <c r="D441" s="330"/>
      <c r="E441" s="330"/>
      <c r="F441" s="330"/>
      <c r="G441" s="330"/>
      <c r="H441" s="330"/>
      <c r="I441" s="330"/>
      <c r="J441" s="330"/>
      <c r="K441" s="330"/>
      <c r="L441" s="79"/>
      <c r="M441" s="80"/>
      <c r="N441" s="79"/>
      <c r="O441" s="80"/>
      <c r="P441" s="79"/>
      <c r="Q441" s="80"/>
      <c r="R441" s="79"/>
      <c r="S441" s="80"/>
      <c r="T441" s="79"/>
      <c r="U441" s="80"/>
      <c r="V441" s="79"/>
      <c r="W441" s="80"/>
      <c r="X441" s="79"/>
      <c r="Y441" s="80"/>
      <c r="Z441" s="50">
        <f t="shared" si="6"/>
        <v>0</v>
      </c>
      <c r="AA441" s="60"/>
      <c r="AB441" s="60"/>
    </row>
    <row r="442" spans="1:28" x14ac:dyDescent="0.25">
      <c r="A442" s="443"/>
      <c r="B442" s="443"/>
      <c r="C442" s="443"/>
      <c r="D442" s="330"/>
      <c r="E442" s="330"/>
      <c r="F442" s="330"/>
      <c r="G442" s="330"/>
      <c r="H442" s="330"/>
      <c r="I442" s="330"/>
      <c r="J442" s="330"/>
      <c r="K442" s="330"/>
      <c r="L442" s="79"/>
      <c r="M442" s="80"/>
      <c r="N442" s="79"/>
      <c r="O442" s="80"/>
      <c r="P442" s="79"/>
      <c r="Q442" s="80"/>
      <c r="R442" s="79"/>
      <c r="S442" s="80"/>
      <c r="T442" s="79"/>
      <c r="U442" s="80"/>
      <c r="V442" s="79"/>
      <c r="W442" s="80"/>
      <c r="X442" s="79"/>
      <c r="Y442" s="80"/>
      <c r="Z442" s="50">
        <f t="shared" si="6"/>
        <v>0</v>
      </c>
      <c r="AA442" s="60"/>
      <c r="AB442" s="60"/>
    </row>
    <row r="443" spans="1:28" x14ac:dyDescent="0.25">
      <c r="A443" s="443"/>
      <c r="B443" s="443"/>
      <c r="C443" s="443"/>
      <c r="D443" s="330"/>
      <c r="E443" s="330"/>
      <c r="F443" s="330"/>
      <c r="G443" s="330"/>
      <c r="H443" s="330"/>
      <c r="I443" s="330"/>
      <c r="J443" s="330"/>
      <c r="K443" s="330"/>
      <c r="L443" s="79"/>
      <c r="M443" s="80"/>
      <c r="N443" s="79"/>
      <c r="O443" s="80"/>
      <c r="P443" s="79"/>
      <c r="Q443" s="80"/>
      <c r="R443" s="79"/>
      <c r="S443" s="80"/>
      <c r="T443" s="79"/>
      <c r="U443" s="80"/>
      <c r="V443" s="79"/>
      <c r="W443" s="80"/>
      <c r="X443" s="79"/>
      <c r="Y443" s="80"/>
      <c r="Z443" s="50">
        <f t="shared" si="6"/>
        <v>0</v>
      </c>
      <c r="AA443" s="60"/>
      <c r="AB443" s="60"/>
    </row>
    <row r="444" spans="1:28" x14ac:dyDescent="0.25">
      <c r="A444" s="443"/>
      <c r="B444" s="443"/>
      <c r="C444" s="443"/>
      <c r="D444" s="330"/>
      <c r="E444" s="330"/>
      <c r="F444" s="330"/>
      <c r="G444" s="330"/>
      <c r="H444" s="330"/>
      <c r="I444" s="330"/>
      <c r="J444" s="330"/>
      <c r="K444" s="330"/>
      <c r="L444" s="79"/>
      <c r="M444" s="80"/>
      <c r="N444" s="79"/>
      <c r="O444" s="80"/>
      <c r="P444" s="79"/>
      <c r="Q444" s="80"/>
      <c r="R444" s="79"/>
      <c r="S444" s="80"/>
      <c r="T444" s="79"/>
      <c r="U444" s="80"/>
      <c r="V444" s="79"/>
      <c r="W444" s="80"/>
      <c r="X444" s="79"/>
      <c r="Y444" s="80"/>
      <c r="Z444" s="50">
        <f t="shared" si="6"/>
        <v>0</v>
      </c>
      <c r="AA444" s="60"/>
      <c r="AB444" s="60"/>
    </row>
    <row r="445" spans="1:28" x14ac:dyDescent="0.25">
      <c r="A445" s="443"/>
      <c r="B445" s="443"/>
      <c r="C445" s="443"/>
      <c r="D445" s="330"/>
      <c r="E445" s="330"/>
      <c r="F445" s="330"/>
      <c r="G445" s="330"/>
      <c r="H445" s="330"/>
      <c r="I445" s="330"/>
      <c r="J445" s="330"/>
      <c r="K445" s="330"/>
      <c r="L445" s="79"/>
      <c r="M445" s="80"/>
      <c r="N445" s="79"/>
      <c r="O445" s="80"/>
      <c r="P445" s="79"/>
      <c r="Q445" s="80"/>
      <c r="R445" s="79"/>
      <c r="S445" s="80"/>
      <c r="T445" s="79"/>
      <c r="U445" s="80"/>
      <c r="V445" s="79"/>
      <c r="W445" s="80"/>
      <c r="X445" s="79"/>
      <c r="Y445" s="80"/>
      <c r="Z445" s="50">
        <f t="shared" si="6"/>
        <v>0</v>
      </c>
      <c r="AA445" s="60"/>
      <c r="AB445" s="60"/>
    </row>
    <row r="446" spans="1:28" x14ac:dyDescent="0.25">
      <c r="A446" s="443"/>
      <c r="B446" s="443"/>
      <c r="C446" s="443"/>
      <c r="D446" s="330"/>
      <c r="E446" s="330"/>
      <c r="F446" s="330"/>
      <c r="G446" s="330"/>
      <c r="H446" s="330"/>
      <c r="I446" s="330"/>
      <c r="J446" s="330"/>
      <c r="K446" s="330"/>
      <c r="L446" s="79"/>
      <c r="M446" s="80"/>
      <c r="N446" s="79"/>
      <c r="O446" s="80"/>
      <c r="P446" s="79"/>
      <c r="Q446" s="80"/>
      <c r="R446" s="79"/>
      <c r="S446" s="80"/>
      <c r="T446" s="79"/>
      <c r="U446" s="80"/>
      <c r="V446" s="79"/>
      <c r="W446" s="80"/>
      <c r="X446" s="79"/>
      <c r="Y446" s="80"/>
      <c r="Z446" s="50">
        <f t="shared" si="6"/>
        <v>0</v>
      </c>
      <c r="AA446" s="60"/>
      <c r="AB446" s="60"/>
    </row>
    <row r="447" spans="1:28" x14ac:dyDescent="0.25">
      <c r="A447" s="443"/>
      <c r="B447" s="443"/>
      <c r="C447" s="443"/>
      <c r="D447" s="330"/>
      <c r="E447" s="330"/>
      <c r="F447" s="330"/>
      <c r="G447" s="330"/>
      <c r="H447" s="330"/>
      <c r="I447" s="330"/>
      <c r="J447" s="330"/>
      <c r="K447" s="330"/>
      <c r="L447" s="79"/>
      <c r="M447" s="80"/>
      <c r="N447" s="79"/>
      <c r="O447" s="80"/>
      <c r="P447" s="79"/>
      <c r="Q447" s="80"/>
      <c r="R447" s="79"/>
      <c r="S447" s="80"/>
      <c r="T447" s="79"/>
      <c r="U447" s="80"/>
      <c r="V447" s="79"/>
      <c r="W447" s="80"/>
      <c r="X447" s="79"/>
      <c r="Y447" s="80"/>
      <c r="Z447" s="50">
        <f t="shared" si="6"/>
        <v>0</v>
      </c>
      <c r="AA447" s="60"/>
      <c r="AB447" s="60"/>
    </row>
    <row r="448" spans="1:28" x14ac:dyDescent="0.25">
      <c r="A448" s="443"/>
      <c r="B448" s="443"/>
      <c r="C448" s="443"/>
      <c r="D448" s="330"/>
      <c r="E448" s="330"/>
      <c r="F448" s="330"/>
      <c r="G448" s="330"/>
      <c r="H448" s="330"/>
      <c r="I448" s="330"/>
      <c r="J448" s="330"/>
      <c r="K448" s="330"/>
      <c r="L448" s="79"/>
      <c r="M448" s="80"/>
      <c r="N448" s="79"/>
      <c r="O448" s="80"/>
      <c r="P448" s="79"/>
      <c r="Q448" s="80"/>
      <c r="R448" s="79"/>
      <c r="S448" s="80"/>
      <c r="T448" s="79"/>
      <c r="U448" s="80"/>
      <c r="V448" s="79"/>
      <c r="W448" s="80"/>
      <c r="X448" s="79"/>
      <c r="Y448" s="80"/>
      <c r="Z448" s="50">
        <f t="shared" si="6"/>
        <v>0</v>
      </c>
      <c r="AA448" s="60"/>
      <c r="AB448" s="60"/>
    </row>
    <row r="449" spans="1:28" x14ac:dyDescent="0.25">
      <c r="A449" s="443"/>
      <c r="B449" s="443"/>
      <c r="C449" s="443"/>
      <c r="D449" s="330"/>
      <c r="E449" s="330"/>
      <c r="F449" s="330"/>
      <c r="G449" s="330"/>
      <c r="H449" s="330"/>
      <c r="I449" s="330"/>
      <c r="J449" s="330"/>
      <c r="K449" s="330"/>
      <c r="L449" s="79"/>
      <c r="M449" s="80"/>
      <c r="N449" s="79"/>
      <c r="O449" s="80"/>
      <c r="P449" s="79"/>
      <c r="Q449" s="80"/>
      <c r="R449" s="79"/>
      <c r="S449" s="80"/>
      <c r="T449" s="79"/>
      <c r="U449" s="80"/>
      <c r="V449" s="79"/>
      <c r="W449" s="80"/>
      <c r="X449" s="79"/>
      <c r="Y449" s="80"/>
      <c r="Z449" s="50">
        <f t="shared" si="6"/>
        <v>0</v>
      </c>
      <c r="AA449" s="60"/>
      <c r="AB449" s="60"/>
    </row>
    <row r="450" spans="1:28" x14ac:dyDescent="0.25">
      <c r="A450" s="443"/>
      <c r="B450" s="443"/>
      <c r="C450" s="443"/>
      <c r="D450" s="330"/>
      <c r="E450" s="330"/>
      <c r="F450" s="330"/>
      <c r="G450" s="330"/>
      <c r="H450" s="330"/>
      <c r="I450" s="330"/>
      <c r="J450" s="330"/>
      <c r="K450" s="330"/>
      <c r="L450" s="79"/>
      <c r="M450" s="80"/>
      <c r="N450" s="79"/>
      <c r="O450" s="80"/>
      <c r="P450" s="79"/>
      <c r="Q450" s="80"/>
      <c r="R450" s="79"/>
      <c r="S450" s="80"/>
      <c r="T450" s="79"/>
      <c r="U450" s="80"/>
      <c r="V450" s="79"/>
      <c r="W450" s="80"/>
      <c r="X450" s="79"/>
      <c r="Y450" s="80"/>
      <c r="Z450" s="50">
        <f t="shared" si="6"/>
        <v>0</v>
      </c>
      <c r="AA450" s="60"/>
      <c r="AB450" s="60"/>
    </row>
    <row r="451" spans="1:28" x14ac:dyDescent="0.25">
      <c r="A451" s="443"/>
      <c r="B451" s="443"/>
      <c r="C451" s="443"/>
      <c r="D451" s="330"/>
      <c r="E451" s="330"/>
      <c r="F451" s="330"/>
      <c r="G451" s="330"/>
      <c r="H451" s="330"/>
      <c r="I451" s="330"/>
      <c r="J451" s="330"/>
      <c r="K451" s="330"/>
      <c r="L451" s="79"/>
      <c r="M451" s="80"/>
      <c r="N451" s="79"/>
      <c r="O451" s="80"/>
      <c r="P451" s="79"/>
      <c r="Q451" s="80"/>
      <c r="R451" s="79"/>
      <c r="S451" s="80"/>
      <c r="T451" s="79"/>
      <c r="U451" s="80"/>
      <c r="V451" s="79"/>
      <c r="W451" s="80"/>
      <c r="X451" s="79"/>
      <c r="Y451" s="80"/>
      <c r="Z451" s="50">
        <f t="shared" si="6"/>
        <v>0</v>
      </c>
      <c r="AA451" s="60"/>
      <c r="AB451" s="60"/>
    </row>
    <row r="452" spans="1:28" x14ac:dyDescent="0.25">
      <c r="A452" s="443"/>
      <c r="B452" s="443"/>
      <c r="C452" s="443"/>
      <c r="D452" s="330"/>
      <c r="E452" s="330"/>
      <c r="F452" s="330"/>
      <c r="G452" s="330"/>
      <c r="H452" s="330"/>
      <c r="I452" s="330"/>
      <c r="J452" s="330"/>
      <c r="K452" s="330"/>
      <c r="L452" s="79"/>
      <c r="M452" s="80"/>
      <c r="N452" s="79"/>
      <c r="O452" s="80"/>
      <c r="P452" s="79"/>
      <c r="Q452" s="80"/>
      <c r="R452" s="79"/>
      <c r="S452" s="80"/>
      <c r="T452" s="79"/>
      <c r="U452" s="80"/>
      <c r="V452" s="79"/>
      <c r="W452" s="80"/>
      <c r="X452" s="79"/>
      <c r="Y452" s="80"/>
      <c r="Z452" s="50">
        <f t="shared" si="6"/>
        <v>0</v>
      </c>
      <c r="AA452" s="60"/>
      <c r="AB452" s="60"/>
    </row>
    <row r="453" spans="1:28" x14ac:dyDescent="0.25">
      <c r="A453" s="443"/>
      <c r="B453" s="443"/>
      <c r="C453" s="443"/>
      <c r="D453" s="330"/>
      <c r="E453" s="330"/>
      <c r="F453" s="330"/>
      <c r="G453" s="330"/>
      <c r="H453" s="330"/>
      <c r="I453" s="330"/>
      <c r="J453" s="330"/>
      <c r="K453" s="330"/>
      <c r="L453" s="79"/>
      <c r="M453" s="80"/>
      <c r="N453" s="79"/>
      <c r="O453" s="80"/>
      <c r="P453" s="79"/>
      <c r="Q453" s="80"/>
      <c r="R453" s="79"/>
      <c r="S453" s="80"/>
      <c r="T453" s="79"/>
      <c r="U453" s="80"/>
      <c r="V453" s="79"/>
      <c r="W453" s="80"/>
      <c r="X453" s="79"/>
      <c r="Y453" s="80"/>
      <c r="Z453" s="50">
        <f t="shared" si="6"/>
        <v>0</v>
      </c>
      <c r="AA453" s="60"/>
      <c r="AB453" s="60"/>
    </row>
    <row r="454" spans="1:28" x14ac:dyDescent="0.25">
      <c r="A454" s="443"/>
      <c r="B454" s="443"/>
      <c r="C454" s="443"/>
      <c r="D454" s="330"/>
      <c r="E454" s="330"/>
      <c r="F454" s="330"/>
      <c r="G454" s="330"/>
      <c r="H454" s="330"/>
      <c r="I454" s="330"/>
      <c r="J454" s="330"/>
      <c r="K454" s="330"/>
      <c r="L454" s="79"/>
      <c r="M454" s="80"/>
      <c r="N454" s="79"/>
      <c r="O454" s="80"/>
      <c r="P454" s="79"/>
      <c r="Q454" s="80"/>
      <c r="R454" s="79"/>
      <c r="S454" s="80"/>
      <c r="T454" s="79"/>
      <c r="U454" s="80"/>
      <c r="V454" s="79"/>
      <c r="W454" s="80"/>
      <c r="X454" s="79"/>
      <c r="Y454" s="80"/>
      <c r="Z454" s="50">
        <f t="shared" si="6"/>
        <v>0</v>
      </c>
      <c r="AA454" s="60"/>
      <c r="AB454" s="60"/>
    </row>
    <row r="455" spans="1:28" x14ac:dyDescent="0.25">
      <c r="A455" s="443"/>
      <c r="B455" s="443"/>
      <c r="C455" s="443"/>
      <c r="D455" s="330"/>
      <c r="E455" s="330"/>
      <c r="F455" s="330"/>
      <c r="G455" s="330"/>
      <c r="H455" s="330"/>
      <c r="I455" s="330"/>
      <c r="J455" s="330"/>
      <c r="K455" s="330"/>
      <c r="L455" s="79"/>
      <c r="M455" s="80"/>
      <c r="N455" s="79"/>
      <c r="O455" s="80"/>
      <c r="P455" s="79"/>
      <c r="Q455" s="80"/>
      <c r="R455" s="79"/>
      <c r="S455" s="80"/>
      <c r="T455" s="79"/>
      <c r="U455" s="80"/>
      <c r="V455" s="79"/>
      <c r="W455" s="80"/>
      <c r="X455" s="79"/>
      <c r="Y455" s="80"/>
      <c r="Z455" s="50">
        <f t="shared" si="6"/>
        <v>0</v>
      </c>
      <c r="AA455" s="60"/>
      <c r="AB455" s="60"/>
    </row>
    <row r="456" spans="1:28" x14ac:dyDescent="0.25">
      <c r="A456" s="443"/>
      <c r="B456" s="443"/>
      <c r="C456" s="443"/>
      <c r="D456" s="330"/>
      <c r="E456" s="330"/>
      <c r="F456" s="330"/>
      <c r="G456" s="330"/>
      <c r="H456" s="330"/>
      <c r="I456" s="330"/>
      <c r="J456" s="330"/>
      <c r="K456" s="330"/>
      <c r="L456" s="79"/>
      <c r="M456" s="80"/>
      <c r="N456" s="79"/>
      <c r="O456" s="80"/>
      <c r="P456" s="79"/>
      <c r="Q456" s="80"/>
      <c r="R456" s="79"/>
      <c r="S456" s="80"/>
      <c r="T456" s="79"/>
      <c r="U456" s="80"/>
      <c r="V456" s="79"/>
      <c r="W456" s="80"/>
      <c r="X456" s="79"/>
      <c r="Y456" s="80"/>
      <c r="Z456" s="50">
        <f t="shared" si="6"/>
        <v>0</v>
      </c>
      <c r="AA456" s="60"/>
      <c r="AB456" s="60"/>
    </row>
    <row r="457" spans="1:28" x14ac:dyDescent="0.25">
      <c r="A457" s="443"/>
      <c r="B457" s="443"/>
      <c r="C457" s="443"/>
      <c r="D457" s="330"/>
      <c r="E457" s="330"/>
      <c r="F457" s="330"/>
      <c r="G457" s="330"/>
      <c r="H457" s="330"/>
      <c r="I457" s="330"/>
      <c r="J457" s="330"/>
      <c r="K457" s="330"/>
      <c r="L457" s="79"/>
      <c r="M457" s="80"/>
      <c r="N457" s="79"/>
      <c r="O457" s="80"/>
      <c r="P457" s="79"/>
      <c r="Q457" s="80"/>
      <c r="R457" s="79"/>
      <c r="S457" s="80"/>
      <c r="T457" s="79"/>
      <c r="U457" s="80"/>
      <c r="V457" s="79"/>
      <c r="W457" s="80"/>
      <c r="X457" s="79"/>
      <c r="Y457" s="80"/>
      <c r="Z457" s="50">
        <f t="shared" si="6"/>
        <v>0</v>
      </c>
      <c r="AA457" s="60"/>
      <c r="AB457" s="60"/>
    </row>
    <row r="458" spans="1:28" x14ac:dyDescent="0.25">
      <c r="A458" s="443"/>
      <c r="B458" s="443"/>
      <c r="C458" s="443"/>
      <c r="D458" s="330"/>
      <c r="E458" s="330"/>
      <c r="F458" s="330"/>
      <c r="G458" s="330"/>
      <c r="H458" s="330"/>
      <c r="I458" s="330"/>
      <c r="J458" s="330"/>
      <c r="K458" s="330"/>
      <c r="L458" s="79"/>
      <c r="M458" s="80"/>
      <c r="N458" s="79"/>
      <c r="O458" s="80"/>
      <c r="P458" s="79"/>
      <c r="Q458" s="80"/>
      <c r="R458" s="79"/>
      <c r="S458" s="80"/>
      <c r="T458" s="79"/>
      <c r="U458" s="80"/>
      <c r="V458" s="79"/>
      <c r="W458" s="80"/>
      <c r="X458" s="79"/>
      <c r="Y458" s="80"/>
      <c r="Z458" s="50">
        <f t="shared" ref="Z458:Z500" si="7">SUM(L458:Y458)</f>
        <v>0</v>
      </c>
      <c r="AA458" s="60"/>
      <c r="AB458" s="60"/>
    </row>
    <row r="459" spans="1:28" x14ac:dyDescent="0.25">
      <c r="A459" s="443"/>
      <c r="B459" s="443"/>
      <c r="C459" s="443"/>
      <c r="D459" s="330"/>
      <c r="E459" s="330"/>
      <c r="F459" s="330"/>
      <c r="G459" s="330"/>
      <c r="H459" s="330"/>
      <c r="I459" s="330"/>
      <c r="J459" s="330"/>
      <c r="K459" s="330"/>
      <c r="L459" s="79"/>
      <c r="M459" s="80"/>
      <c r="N459" s="79"/>
      <c r="O459" s="80"/>
      <c r="P459" s="79"/>
      <c r="Q459" s="80"/>
      <c r="R459" s="79"/>
      <c r="S459" s="80"/>
      <c r="T459" s="79"/>
      <c r="U459" s="80"/>
      <c r="V459" s="79"/>
      <c r="W459" s="80"/>
      <c r="X459" s="79"/>
      <c r="Y459" s="80"/>
      <c r="Z459" s="50">
        <f t="shared" si="7"/>
        <v>0</v>
      </c>
      <c r="AA459" s="60"/>
      <c r="AB459" s="60"/>
    </row>
    <row r="460" spans="1:28" x14ac:dyDescent="0.25">
      <c r="A460" s="443"/>
      <c r="B460" s="443"/>
      <c r="C460" s="443"/>
      <c r="D460" s="330"/>
      <c r="E460" s="330"/>
      <c r="F460" s="330"/>
      <c r="G460" s="330"/>
      <c r="H460" s="330"/>
      <c r="I460" s="330"/>
      <c r="J460" s="330"/>
      <c r="K460" s="330"/>
      <c r="L460" s="79"/>
      <c r="M460" s="80"/>
      <c r="N460" s="79"/>
      <c r="O460" s="80"/>
      <c r="P460" s="79"/>
      <c r="Q460" s="80"/>
      <c r="R460" s="79"/>
      <c r="S460" s="80"/>
      <c r="T460" s="79"/>
      <c r="U460" s="80"/>
      <c r="V460" s="79"/>
      <c r="W460" s="80"/>
      <c r="X460" s="79"/>
      <c r="Y460" s="80"/>
      <c r="Z460" s="50">
        <f t="shared" si="7"/>
        <v>0</v>
      </c>
      <c r="AA460" s="60"/>
      <c r="AB460" s="60"/>
    </row>
    <row r="461" spans="1:28" x14ac:dyDescent="0.25">
      <c r="A461" s="443"/>
      <c r="B461" s="443"/>
      <c r="C461" s="443"/>
      <c r="D461" s="330"/>
      <c r="E461" s="330"/>
      <c r="F461" s="330"/>
      <c r="G461" s="330"/>
      <c r="H461" s="330"/>
      <c r="I461" s="330"/>
      <c r="J461" s="330"/>
      <c r="K461" s="330"/>
      <c r="L461" s="79"/>
      <c r="M461" s="80"/>
      <c r="N461" s="79"/>
      <c r="O461" s="80"/>
      <c r="P461" s="79"/>
      <c r="Q461" s="80"/>
      <c r="R461" s="79"/>
      <c r="S461" s="80"/>
      <c r="T461" s="79"/>
      <c r="U461" s="80"/>
      <c r="V461" s="79"/>
      <c r="W461" s="80"/>
      <c r="X461" s="79"/>
      <c r="Y461" s="80"/>
      <c r="Z461" s="50">
        <f t="shared" si="7"/>
        <v>0</v>
      </c>
      <c r="AA461" s="60"/>
      <c r="AB461" s="60"/>
    </row>
    <row r="462" spans="1:28" x14ac:dyDescent="0.25">
      <c r="A462" s="443"/>
      <c r="B462" s="443"/>
      <c r="C462" s="443"/>
      <c r="D462" s="330"/>
      <c r="E462" s="330"/>
      <c r="F462" s="330"/>
      <c r="G462" s="330"/>
      <c r="H462" s="330"/>
      <c r="I462" s="330"/>
      <c r="J462" s="330"/>
      <c r="K462" s="330"/>
      <c r="L462" s="79"/>
      <c r="M462" s="80"/>
      <c r="N462" s="79"/>
      <c r="O462" s="80"/>
      <c r="P462" s="79"/>
      <c r="Q462" s="80"/>
      <c r="R462" s="79"/>
      <c r="S462" s="80"/>
      <c r="T462" s="79"/>
      <c r="U462" s="80"/>
      <c r="V462" s="79"/>
      <c r="W462" s="80"/>
      <c r="X462" s="79"/>
      <c r="Y462" s="80"/>
      <c r="Z462" s="50">
        <f t="shared" si="7"/>
        <v>0</v>
      </c>
      <c r="AA462" s="60"/>
      <c r="AB462" s="60"/>
    </row>
    <row r="463" spans="1:28" x14ac:dyDescent="0.25">
      <c r="A463" s="443"/>
      <c r="B463" s="443"/>
      <c r="C463" s="443"/>
      <c r="D463" s="330"/>
      <c r="E463" s="330"/>
      <c r="F463" s="330"/>
      <c r="G463" s="330"/>
      <c r="H463" s="330"/>
      <c r="I463" s="330"/>
      <c r="J463" s="330"/>
      <c r="K463" s="330"/>
      <c r="L463" s="79"/>
      <c r="M463" s="80"/>
      <c r="N463" s="79"/>
      <c r="O463" s="80"/>
      <c r="P463" s="79"/>
      <c r="Q463" s="80"/>
      <c r="R463" s="79"/>
      <c r="S463" s="80"/>
      <c r="T463" s="79"/>
      <c r="U463" s="80"/>
      <c r="V463" s="79"/>
      <c r="W463" s="80"/>
      <c r="X463" s="79"/>
      <c r="Y463" s="80"/>
      <c r="Z463" s="50">
        <f t="shared" si="7"/>
        <v>0</v>
      </c>
      <c r="AA463" s="60"/>
      <c r="AB463" s="60"/>
    </row>
    <row r="464" spans="1:28" x14ac:dyDescent="0.25">
      <c r="A464" s="443"/>
      <c r="B464" s="443"/>
      <c r="C464" s="443"/>
      <c r="D464" s="330"/>
      <c r="E464" s="330"/>
      <c r="F464" s="330"/>
      <c r="G464" s="330"/>
      <c r="H464" s="330"/>
      <c r="I464" s="330"/>
      <c r="J464" s="330"/>
      <c r="K464" s="330"/>
      <c r="L464" s="79"/>
      <c r="M464" s="80"/>
      <c r="N464" s="79"/>
      <c r="O464" s="80"/>
      <c r="P464" s="79"/>
      <c r="Q464" s="80"/>
      <c r="R464" s="79"/>
      <c r="S464" s="80"/>
      <c r="T464" s="79"/>
      <c r="U464" s="80"/>
      <c r="V464" s="79"/>
      <c r="W464" s="80"/>
      <c r="X464" s="79"/>
      <c r="Y464" s="80"/>
      <c r="Z464" s="50">
        <f t="shared" si="7"/>
        <v>0</v>
      </c>
      <c r="AA464" s="60"/>
      <c r="AB464" s="60"/>
    </row>
    <row r="465" spans="1:28" x14ac:dyDescent="0.25">
      <c r="A465" s="443"/>
      <c r="B465" s="443"/>
      <c r="C465" s="443"/>
      <c r="D465" s="330"/>
      <c r="E465" s="330"/>
      <c r="F465" s="330"/>
      <c r="G465" s="330"/>
      <c r="H465" s="330"/>
      <c r="I465" s="330"/>
      <c r="J465" s="330"/>
      <c r="K465" s="330"/>
      <c r="L465" s="79"/>
      <c r="M465" s="80"/>
      <c r="N465" s="79"/>
      <c r="O465" s="80"/>
      <c r="P465" s="79"/>
      <c r="Q465" s="80"/>
      <c r="R465" s="79"/>
      <c r="S465" s="80"/>
      <c r="T465" s="79"/>
      <c r="U465" s="80"/>
      <c r="V465" s="79"/>
      <c r="W465" s="80"/>
      <c r="X465" s="79"/>
      <c r="Y465" s="80"/>
      <c r="Z465" s="50">
        <f t="shared" si="7"/>
        <v>0</v>
      </c>
      <c r="AA465" s="60"/>
      <c r="AB465" s="60"/>
    </row>
    <row r="466" spans="1:28" x14ac:dyDescent="0.25">
      <c r="A466" s="443"/>
      <c r="B466" s="443"/>
      <c r="C466" s="443"/>
      <c r="D466" s="330"/>
      <c r="E466" s="330"/>
      <c r="F466" s="330"/>
      <c r="G466" s="330"/>
      <c r="H466" s="330"/>
      <c r="I466" s="330"/>
      <c r="J466" s="330"/>
      <c r="K466" s="330"/>
      <c r="L466" s="79"/>
      <c r="M466" s="80"/>
      <c r="N466" s="79"/>
      <c r="O466" s="80"/>
      <c r="P466" s="79"/>
      <c r="Q466" s="80"/>
      <c r="R466" s="79"/>
      <c r="S466" s="80"/>
      <c r="T466" s="79"/>
      <c r="U466" s="80"/>
      <c r="V466" s="79"/>
      <c r="W466" s="80"/>
      <c r="X466" s="79"/>
      <c r="Y466" s="80"/>
      <c r="Z466" s="50">
        <f t="shared" si="7"/>
        <v>0</v>
      </c>
      <c r="AA466" s="60"/>
      <c r="AB466" s="60"/>
    </row>
    <row r="467" spans="1:28" x14ac:dyDescent="0.25">
      <c r="A467" s="443"/>
      <c r="B467" s="443"/>
      <c r="C467" s="443"/>
      <c r="D467" s="330"/>
      <c r="E467" s="330"/>
      <c r="F467" s="330"/>
      <c r="G467" s="330"/>
      <c r="H467" s="330"/>
      <c r="I467" s="330"/>
      <c r="J467" s="330"/>
      <c r="K467" s="330"/>
      <c r="L467" s="79"/>
      <c r="M467" s="80"/>
      <c r="N467" s="79"/>
      <c r="O467" s="80"/>
      <c r="P467" s="79"/>
      <c r="Q467" s="80"/>
      <c r="R467" s="79"/>
      <c r="S467" s="80"/>
      <c r="T467" s="79"/>
      <c r="U467" s="80"/>
      <c r="V467" s="79"/>
      <c r="W467" s="80"/>
      <c r="X467" s="79"/>
      <c r="Y467" s="80"/>
      <c r="Z467" s="50">
        <f t="shared" si="7"/>
        <v>0</v>
      </c>
      <c r="AA467" s="60"/>
      <c r="AB467" s="60"/>
    </row>
    <row r="468" spans="1:28" x14ac:dyDescent="0.25">
      <c r="A468" s="443"/>
      <c r="B468" s="443"/>
      <c r="C468" s="443"/>
      <c r="D468" s="330"/>
      <c r="E468" s="330"/>
      <c r="F468" s="330"/>
      <c r="G468" s="330"/>
      <c r="H468" s="330"/>
      <c r="I468" s="330"/>
      <c r="J468" s="330"/>
      <c r="K468" s="330"/>
      <c r="L468" s="79"/>
      <c r="M468" s="80"/>
      <c r="N468" s="79"/>
      <c r="O468" s="80"/>
      <c r="P468" s="79"/>
      <c r="Q468" s="80"/>
      <c r="R468" s="79"/>
      <c r="S468" s="80"/>
      <c r="T468" s="79"/>
      <c r="U468" s="80"/>
      <c r="V468" s="79"/>
      <c r="W468" s="80"/>
      <c r="X468" s="79"/>
      <c r="Y468" s="80"/>
      <c r="Z468" s="50">
        <f t="shared" si="7"/>
        <v>0</v>
      </c>
      <c r="AA468" s="60"/>
      <c r="AB468" s="60"/>
    </row>
    <row r="469" spans="1:28" x14ac:dyDescent="0.25">
      <c r="A469" s="443"/>
      <c r="B469" s="443"/>
      <c r="C469" s="443"/>
      <c r="D469" s="330"/>
      <c r="E469" s="330"/>
      <c r="F469" s="330"/>
      <c r="G469" s="330"/>
      <c r="H469" s="330"/>
      <c r="I469" s="330"/>
      <c r="J469" s="330"/>
      <c r="K469" s="330"/>
      <c r="L469" s="79"/>
      <c r="M469" s="80"/>
      <c r="N469" s="79"/>
      <c r="O469" s="80"/>
      <c r="P469" s="79"/>
      <c r="Q469" s="80"/>
      <c r="R469" s="79"/>
      <c r="S469" s="80"/>
      <c r="T469" s="79"/>
      <c r="U469" s="80"/>
      <c r="V469" s="79"/>
      <c r="W469" s="80"/>
      <c r="X469" s="79"/>
      <c r="Y469" s="80"/>
      <c r="Z469" s="50">
        <f t="shared" si="7"/>
        <v>0</v>
      </c>
      <c r="AA469" s="60"/>
      <c r="AB469" s="60"/>
    </row>
    <row r="470" spans="1:28" x14ac:dyDescent="0.25">
      <c r="A470" s="443"/>
      <c r="B470" s="443"/>
      <c r="C470" s="443"/>
      <c r="D470" s="330"/>
      <c r="E470" s="330"/>
      <c r="F470" s="330"/>
      <c r="G470" s="330"/>
      <c r="H470" s="330"/>
      <c r="I470" s="330"/>
      <c r="J470" s="330"/>
      <c r="K470" s="330"/>
      <c r="L470" s="79"/>
      <c r="M470" s="80"/>
      <c r="N470" s="79"/>
      <c r="O470" s="80"/>
      <c r="P470" s="79"/>
      <c r="Q470" s="80"/>
      <c r="R470" s="79"/>
      <c r="S470" s="80"/>
      <c r="T470" s="79"/>
      <c r="U470" s="80"/>
      <c r="V470" s="79"/>
      <c r="W470" s="80"/>
      <c r="X470" s="79"/>
      <c r="Y470" s="80"/>
      <c r="Z470" s="50">
        <f t="shared" si="7"/>
        <v>0</v>
      </c>
      <c r="AA470" s="60"/>
      <c r="AB470" s="60"/>
    </row>
    <row r="471" spans="1:28" x14ac:dyDescent="0.25">
      <c r="A471" s="443"/>
      <c r="B471" s="443"/>
      <c r="C471" s="443"/>
      <c r="D471" s="330"/>
      <c r="E471" s="330"/>
      <c r="F471" s="330"/>
      <c r="G471" s="330"/>
      <c r="H471" s="330"/>
      <c r="I471" s="330"/>
      <c r="J471" s="330"/>
      <c r="K471" s="330"/>
      <c r="L471" s="79"/>
      <c r="M471" s="80"/>
      <c r="N471" s="79"/>
      <c r="O471" s="80"/>
      <c r="P471" s="79"/>
      <c r="Q471" s="80"/>
      <c r="R471" s="79"/>
      <c r="S471" s="80"/>
      <c r="T471" s="79"/>
      <c r="U471" s="80"/>
      <c r="V471" s="79"/>
      <c r="W471" s="80"/>
      <c r="X471" s="79"/>
      <c r="Y471" s="80"/>
      <c r="Z471" s="50">
        <f t="shared" si="7"/>
        <v>0</v>
      </c>
      <c r="AA471" s="60"/>
      <c r="AB471" s="60"/>
    </row>
    <row r="472" spans="1:28" x14ac:dyDescent="0.25">
      <c r="A472" s="443"/>
      <c r="B472" s="443"/>
      <c r="C472" s="443"/>
      <c r="D472" s="330"/>
      <c r="E472" s="330"/>
      <c r="F472" s="330"/>
      <c r="G472" s="330"/>
      <c r="H472" s="330"/>
      <c r="I472" s="330"/>
      <c r="J472" s="330"/>
      <c r="K472" s="330"/>
      <c r="L472" s="79"/>
      <c r="M472" s="80"/>
      <c r="N472" s="79"/>
      <c r="O472" s="80"/>
      <c r="P472" s="79"/>
      <c r="Q472" s="80"/>
      <c r="R472" s="79"/>
      <c r="S472" s="80"/>
      <c r="T472" s="79"/>
      <c r="U472" s="80"/>
      <c r="V472" s="79"/>
      <c r="W472" s="80"/>
      <c r="X472" s="79"/>
      <c r="Y472" s="80"/>
      <c r="Z472" s="50">
        <f t="shared" si="7"/>
        <v>0</v>
      </c>
      <c r="AA472" s="60"/>
      <c r="AB472" s="60"/>
    </row>
    <row r="473" spans="1:28" x14ac:dyDescent="0.25">
      <c r="A473" s="443"/>
      <c r="B473" s="443"/>
      <c r="C473" s="443"/>
      <c r="D473" s="330"/>
      <c r="E473" s="330"/>
      <c r="F473" s="330"/>
      <c r="G473" s="330"/>
      <c r="H473" s="330"/>
      <c r="I473" s="330"/>
      <c r="J473" s="330"/>
      <c r="K473" s="330"/>
      <c r="L473" s="79"/>
      <c r="M473" s="80"/>
      <c r="N473" s="79"/>
      <c r="O473" s="80"/>
      <c r="P473" s="79"/>
      <c r="Q473" s="80"/>
      <c r="R473" s="79"/>
      <c r="S473" s="80"/>
      <c r="T473" s="79"/>
      <c r="U473" s="80"/>
      <c r="V473" s="79"/>
      <c r="W473" s="80"/>
      <c r="X473" s="79"/>
      <c r="Y473" s="80"/>
      <c r="Z473" s="50">
        <f t="shared" si="7"/>
        <v>0</v>
      </c>
      <c r="AA473" s="60"/>
      <c r="AB473" s="60"/>
    </row>
    <row r="474" spans="1:28" x14ac:dyDescent="0.25">
      <c r="A474" s="443"/>
      <c r="B474" s="443"/>
      <c r="C474" s="443"/>
      <c r="D474" s="330"/>
      <c r="E474" s="330"/>
      <c r="F474" s="330"/>
      <c r="G474" s="330"/>
      <c r="H474" s="330"/>
      <c r="I474" s="330"/>
      <c r="J474" s="330"/>
      <c r="K474" s="330"/>
      <c r="L474" s="79"/>
      <c r="M474" s="80"/>
      <c r="N474" s="79"/>
      <c r="O474" s="80"/>
      <c r="P474" s="79"/>
      <c r="Q474" s="80"/>
      <c r="R474" s="79"/>
      <c r="S474" s="80"/>
      <c r="T474" s="79"/>
      <c r="U474" s="80"/>
      <c r="V474" s="79"/>
      <c r="W474" s="80"/>
      <c r="X474" s="79"/>
      <c r="Y474" s="80"/>
      <c r="Z474" s="50">
        <f t="shared" si="7"/>
        <v>0</v>
      </c>
      <c r="AA474" s="60"/>
      <c r="AB474" s="60"/>
    </row>
    <row r="475" spans="1:28" x14ac:dyDescent="0.25">
      <c r="A475" s="443"/>
      <c r="B475" s="443"/>
      <c r="C475" s="443"/>
      <c r="D475" s="330"/>
      <c r="E475" s="330"/>
      <c r="F475" s="330"/>
      <c r="G475" s="330"/>
      <c r="H475" s="330"/>
      <c r="I475" s="330"/>
      <c r="J475" s="330"/>
      <c r="K475" s="330"/>
      <c r="L475" s="79"/>
      <c r="M475" s="80"/>
      <c r="N475" s="79"/>
      <c r="O475" s="80"/>
      <c r="P475" s="79"/>
      <c r="Q475" s="80"/>
      <c r="R475" s="79"/>
      <c r="S475" s="80"/>
      <c r="T475" s="79"/>
      <c r="U475" s="80"/>
      <c r="V475" s="79"/>
      <c r="W475" s="80"/>
      <c r="X475" s="79"/>
      <c r="Y475" s="80"/>
      <c r="Z475" s="50">
        <f t="shared" si="7"/>
        <v>0</v>
      </c>
      <c r="AA475" s="60"/>
      <c r="AB475" s="60"/>
    </row>
    <row r="476" spans="1:28" x14ac:dyDescent="0.25">
      <c r="A476" s="443"/>
      <c r="B476" s="443"/>
      <c r="C476" s="443"/>
      <c r="D476" s="330"/>
      <c r="E476" s="330"/>
      <c r="F476" s="330"/>
      <c r="G476" s="330"/>
      <c r="H476" s="330"/>
      <c r="I476" s="330"/>
      <c r="J476" s="330"/>
      <c r="K476" s="330"/>
      <c r="L476" s="79"/>
      <c r="M476" s="80"/>
      <c r="N476" s="79"/>
      <c r="O476" s="80"/>
      <c r="P476" s="79"/>
      <c r="Q476" s="80"/>
      <c r="R476" s="79"/>
      <c r="S476" s="80"/>
      <c r="T476" s="79"/>
      <c r="U476" s="80"/>
      <c r="V476" s="79"/>
      <c r="W476" s="80"/>
      <c r="X476" s="79"/>
      <c r="Y476" s="80"/>
      <c r="Z476" s="50">
        <f t="shared" si="7"/>
        <v>0</v>
      </c>
      <c r="AA476" s="60"/>
      <c r="AB476" s="60"/>
    </row>
    <row r="477" spans="1:28" x14ac:dyDescent="0.25">
      <c r="A477" s="443"/>
      <c r="B477" s="443"/>
      <c r="C477" s="443"/>
      <c r="D477" s="330"/>
      <c r="E477" s="330"/>
      <c r="F477" s="330"/>
      <c r="G477" s="330"/>
      <c r="H477" s="330"/>
      <c r="I477" s="330"/>
      <c r="J477" s="330"/>
      <c r="K477" s="330"/>
      <c r="L477" s="79"/>
      <c r="M477" s="80"/>
      <c r="N477" s="79"/>
      <c r="O477" s="80"/>
      <c r="P477" s="79"/>
      <c r="Q477" s="80"/>
      <c r="R477" s="79"/>
      <c r="S477" s="80"/>
      <c r="T477" s="79"/>
      <c r="U477" s="80"/>
      <c r="V477" s="79"/>
      <c r="W477" s="80"/>
      <c r="X477" s="79"/>
      <c r="Y477" s="80"/>
      <c r="Z477" s="50">
        <f t="shared" si="7"/>
        <v>0</v>
      </c>
      <c r="AA477" s="60"/>
      <c r="AB477" s="60"/>
    </row>
    <row r="478" spans="1:28" x14ac:dyDescent="0.25">
      <c r="A478" s="443"/>
      <c r="B478" s="443"/>
      <c r="C478" s="443"/>
      <c r="D478" s="330"/>
      <c r="E478" s="330"/>
      <c r="F478" s="330"/>
      <c r="G478" s="330"/>
      <c r="H478" s="330"/>
      <c r="I478" s="330"/>
      <c r="J478" s="330"/>
      <c r="K478" s="330"/>
      <c r="L478" s="79"/>
      <c r="M478" s="80"/>
      <c r="N478" s="79"/>
      <c r="O478" s="80"/>
      <c r="P478" s="79"/>
      <c r="Q478" s="80"/>
      <c r="R478" s="79"/>
      <c r="S478" s="80"/>
      <c r="T478" s="79"/>
      <c r="U478" s="80"/>
      <c r="V478" s="79"/>
      <c r="W478" s="80"/>
      <c r="X478" s="79"/>
      <c r="Y478" s="80"/>
      <c r="Z478" s="50">
        <f t="shared" si="7"/>
        <v>0</v>
      </c>
      <c r="AA478" s="60"/>
      <c r="AB478" s="60"/>
    </row>
    <row r="479" spans="1:28" x14ac:dyDescent="0.25">
      <c r="A479" s="443"/>
      <c r="B479" s="443"/>
      <c r="C479" s="443"/>
      <c r="D479" s="330"/>
      <c r="E479" s="330"/>
      <c r="F479" s="330"/>
      <c r="G479" s="330"/>
      <c r="H479" s="330"/>
      <c r="I479" s="330"/>
      <c r="J479" s="330"/>
      <c r="K479" s="330"/>
      <c r="L479" s="79"/>
      <c r="M479" s="80"/>
      <c r="N479" s="79"/>
      <c r="O479" s="80"/>
      <c r="P479" s="79"/>
      <c r="Q479" s="80"/>
      <c r="R479" s="79"/>
      <c r="S479" s="80"/>
      <c r="T479" s="79"/>
      <c r="U479" s="80"/>
      <c r="V479" s="79"/>
      <c r="W479" s="80"/>
      <c r="X479" s="79"/>
      <c r="Y479" s="80"/>
      <c r="Z479" s="50">
        <f t="shared" si="7"/>
        <v>0</v>
      </c>
      <c r="AA479" s="60"/>
      <c r="AB479" s="60"/>
    </row>
    <row r="480" spans="1:28" x14ac:dyDescent="0.25">
      <c r="A480" s="443"/>
      <c r="B480" s="443"/>
      <c r="C480" s="443"/>
      <c r="D480" s="330"/>
      <c r="E480" s="330"/>
      <c r="F480" s="330"/>
      <c r="G480" s="330"/>
      <c r="H480" s="330"/>
      <c r="I480" s="330"/>
      <c r="J480" s="330"/>
      <c r="K480" s="330"/>
      <c r="L480" s="79"/>
      <c r="M480" s="80"/>
      <c r="N480" s="79"/>
      <c r="O480" s="80"/>
      <c r="P480" s="79"/>
      <c r="Q480" s="80"/>
      <c r="R480" s="79"/>
      <c r="S480" s="80"/>
      <c r="T480" s="79"/>
      <c r="U480" s="80"/>
      <c r="V480" s="79"/>
      <c r="W480" s="80"/>
      <c r="X480" s="79"/>
      <c r="Y480" s="80"/>
      <c r="Z480" s="50">
        <f t="shared" si="7"/>
        <v>0</v>
      </c>
      <c r="AA480" s="60"/>
      <c r="AB480" s="60"/>
    </row>
    <row r="481" spans="1:28" x14ac:dyDescent="0.25">
      <c r="A481" s="443"/>
      <c r="B481" s="443"/>
      <c r="C481" s="443"/>
      <c r="D481" s="330"/>
      <c r="E481" s="330"/>
      <c r="F481" s="330"/>
      <c r="G481" s="330"/>
      <c r="H481" s="330"/>
      <c r="I481" s="330"/>
      <c r="J481" s="330"/>
      <c r="K481" s="330"/>
      <c r="L481" s="79"/>
      <c r="M481" s="80"/>
      <c r="N481" s="79"/>
      <c r="O481" s="80"/>
      <c r="P481" s="79"/>
      <c r="Q481" s="80"/>
      <c r="R481" s="79"/>
      <c r="S481" s="80"/>
      <c r="T481" s="79"/>
      <c r="U481" s="80"/>
      <c r="V481" s="79"/>
      <c r="W481" s="80"/>
      <c r="X481" s="79"/>
      <c r="Y481" s="80"/>
      <c r="Z481" s="50">
        <f t="shared" si="7"/>
        <v>0</v>
      </c>
      <c r="AA481" s="60"/>
      <c r="AB481" s="60"/>
    </row>
    <row r="482" spans="1:28" x14ac:dyDescent="0.25">
      <c r="A482" s="443"/>
      <c r="B482" s="443"/>
      <c r="C482" s="443"/>
      <c r="D482" s="330"/>
      <c r="E482" s="330"/>
      <c r="F482" s="330"/>
      <c r="G482" s="330"/>
      <c r="H482" s="330"/>
      <c r="I482" s="330"/>
      <c r="J482" s="330"/>
      <c r="K482" s="330"/>
      <c r="L482" s="79"/>
      <c r="M482" s="80"/>
      <c r="N482" s="79"/>
      <c r="O482" s="80"/>
      <c r="P482" s="79"/>
      <c r="Q482" s="80"/>
      <c r="R482" s="79"/>
      <c r="S482" s="80"/>
      <c r="T482" s="79"/>
      <c r="U482" s="80"/>
      <c r="V482" s="79"/>
      <c r="W482" s="80"/>
      <c r="X482" s="79"/>
      <c r="Y482" s="80"/>
      <c r="Z482" s="50">
        <f t="shared" si="7"/>
        <v>0</v>
      </c>
      <c r="AA482" s="60"/>
      <c r="AB482" s="60"/>
    </row>
    <row r="483" spans="1:28" x14ac:dyDescent="0.25">
      <c r="A483" s="443"/>
      <c r="B483" s="443"/>
      <c r="C483" s="443"/>
      <c r="D483" s="330"/>
      <c r="E483" s="330"/>
      <c r="F483" s="330"/>
      <c r="G483" s="330"/>
      <c r="H483" s="330"/>
      <c r="I483" s="330"/>
      <c r="J483" s="330"/>
      <c r="K483" s="330"/>
      <c r="L483" s="79"/>
      <c r="M483" s="80"/>
      <c r="N483" s="79"/>
      <c r="O483" s="80"/>
      <c r="P483" s="79"/>
      <c r="Q483" s="80"/>
      <c r="R483" s="79"/>
      <c r="S483" s="80"/>
      <c r="T483" s="79"/>
      <c r="U483" s="80"/>
      <c r="V483" s="79"/>
      <c r="W483" s="80"/>
      <c r="X483" s="79"/>
      <c r="Y483" s="80"/>
      <c r="Z483" s="50">
        <f t="shared" si="7"/>
        <v>0</v>
      </c>
      <c r="AA483" s="60"/>
      <c r="AB483" s="60"/>
    </row>
    <row r="484" spans="1:28" x14ac:dyDescent="0.25">
      <c r="A484" s="443"/>
      <c r="B484" s="443"/>
      <c r="C484" s="443"/>
      <c r="D484" s="330"/>
      <c r="E484" s="330"/>
      <c r="F484" s="330"/>
      <c r="G484" s="330"/>
      <c r="H484" s="330"/>
      <c r="I484" s="330"/>
      <c r="J484" s="330"/>
      <c r="K484" s="330"/>
      <c r="L484" s="79"/>
      <c r="M484" s="80"/>
      <c r="N484" s="79"/>
      <c r="O484" s="80"/>
      <c r="P484" s="79"/>
      <c r="Q484" s="80"/>
      <c r="R484" s="79"/>
      <c r="S484" s="80"/>
      <c r="T484" s="79"/>
      <c r="U484" s="80"/>
      <c r="V484" s="79"/>
      <c r="W484" s="80"/>
      <c r="X484" s="79"/>
      <c r="Y484" s="80"/>
      <c r="Z484" s="50">
        <f t="shared" si="7"/>
        <v>0</v>
      </c>
      <c r="AA484" s="60"/>
      <c r="AB484" s="60"/>
    </row>
    <row r="485" spans="1:28" x14ac:dyDescent="0.25">
      <c r="A485" s="443"/>
      <c r="B485" s="443"/>
      <c r="C485" s="443"/>
      <c r="D485" s="330"/>
      <c r="E485" s="330"/>
      <c r="F485" s="330"/>
      <c r="G485" s="330"/>
      <c r="H485" s="330"/>
      <c r="I485" s="330"/>
      <c r="J485" s="330"/>
      <c r="K485" s="330"/>
      <c r="L485" s="79"/>
      <c r="M485" s="80"/>
      <c r="N485" s="79"/>
      <c r="O485" s="80"/>
      <c r="P485" s="79"/>
      <c r="Q485" s="80"/>
      <c r="R485" s="79"/>
      <c r="S485" s="80"/>
      <c r="T485" s="79"/>
      <c r="U485" s="80"/>
      <c r="V485" s="79"/>
      <c r="W485" s="80"/>
      <c r="X485" s="79"/>
      <c r="Y485" s="80"/>
      <c r="Z485" s="50">
        <f t="shared" si="7"/>
        <v>0</v>
      </c>
      <c r="AA485" s="60"/>
      <c r="AB485" s="60"/>
    </row>
    <row r="486" spans="1:28" x14ac:dyDescent="0.25">
      <c r="A486" s="443"/>
      <c r="B486" s="443"/>
      <c r="C486" s="443"/>
      <c r="D486" s="330"/>
      <c r="E486" s="330"/>
      <c r="F486" s="330"/>
      <c r="G486" s="330"/>
      <c r="H486" s="330"/>
      <c r="I486" s="330"/>
      <c r="J486" s="330"/>
      <c r="K486" s="330"/>
      <c r="L486" s="79"/>
      <c r="M486" s="80"/>
      <c r="N486" s="79"/>
      <c r="O486" s="80"/>
      <c r="P486" s="79"/>
      <c r="Q486" s="80"/>
      <c r="R486" s="79"/>
      <c r="S486" s="80"/>
      <c r="T486" s="79"/>
      <c r="U486" s="80"/>
      <c r="V486" s="79"/>
      <c r="W486" s="80"/>
      <c r="X486" s="79"/>
      <c r="Y486" s="80"/>
      <c r="Z486" s="50">
        <f>SUM(L486:Y486)</f>
        <v>0</v>
      </c>
      <c r="AA486" s="60"/>
      <c r="AB486" s="60"/>
    </row>
    <row r="487" spans="1:28" x14ac:dyDescent="0.25">
      <c r="A487" s="443"/>
      <c r="B487" s="443"/>
      <c r="C487" s="443"/>
      <c r="D487" s="330"/>
      <c r="E487" s="330"/>
      <c r="F487" s="330"/>
      <c r="G487" s="330"/>
      <c r="H487" s="330"/>
      <c r="I487" s="330"/>
      <c r="J487" s="330"/>
      <c r="K487" s="330"/>
      <c r="L487" s="79"/>
      <c r="M487" s="80"/>
      <c r="N487" s="79"/>
      <c r="O487" s="80"/>
      <c r="P487" s="79"/>
      <c r="Q487" s="80"/>
      <c r="R487" s="79"/>
      <c r="S487" s="80"/>
      <c r="T487" s="79"/>
      <c r="U487" s="80"/>
      <c r="V487" s="79"/>
      <c r="W487" s="80"/>
      <c r="X487" s="79"/>
      <c r="Y487" s="80"/>
      <c r="Z487" s="50">
        <f t="shared" si="7"/>
        <v>0</v>
      </c>
      <c r="AA487" s="60"/>
      <c r="AB487" s="60"/>
    </row>
    <row r="488" spans="1:28" x14ac:dyDescent="0.25">
      <c r="A488" s="443"/>
      <c r="B488" s="443"/>
      <c r="C488" s="443"/>
      <c r="D488" s="330"/>
      <c r="E488" s="330"/>
      <c r="F488" s="330"/>
      <c r="G488" s="330"/>
      <c r="H488" s="330"/>
      <c r="I488" s="330"/>
      <c r="J488" s="330"/>
      <c r="K488" s="330"/>
      <c r="L488" s="79"/>
      <c r="M488" s="80"/>
      <c r="N488" s="79"/>
      <c r="O488" s="80"/>
      <c r="P488" s="79"/>
      <c r="Q488" s="80"/>
      <c r="R488" s="79"/>
      <c r="S488" s="80"/>
      <c r="T488" s="79"/>
      <c r="U488" s="80"/>
      <c r="V488" s="79"/>
      <c r="W488" s="80"/>
      <c r="X488" s="79"/>
      <c r="Y488" s="80"/>
      <c r="Z488" s="50">
        <f t="shared" si="7"/>
        <v>0</v>
      </c>
      <c r="AA488" s="60"/>
      <c r="AB488" s="60"/>
    </row>
    <row r="489" spans="1:28" x14ac:dyDescent="0.25">
      <c r="A489" s="443"/>
      <c r="B489" s="443"/>
      <c r="C489" s="443"/>
      <c r="D489" s="330"/>
      <c r="E489" s="330"/>
      <c r="F489" s="330"/>
      <c r="G489" s="330"/>
      <c r="H489" s="330"/>
      <c r="I489" s="330"/>
      <c r="J489" s="330"/>
      <c r="K489" s="330"/>
      <c r="L489" s="79"/>
      <c r="M489" s="80"/>
      <c r="N489" s="79"/>
      <c r="O489" s="80"/>
      <c r="P489" s="79"/>
      <c r="Q489" s="80"/>
      <c r="R489" s="79"/>
      <c r="S489" s="80"/>
      <c r="T489" s="79"/>
      <c r="U489" s="80"/>
      <c r="V489" s="79"/>
      <c r="W489" s="80"/>
      <c r="X489" s="79"/>
      <c r="Y489" s="80"/>
      <c r="Z489" s="50">
        <f t="shared" si="7"/>
        <v>0</v>
      </c>
      <c r="AA489" s="60"/>
      <c r="AB489" s="60"/>
    </row>
    <row r="490" spans="1:28" x14ac:dyDescent="0.25">
      <c r="A490" s="443"/>
      <c r="B490" s="443"/>
      <c r="C490" s="443"/>
      <c r="D490" s="330"/>
      <c r="E490" s="330"/>
      <c r="F490" s="330"/>
      <c r="G490" s="330"/>
      <c r="H490" s="330"/>
      <c r="I490" s="330"/>
      <c r="J490" s="330"/>
      <c r="K490" s="330"/>
      <c r="L490" s="79"/>
      <c r="M490" s="80"/>
      <c r="N490" s="79"/>
      <c r="O490" s="80"/>
      <c r="P490" s="79"/>
      <c r="Q490" s="80"/>
      <c r="R490" s="79"/>
      <c r="S490" s="80"/>
      <c r="T490" s="79"/>
      <c r="U490" s="80"/>
      <c r="V490" s="79"/>
      <c r="W490" s="80"/>
      <c r="X490" s="79"/>
      <c r="Y490" s="80"/>
      <c r="Z490" s="50">
        <f t="shared" si="7"/>
        <v>0</v>
      </c>
      <c r="AA490" s="60"/>
      <c r="AB490" s="60"/>
    </row>
    <row r="491" spans="1:28" x14ac:dyDescent="0.25">
      <c r="A491" s="443"/>
      <c r="B491" s="443"/>
      <c r="C491" s="443"/>
      <c r="D491" s="330"/>
      <c r="E491" s="330"/>
      <c r="F491" s="330"/>
      <c r="G491" s="330"/>
      <c r="H491" s="330"/>
      <c r="I491" s="330"/>
      <c r="J491" s="330"/>
      <c r="K491" s="330"/>
      <c r="L491" s="79"/>
      <c r="M491" s="80"/>
      <c r="N491" s="79"/>
      <c r="O491" s="80"/>
      <c r="P491" s="79"/>
      <c r="Q491" s="80"/>
      <c r="R491" s="79"/>
      <c r="S491" s="80"/>
      <c r="T491" s="79"/>
      <c r="U491" s="80"/>
      <c r="V491" s="79"/>
      <c r="W491" s="80"/>
      <c r="X491" s="79"/>
      <c r="Y491" s="80"/>
      <c r="Z491" s="50">
        <f t="shared" si="7"/>
        <v>0</v>
      </c>
      <c r="AA491" s="60"/>
      <c r="AB491" s="60"/>
    </row>
    <row r="492" spans="1:28" x14ac:dyDescent="0.25">
      <c r="A492" s="443"/>
      <c r="B492" s="443"/>
      <c r="C492" s="443"/>
      <c r="D492" s="330"/>
      <c r="E492" s="330"/>
      <c r="F492" s="330"/>
      <c r="G492" s="330"/>
      <c r="H492" s="330"/>
      <c r="I492" s="330"/>
      <c r="J492" s="330"/>
      <c r="K492" s="330"/>
      <c r="L492" s="79"/>
      <c r="M492" s="80"/>
      <c r="N492" s="79"/>
      <c r="O492" s="80"/>
      <c r="P492" s="79"/>
      <c r="Q492" s="80"/>
      <c r="R492" s="79"/>
      <c r="S492" s="80"/>
      <c r="T492" s="79"/>
      <c r="U492" s="80"/>
      <c r="V492" s="79"/>
      <c r="W492" s="80"/>
      <c r="X492" s="79"/>
      <c r="Y492" s="80"/>
      <c r="Z492" s="50">
        <f t="shared" si="7"/>
        <v>0</v>
      </c>
      <c r="AA492" s="60"/>
      <c r="AB492" s="60"/>
    </row>
    <row r="493" spans="1:28" x14ac:dyDescent="0.25">
      <c r="A493" s="443"/>
      <c r="B493" s="443"/>
      <c r="C493" s="443"/>
      <c r="D493" s="330"/>
      <c r="E493" s="330"/>
      <c r="F493" s="330"/>
      <c r="G493" s="330"/>
      <c r="H493" s="330"/>
      <c r="I493" s="330"/>
      <c r="J493" s="330"/>
      <c r="K493" s="330"/>
      <c r="L493" s="79"/>
      <c r="M493" s="80"/>
      <c r="N493" s="79"/>
      <c r="O493" s="80"/>
      <c r="P493" s="79"/>
      <c r="Q493" s="80"/>
      <c r="R493" s="79"/>
      <c r="S493" s="80"/>
      <c r="T493" s="79"/>
      <c r="U493" s="80"/>
      <c r="V493" s="79"/>
      <c r="W493" s="80"/>
      <c r="X493" s="79"/>
      <c r="Y493" s="80"/>
      <c r="Z493" s="50">
        <f t="shared" si="7"/>
        <v>0</v>
      </c>
      <c r="AA493" s="60"/>
      <c r="AB493" s="60"/>
    </row>
    <row r="494" spans="1:28" x14ac:dyDescent="0.25">
      <c r="A494" s="443"/>
      <c r="B494" s="443"/>
      <c r="C494" s="443"/>
      <c r="D494" s="330"/>
      <c r="E494" s="330"/>
      <c r="F494" s="330"/>
      <c r="G494" s="330"/>
      <c r="H494" s="330"/>
      <c r="I494" s="330"/>
      <c r="J494" s="330"/>
      <c r="K494" s="330"/>
      <c r="L494" s="79"/>
      <c r="M494" s="80"/>
      <c r="N494" s="79"/>
      <c r="O494" s="80"/>
      <c r="P494" s="79"/>
      <c r="Q494" s="80"/>
      <c r="R494" s="79"/>
      <c r="S494" s="80"/>
      <c r="T494" s="79"/>
      <c r="U494" s="80"/>
      <c r="V494" s="79"/>
      <c r="W494" s="80"/>
      <c r="X494" s="79"/>
      <c r="Y494" s="80"/>
      <c r="Z494" s="50">
        <f t="shared" si="7"/>
        <v>0</v>
      </c>
      <c r="AA494" s="60"/>
      <c r="AB494" s="60"/>
    </row>
    <row r="495" spans="1:28" x14ac:dyDescent="0.25">
      <c r="A495" s="443"/>
      <c r="B495" s="443"/>
      <c r="C495" s="443"/>
      <c r="D495" s="330"/>
      <c r="E495" s="330"/>
      <c r="F495" s="330"/>
      <c r="G495" s="330"/>
      <c r="H495" s="330"/>
      <c r="I495" s="330"/>
      <c r="J495" s="330"/>
      <c r="K495" s="330"/>
      <c r="L495" s="79"/>
      <c r="M495" s="80"/>
      <c r="N495" s="79"/>
      <c r="O495" s="80"/>
      <c r="P495" s="79"/>
      <c r="Q495" s="80"/>
      <c r="R495" s="79"/>
      <c r="S495" s="80"/>
      <c r="T495" s="79"/>
      <c r="U495" s="80"/>
      <c r="V495" s="79"/>
      <c r="W495" s="80"/>
      <c r="X495" s="79"/>
      <c r="Y495" s="80"/>
      <c r="Z495" s="50">
        <f t="shared" si="7"/>
        <v>0</v>
      </c>
      <c r="AA495" s="60"/>
      <c r="AB495" s="60"/>
    </row>
    <row r="496" spans="1:28" x14ac:dyDescent="0.25">
      <c r="A496" s="443"/>
      <c r="B496" s="443"/>
      <c r="C496" s="443"/>
      <c r="D496" s="330"/>
      <c r="E496" s="330"/>
      <c r="F496" s="330"/>
      <c r="G496" s="330"/>
      <c r="H496" s="330"/>
      <c r="I496" s="330"/>
      <c r="J496" s="330"/>
      <c r="K496" s="330"/>
      <c r="L496" s="79"/>
      <c r="M496" s="80"/>
      <c r="N496" s="79"/>
      <c r="O496" s="80"/>
      <c r="P496" s="79"/>
      <c r="Q496" s="80"/>
      <c r="R496" s="79"/>
      <c r="S496" s="80"/>
      <c r="T496" s="79"/>
      <c r="U496" s="80"/>
      <c r="V496" s="79"/>
      <c r="W496" s="80"/>
      <c r="X496" s="79"/>
      <c r="Y496" s="80"/>
      <c r="Z496" s="50">
        <f t="shared" si="7"/>
        <v>0</v>
      </c>
      <c r="AA496" s="60"/>
      <c r="AB496" s="60"/>
    </row>
    <row r="497" spans="1:28" x14ac:dyDescent="0.25">
      <c r="A497" s="443"/>
      <c r="B497" s="443"/>
      <c r="C497" s="443"/>
      <c r="D497" s="330"/>
      <c r="E497" s="330"/>
      <c r="F497" s="330"/>
      <c r="G497" s="330"/>
      <c r="H497" s="330"/>
      <c r="I497" s="330"/>
      <c r="J497" s="330"/>
      <c r="K497" s="330"/>
      <c r="L497" s="79"/>
      <c r="M497" s="80"/>
      <c r="N497" s="79"/>
      <c r="O497" s="80"/>
      <c r="P497" s="79"/>
      <c r="Q497" s="80"/>
      <c r="R497" s="79"/>
      <c r="S497" s="80"/>
      <c r="T497" s="79"/>
      <c r="U497" s="80"/>
      <c r="V497" s="79"/>
      <c r="W497" s="80"/>
      <c r="X497" s="79"/>
      <c r="Y497" s="80"/>
      <c r="Z497" s="50">
        <f t="shared" si="7"/>
        <v>0</v>
      </c>
      <c r="AA497" s="60"/>
      <c r="AB497" s="60"/>
    </row>
    <row r="498" spans="1:28" x14ac:dyDescent="0.25">
      <c r="A498" s="443"/>
      <c r="B498" s="443"/>
      <c r="C498" s="443"/>
      <c r="D498" s="330"/>
      <c r="E498" s="330"/>
      <c r="F498" s="330"/>
      <c r="G498" s="330"/>
      <c r="H498" s="330"/>
      <c r="I498" s="330"/>
      <c r="J498" s="330"/>
      <c r="K498" s="330"/>
      <c r="L498" s="79"/>
      <c r="M498" s="80"/>
      <c r="N498" s="79"/>
      <c r="O498" s="80"/>
      <c r="P498" s="79"/>
      <c r="Q498" s="80"/>
      <c r="R498" s="79"/>
      <c r="S498" s="80"/>
      <c r="T498" s="79"/>
      <c r="U498" s="80"/>
      <c r="V498" s="79"/>
      <c r="W498" s="80"/>
      <c r="X498" s="79"/>
      <c r="Y498" s="80"/>
      <c r="Z498" s="50">
        <f t="shared" si="7"/>
        <v>0</v>
      </c>
      <c r="AA498" s="60"/>
      <c r="AB498" s="60"/>
    </row>
    <row r="499" spans="1:28" x14ac:dyDescent="0.25">
      <c r="A499" s="443"/>
      <c r="B499" s="443"/>
      <c r="C499" s="443"/>
      <c r="D499" s="330"/>
      <c r="E499" s="330"/>
      <c r="F499" s="330"/>
      <c r="G499" s="330"/>
      <c r="H499" s="330"/>
      <c r="I499" s="330"/>
      <c r="J499" s="330"/>
      <c r="K499" s="330"/>
      <c r="L499" s="79"/>
      <c r="M499" s="80"/>
      <c r="N499" s="79"/>
      <c r="O499" s="80"/>
      <c r="P499" s="79"/>
      <c r="Q499" s="80"/>
      <c r="R499" s="79"/>
      <c r="S499" s="80"/>
      <c r="T499" s="79"/>
      <c r="U499" s="80"/>
      <c r="V499" s="79"/>
      <c r="W499" s="80"/>
      <c r="X499" s="79"/>
      <c r="Y499" s="80"/>
      <c r="Z499" s="50">
        <f t="shared" si="7"/>
        <v>0</v>
      </c>
      <c r="AA499" s="60"/>
      <c r="AB499" s="60"/>
    </row>
    <row r="500" spans="1:28" x14ac:dyDescent="0.25">
      <c r="A500" s="443"/>
      <c r="B500" s="443"/>
      <c r="C500" s="443"/>
      <c r="D500" s="330"/>
      <c r="E500" s="330"/>
      <c r="F500" s="330"/>
      <c r="G500" s="330"/>
      <c r="H500" s="330"/>
      <c r="I500" s="330"/>
      <c r="J500" s="330"/>
      <c r="K500" s="330"/>
      <c r="L500" s="79"/>
      <c r="M500" s="80"/>
      <c r="N500" s="79"/>
      <c r="O500" s="80"/>
      <c r="P500" s="79"/>
      <c r="Q500" s="80"/>
      <c r="R500" s="79"/>
      <c r="S500" s="80"/>
      <c r="T500" s="79"/>
      <c r="U500" s="80"/>
      <c r="V500" s="79"/>
      <c r="W500" s="80"/>
      <c r="X500" s="79"/>
      <c r="Y500" s="80"/>
      <c r="Z500" s="50">
        <f t="shared" si="7"/>
        <v>0</v>
      </c>
      <c r="AA500" s="60"/>
      <c r="AB500" s="60"/>
    </row>
    <row r="501" spans="1:28" x14ac:dyDescent="0.25">
      <c r="A501" s="98"/>
      <c r="B501" s="98"/>
      <c r="C501" s="98"/>
      <c r="D501" s="98"/>
      <c r="E501" s="98"/>
      <c r="F501" s="98"/>
      <c r="G501" s="98"/>
      <c r="H501" s="98"/>
      <c r="I501" s="98"/>
      <c r="J501" s="98"/>
      <c r="K501" s="98"/>
      <c r="L501" s="3">
        <f>SUM(L9:L500)</f>
        <v>0</v>
      </c>
      <c r="M501" s="3">
        <f t="shared" ref="M501:Y501" si="8">SUM(M9:M500)</f>
        <v>0</v>
      </c>
      <c r="N501" s="3">
        <f t="shared" si="8"/>
        <v>0</v>
      </c>
      <c r="O501" s="3">
        <f t="shared" si="8"/>
        <v>0</v>
      </c>
      <c r="P501" s="3">
        <f t="shared" si="8"/>
        <v>0</v>
      </c>
      <c r="Q501" s="3">
        <f t="shared" si="8"/>
        <v>0</v>
      </c>
      <c r="R501" s="3">
        <f t="shared" si="8"/>
        <v>0</v>
      </c>
      <c r="S501" s="3">
        <f t="shared" si="8"/>
        <v>0</v>
      </c>
      <c r="T501" s="3">
        <f t="shared" si="8"/>
        <v>0</v>
      </c>
      <c r="U501" s="3">
        <f t="shared" si="8"/>
        <v>0</v>
      </c>
      <c r="V501" s="3">
        <f t="shared" si="8"/>
        <v>0</v>
      </c>
      <c r="W501" s="3">
        <f t="shared" si="8"/>
        <v>0</v>
      </c>
      <c r="X501" s="3">
        <f t="shared" si="8"/>
        <v>0</v>
      </c>
      <c r="Y501" s="3">
        <f t="shared" si="8"/>
        <v>0</v>
      </c>
      <c r="Z501" s="3">
        <f>SUM(Z9:Z500)</f>
        <v>0</v>
      </c>
      <c r="AA501" s="98"/>
      <c r="AB501" s="98"/>
    </row>
  </sheetData>
  <sheetProtection algorithmName="SHA-512" hashValue="TjRmG4eOljXO5xAOTd+zohP3d/ukJ0i3NKDZPbLoJGV7RQUmxKRYL1aeTWUVxsqrXitU8ukArXnUXWc/PY62GA==" saltValue="+eBuF6leKXJ6BLc2wbvb2A==" spinCount="100000" sheet="1" objects="1" scenarios="1" selectLockedCells="1"/>
  <mergeCells count="1002">
    <mergeCell ref="A5:F5"/>
    <mergeCell ref="G5:K5"/>
    <mergeCell ref="L5:P5"/>
    <mergeCell ref="R5:T5"/>
    <mergeCell ref="U5:AB5"/>
    <mergeCell ref="A1:AB2"/>
    <mergeCell ref="A3:F3"/>
    <mergeCell ref="G3:P3"/>
    <mergeCell ref="R3:T3"/>
    <mergeCell ref="U3:AB3"/>
    <mergeCell ref="A4:F4"/>
    <mergeCell ref="G4:P4"/>
    <mergeCell ref="R4:T4"/>
    <mergeCell ref="U4:AB4"/>
    <mergeCell ref="A16:C16"/>
    <mergeCell ref="A17:C17"/>
    <mergeCell ref="A18:C18"/>
    <mergeCell ref="D18:K18"/>
    <mergeCell ref="A19:C19"/>
    <mergeCell ref="A20:C20"/>
    <mergeCell ref="A21:C21"/>
    <mergeCell ref="A10:C10"/>
    <mergeCell ref="A11:C11"/>
    <mergeCell ref="A12:C12"/>
    <mergeCell ref="A13:C13"/>
    <mergeCell ref="A14:C14"/>
    <mergeCell ref="A15:C15"/>
    <mergeCell ref="A6:AB6"/>
    <mergeCell ref="A8:C8"/>
    <mergeCell ref="D8:K8"/>
    <mergeCell ref="A7:AB7"/>
    <mergeCell ref="A9:C9"/>
    <mergeCell ref="D9:K9"/>
    <mergeCell ref="A34:C34"/>
    <mergeCell ref="A35:C35"/>
    <mergeCell ref="D27:K27"/>
    <mergeCell ref="D28:K28"/>
    <mergeCell ref="D29:K29"/>
    <mergeCell ref="D30:K30"/>
    <mergeCell ref="D31:K31"/>
    <mergeCell ref="D32:K32"/>
    <mergeCell ref="D21:K21"/>
    <mergeCell ref="D22:K22"/>
    <mergeCell ref="D23:K23"/>
    <mergeCell ref="D24:K24"/>
    <mergeCell ref="D25:K25"/>
    <mergeCell ref="D26:K26"/>
    <mergeCell ref="D15:K15"/>
    <mergeCell ref="D16:K16"/>
    <mergeCell ref="D17:K17"/>
    <mergeCell ref="A36:C36"/>
    <mergeCell ref="A37:C37"/>
    <mergeCell ref="A38:C38"/>
    <mergeCell ref="A39:C39"/>
    <mergeCell ref="A28:C28"/>
    <mergeCell ref="A29:C29"/>
    <mergeCell ref="A30:C30"/>
    <mergeCell ref="A31:C31"/>
    <mergeCell ref="A32:C32"/>
    <mergeCell ref="A33:C33"/>
    <mergeCell ref="A22:C22"/>
    <mergeCell ref="A23:C23"/>
    <mergeCell ref="A24:C24"/>
    <mergeCell ref="A25:C25"/>
    <mergeCell ref="A26:C26"/>
    <mergeCell ref="A27:C27"/>
    <mergeCell ref="A52:C52"/>
    <mergeCell ref="A53:C53"/>
    <mergeCell ref="A54:C54"/>
    <mergeCell ref="A55:C55"/>
    <mergeCell ref="A56:C56"/>
    <mergeCell ref="A57:C57"/>
    <mergeCell ref="A46:C46"/>
    <mergeCell ref="A47:C47"/>
    <mergeCell ref="A48:C48"/>
    <mergeCell ref="A49:C49"/>
    <mergeCell ref="A50:C50"/>
    <mergeCell ref="A51:C51"/>
    <mergeCell ref="A40:C40"/>
    <mergeCell ref="A41:C41"/>
    <mergeCell ref="A42:C42"/>
    <mergeCell ref="A43:C43"/>
    <mergeCell ref="A44:C44"/>
    <mergeCell ref="A45:C45"/>
    <mergeCell ref="A70:C70"/>
    <mergeCell ref="A71:C71"/>
    <mergeCell ref="A72:C72"/>
    <mergeCell ref="A73:C73"/>
    <mergeCell ref="A74:C74"/>
    <mergeCell ref="A75:C75"/>
    <mergeCell ref="A64:C64"/>
    <mergeCell ref="A65:C65"/>
    <mergeCell ref="A66:C66"/>
    <mergeCell ref="A67:C67"/>
    <mergeCell ref="A68:C68"/>
    <mergeCell ref="A69:C69"/>
    <mergeCell ref="A58:C58"/>
    <mergeCell ref="A59:C59"/>
    <mergeCell ref="A60:C60"/>
    <mergeCell ref="A61:C61"/>
    <mergeCell ref="A62:C62"/>
    <mergeCell ref="A63:C63"/>
    <mergeCell ref="A88:C88"/>
    <mergeCell ref="A89:C89"/>
    <mergeCell ref="A90:C90"/>
    <mergeCell ref="A91:C91"/>
    <mergeCell ref="A92:C92"/>
    <mergeCell ref="A93:C93"/>
    <mergeCell ref="A82:C82"/>
    <mergeCell ref="A83:C83"/>
    <mergeCell ref="A84:C84"/>
    <mergeCell ref="A85:C85"/>
    <mergeCell ref="A86:C86"/>
    <mergeCell ref="A87:C87"/>
    <mergeCell ref="A76:C76"/>
    <mergeCell ref="A77:C77"/>
    <mergeCell ref="A78:C78"/>
    <mergeCell ref="A79:C79"/>
    <mergeCell ref="A80:C80"/>
    <mergeCell ref="A81:C81"/>
    <mergeCell ref="A106:C106"/>
    <mergeCell ref="A107:C107"/>
    <mergeCell ref="A108:C108"/>
    <mergeCell ref="A109:C109"/>
    <mergeCell ref="A110:C110"/>
    <mergeCell ref="A111:C111"/>
    <mergeCell ref="A100:C100"/>
    <mergeCell ref="A101:C101"/>
    <mergeCell ref="A102:C102"/>
    <mergeCell ref="A103:C103"/>
    <mergeCell ref="A104:C104"/>
    <mergeCell ref="A105:C105"/>
    <mergeCell ref="A94:C94"/>
    <mergeCell ref="A95:C95"/>
    <mergeCell ref="A96:C96"/>
    <mergeCell ref="A97:C97"/>
    <mergeCell ref="A98:C98"/>
    <mergeCell ref="A99:C99"/>
    <mergeCell ref="A124:C124"/>
    <mergeCell ref="A125:C125"/>
    <mergeCell ref="A126:C126"/>
    <mergeCell ref="A127:C127"/>
    <mergeCell ref="A128:C128"/>
    <mergeCell ref="A129:C129"/>
    <mergeCell ref="A118:C118"/>
    <mergeCell ref="A119:C119"/>
    <mergeCell ref="A120:C120"/>
    <mergeCell ref="A121:C121"/>
    <mergeCell ref="A122:C122"/>
    <mergeCell ref="A123:C123"/>
    <mergeCell ref="A112:C112"/>
    <mergeCell ref="A113:C113"/>
    <mergeCell ref="A114:C114"/>
    <mergeCell ref="A115:C115"/>
    <mergeCell ref="A116:C116"/>
    <mergeCell ref="A117:C117"/>
    <mergeCell ref="A142:C142"/>
    <mergeCell ref="A143:C143"/>
    <mergeCell ref="A144:C144"/>
    <mergeCell ref="A145:C145"/>
    <mergeCell ref="A146:C146"/>
    <mergeCell ref="A147:C147"/>
    <mergeCell ref="A136:C136"/>
    <mergeCell ref="A137:C137"/>
    <mergeCell ref="A138:C138"/>
    <mergeCell ref="A139:C139"/>
    <mergeCell ref="A140:C140"/>
    <mergeCell ref="A141:C141"/>
    <mergeCell ref="A130:C130"/>
    <mergeCell ref="A131:C131"/>
    <mergeCell ref="A132:C132"/>
    <mergeCell ref="A133:C133"/>
    <mergeCell ref="A134:C134"/>
    <mergeCell ref="A135:C135"/>
    <mergeCell ref="A160:C160"/>
    <mergeCell ref="A161:C161"/>
    <mergeCell ref="A162:C162"/>
    <mergeCell ref="A163:C163"/>
    <mergeCell ref="A164:C164"/>
    <mergeCell ref="A165:C165"/>
    <mergeCell ref="A154:C154"/>
    <mergeCell ref="A155:C155"/>
    <mergeCell ref="A156:C156"/>
    <mergeCell ref="A157:C157"/>
    <mergeCell ref="A158:C158"/>
    <mergeCell ref="A159:C159"/>
    <mergeCell ref="A148:C148"/>
    <mergeCell ref="A149:C149"/>
    <mergeCell ref="A150:C150"/>
    <mergeCell ref="A151:C151"/>
    <mergeCell ref="A152:C152"/>
    <mergeCell ref="A153:C153"/>
    <mergeCell ref="A178:C178"/>
    <mergeCell ref="A179:C179"/>
    <mergeCell ref="A180:C180"/>
    <mergeCell ref="A181:C181"/>
    <mergeCell ref="A182:C182"/>
    <mergeCell ref="A183:C183"/>
    <mergeCell ref="A172:C172"/>
    <mergeCell ref="A173:C173"/>
    <mergeCell ref="A174:C174"/>
    <mergeCell ref="A175:C175"/>
    <mergeCell ref="A176:C176"/>
    <mergeCell ref="A177:C177"/>
    <mergeCell ref="A166:C166"/>
    <mergeCell ref="A167:C167"/>
    <mergeCell ref="A168:C168"/>
    <mergeCell ref="A169:C169"/>
    <mergeCell ref="A170:C170"/>
    <mergeCell ref="A171:C171"/>
    <mergeCell ref="A196:C196"/>
    <mergeCell ref="A197:C197"/>
    <mergeCell ref="A198:C198"/>
    <mergeCell ref="A199:C199"/>
    <mergeCell ref="A200:C200"/>
    <mergeCell ref="A201:C201"/>
    <mergeCell ref="A190:C190"/>
    <mergeCell ref="A191:C191"/>
    <mergeCell ref="A192:C192"/>
    <mergeCell ref="A193:C193"/>
    <mergeCell ref="A194:C194"/>
    <mergeCell ref="A195:C195"/>
    <mergeCell ref="A184:C184"/>
    <mergeCell ref="A185:C185"/>
    <mergeCell ref="A186:C186"/>
    <mergeCell ref="A187:C187"/>
    <mergeCell ref="A188:C188"/>
    <mergeCell ref="A189:C189"/>
    <mergeCell ref="A214:C214"/>
    <mergeCell ref="A215:C215"/>
    <mergeCell ref="A216:C216"/>
    <mergeCell ref="A217:C217"/>
    <mergeCell ref="A218:C218"/>
    <mergeCell ref="A219:C219"/>
    <mergeCell ref="A208:C208"/>
    <mergeCell ref="A209:C209"/>
    <mergeCell ref="A210:C210"/>
    <mergeCell ref="A211:C211"/>
    <mergeCell ref="A212:C212"/>
    <mergeCell ref="A213:C213"/>
    <mergeCell ref="A202:C202"/>
    <mergeCell ref="A203:C203"/>
    <mergeCell ref="A204:C204"/>
    <mergeCell ref="A205:C205"/>
    <mergeCell ref="A206:C206"/>
    <mergeCell ref="A207:C207"/>
    <mergeCell ref="A232:C232"/>
    <mergeCell ref="A233:C233"/>
    <mergeCell ref="A234:C234"/>
    <mergeCell ref="A235:C235"/>
    <mergeCell ref="A236:C236"/>
    <mergeCell ref="A237:C237"/>
    <mergeCell ref="A226:C226"/>
    <mergeCell ref="A227:C227"/>
    <mergeCell ref="A228:C228"/>
    <mergeCell ref="A229:C229"/>
    <mergeCell ref="A230:C230"/>
    <mergeCell ref="A231:C231"/>
    <mergeCell ref="A220:C220"/>
    <mergeCell ref="A221:C221"/>
    <mergeCell ref="A222:C222"/>
    <mergeCell ref="A223:C223"/>
    <mergeCell ref="A224:C224"/>
    <mergeCell ref="A225:C225"/>
    <mergeCell ref="A250:C250"/>
    <mergeCell ref="A251:C251"/>
    <mergeCell ref="A252:C252"/>
    <mergeCell ref="A253:C253"/>
    <mergeCell ref="A254:C254"/>
    <mergeCell ref="A255:C255"/>
    <mergeCell ref="A244:C244"/>
    <mergeCell ref="A245:C245"/>
    <mergeCell ref="A246:C246"/>
    <mergeCell ref="A247:C247"/>
    <mergeCell ref="A248:C248"/>
    <mergeCell ref="A249:C249"/>
    <mergeCell ref="A238:C238"/>
    <mergeCell ref="A239:C239"/>
    <mergeCell ref="A240:C240"/>
    <mergeCell ref="A241:C241"/>
    <mergeCell ref="A242:C242"/>
    <mergeCell ref="A243:C243"/>
    <mergeCell ref="A268:C268"/>
    <mergeCell ref="A269:C269"/>
    <mergeCell ref="A270:C270"/>
    <mergeCell ref="A271:C271"/>
    <mergeCell ref="A272:C272"/>
    <mergeCell ref="A273:C273"/>
    <mergeCell ref="A262:C262"/>
    <mergeCell ref="A263:C263"/>
    <mergeCell ref="A264:C264"/>
    <mergeCell ref="A265:C265"/>
    <mergeCell ref="A266:C266"/>
    <mergeCell ref="A267:C267"/>
    <mergeCell ref="A256:C256"/>
    <mergeCell ref="A257:C257"/>
    <mergeCell ref="A258:C258"/>
    <mergeCell ref="A259:C259"/>
    <mergeCell ref="A260:C260"/>
    <mergeCell ref="A261:C261"/>
    <mergeCell ref="A286:C286"/>
    <mergeCell ref="A287:C287"/>
    <mergeCell ref="A288:C288"/>
    <mergeCell ref="A289:C289"/>
    <mergeCell ref="A290:C290"/>
    <mergeCell ref="A291:C291"/>
    <mergeCell ref="A280:C280"/>
    <mergeCell ref="A281:C281"/>
    <mergeCell ref="A282:C282"/>
    <mergeCell ref="A283:C283"/>
    <mergeCell ref="A284:C284"/>
    <mergeCell ref="A285:C285"/>
    <mergeCell ref="A274:C274"/>
    <mergeCell ref="A275:C275"/>
    <mergeCell ref="A276:C276"/>
    <mergeCell ref="A277:C277"/>
    <mergeCell ref="A278:C278"/>
    <mergeCell ref="A279:C279"/>
    <mergeCell ref="A304:C304"/>
    <mergeCell ref="A305:C305"/>
    <mergeCell ref="A306:C306"/>
    <mergeCell ref="A307:C307"/>
    <mergeCell ref="A308:C308"/>
    <mergeCell ref="A309:C309"/>
    <mergeCell ref="A298:C298"/>
    <mergeCell ref="A299:C299"/>
    <mergeCell ref="A300:C300"/>
    <mergeCell ref="A301:C301"/>
    <mergeCell ref="A302:C302"/>
    <mergeCell ref="A303:C303"/>
    <mergeCell ref="A292:C292"/>
    <mergeCell ref="A293:C293"/>
    <mergeCell ref="A294:C294"/>
    <mergeCell ref="A295:C295"/>
    <mergeCell ref="A296:C296"/>
    <mergeCell ref="A297:C297"/>
    <mergeCell ref="A322:C322"/>
    <mergeCell ref="A323:C323"/>
    <mergeCell ref="A324:C324"/>
    <mergeCell ref="A325:C325"/>
    <mergeCell ref="A326:C326"/>
    <mergeCell ref="A327:C327"/>
    <mergeCell ref="A316:C316"/>
    <mergeCell ref="A317:C317"/>
    <mergeCell ref="A318:C318"/>
    <mergeCell ref="A319:C319"/>
    <mergeCell ref="A320:C320"/>
    <mergeCell ref="A321:C321"/>
    <mergeCell ref="A310:C310"/>
    <mergeCell ref="A311:C311"/>
    <mergeCell ref="A312:C312"/>
    <mergeCell ref="A313:C313"/>
    <mergeCell ref="A314:C314"/>
    <mergeCell ref="A315:C315"/>
    <mergeCell ref="A340:C340"/>
    <mergeCell ref="A341:C341"/>
    <mergeCell ref="A342:C342"/>
    <mergeCell ref="A343:C343"/>
    <mergeCell ref="A344:C344"/>
    <mergeCell ref="A345:C345"/>
    <mergeCell ref="A334:C334"/>
    <mergeCell ref="A335:C335"/>
    <mergeCell ref="A336:C336"/>
    <mergeCell ref="A337:C337"/>
    <mergeCell ref="A338:C338"/>
    <mergeCell ref="A339:C339"/>
    <mergeCell ref="A328:C328"/>
    <mergeCell ref="A329:C329"/>
    <mergeCell ref="A330:C330"/>
    <mergeCell ref="A331:C331"/>
    <mergeCell ref="A332:C332"/>
    <mergeCell ref="A333:C333"/>
    <mergeCell ref="A358:C358"/>
    <mergeCell ref="A359:C359"/>
    <mergeCell ref="A360:C360"/>
    <mergeCell ref="A361:C361"/>
    <mergeCell ref="A362:C362"/>
    <mergeCell ref="A363:C363"/>
    <mergeCell ref="A352:C352"/>
    <mergeCell ref="A353:C353"/>
    <mergeCell ref="A354:C354"/>
    <mergeCell ref="A355:C355"/>
    <mergeCell ref="A356:C356"/>
    <mergeCell ref="A357:C357"/>
    <mergeCell ref="A346:C346"/>
    <mergeCell ref="A347:C347"/>
    <mergeCell ref="A348:C348"/>
    <mergeCell ref="A349:C349"/>
    <mergeCell ref="A350:C350"/>
    <mergeCell ref="A351:C351"/>
    <mergeCell ref="A376:C376"/>
    <mergeCell ref="A377:C377"/>
    <mergeCell ref="A378:C378"/>
    <mergeCell ref="A379:C379"/>
    <mergeCell ref="A380:C380"/>
    <mergeCell ref="A381:C381"/>
    <mergeCell ref="A370:C370"/>
    <mergeCell ref="A371:C371"/>
    <mergeCell ref="A372:C372"/>
    <mergeCell ref="A373:C373"/>
    <mergeCell ref="A374:C374"/>
    <mergeCell ref="A375:C375"/>
    <mergeCell ref="A364:C364"/>
    <mergeCell ref="A365:C365"/>
    <mergeCell ref="A366:C366"/>
    <mergeCell ref="A367:C367"/>
    <mergeCell ref="A368:C368"/>
    <mergeCell ref="A369:C369"/>
    <mergeCell ref="A394:C394"/>
    <mergeCell ref="A395:C395"/>
    <mergeCell ref="A396:C396"/>
    <mergeCell ref="A397:C397"/>
    <mergeCell ref="A398:C398"/>
    <mergeCell ref="A399:C399"/>
    <mergeCell ref="A388:C388"/>
    <mergeCell ref="A389:C389"/>
    <mergeCell ref="A390:C390"/>
    <mergeCell ref="A391:C391"/>
    <mergeCell ref="A392:C392"/>
    <mergeCell ref="A393:C393"/>
    <mergeCell ref="A382:C382"/>
    <mergeCell ref="A383:C383"/>
    <mergeCell ref="A384:C384"/>
    <mergeCell ref="A385:C385"/>
    <mergeCell ref="A386:C386"/>
    <mergeCell ref="A387:C387"/>
    <mergeCell ref="A412:C412"/>
    <mergeCell ref="A413:C413"/>
    <mergeCell ref="A414:C414"/>
    <mergeCell ref="A415:C415"/>
    <mergeCell ref="A416:C416"/>
    <mergeCell ref="A417:C417"/>
    <mergeCell ref="A406:C406"/>
    <mergeCell ref="A407:C407"/>
    <mergeCell ref="A408:C408"/>
    <mergeCell ref="A409:C409"/>
    <mergeCell ref="A410:C410"/>
    <mergeCell ref="A411:C411"/>
    <mergeCell ref="A400:C400"/>
    <mergeCell ref="A401:C401"/>
    <mergeCell ref="A402:C402"/>
    <mergeCell ref="A403:C403"/>
    <mergeCell ref="A404:C404"/>
    <mergeCell ref="A405:C405"/>
    <mergeCell ref="A430:C430"/>
    <mergeCell ref="A431:C431"/>
    <mergeCell ref="A432:C432"/>
    <mergeCell ref="A433:C433"/>
    <mergeCell ref="A434:C434"/>
    <mergeCell ref="A435:C435"/>
    <mergeCell ref="A424:C424"/>
    <mergeCell ref="A425:C425"/>
    <mergeCell ref="A426:C426"/>
    <mergeCell ref="A427:C427"/>
    <mergeCell ref="A428:C428"/>
    <mergeCell ref="A429:C429"/>
    <mergeCell ref="A418:C418"/>
    <mergeCell ref="A419:C419"/>
    <mergeCell ref="A420:C420"/>
    <mergeCell ref="A421:C421"/>
    <mergeCell ref="A422:C422"/>
    <mergeCell ref="A423:C423"/>
    <mergeCell ref="A448:C448"/>
    <mergeCell ref="A449:C449"/>
    <mergeCell ref="A450:C450"/>
    <mergeCell ref="A451:C451"/>
    <mergeCell ref="A452:C452"/>
    <mergeCell ref="A453:C453"/>
    <mergeCell ref="A442:C442"/>
    <mergeCell ref="A443:C443"/>
    <mergeCell ref="A444:C444"/>
    <mergeCell ref="A445:C445"/>
    <mergeCell ref="A446:C446"/>
    <mergeCell ref="A447:C447"/>
    <mergeCell ref="A436:C436"/>
    <mergeCell ref="A437:C437"/>
    <mergeCell ref="A438:C438"/>
    <mergeCell ref="A439:C439"/>
    <mergeCell ref="A440:C440"/>
    <mergeCell ref="A441:C441"/>
    <mergeCell ref="A476:C476"/>
    <mergeCell ref="A477:C477"/>
    <mergeCell ref="A466:C466"/>
    <mergeCell ref="A467:C467"/>
    <mergeCell ref="A468:C468"/>
    <mergeCell ref="A469:C469"/>
    <mergeCell ref="A470:C470"/>
    <mergeCell ref="A471:C471"/>
    <mergeCell ref="A460:C460"/>
    <mergeCell ref="A461:C461"/>
    <mergeCell ref="A462:C462"/>
    <mergeCell ref="A463:C463"/>
    <mergeCell ref="A464:C464"/>
    <mergeCell ref="A465:C465"/>
    <mergeCell ref="A454:C454"/>
    <mergeCell ref="A455:C455"/>
    <mergeCell ref="A456:C456"/>
    <mergeCell ref="A457:C457"/>
    <mergeCell ref="A458:C458"/>
    <mergeCell ref="A459:C459"/>
    <mergeCell ref="A496:C496"/>
    <mergeCell ref="A497:C497"/>
    <mergeCell ref="A498:C498"/>
    <mergeCell ref="A499:C499"/>
    <mergeCell ref="A500:C500"/>
    <mergeCell ref="D10:K10"/>
    <mergeCell ref="D11:K11"/>
    <mergeCell ref="D12:K12"/>
    <mergeCell ref="D13:K13"/>
    <mergeCell ref="D14:K14"/>
    <mergeCell ref="A490:C490"/>
    <mergeCell ref="A491:C491"/>
    <mergeCell ref="A492:C492"/>
    <mergeCell ref="A493:C493"/>
    <mergeCell ref="A494:C494"/>
    <mergeCell ref="A495:C495"/>
    <mergeCell ref="A484:C484"/>
    <mergeCell ref="A485:C485"/>
    <mergeCell ref="A486:C486"/>
    <mergeCell ref="A487:C487"/>
    <mergeCell ref="A488:C488"/>
    <mergeCell ref="A489:C489"/>
    <mergeCell ref="A478:C478"/>
    <mergeCell ref="A479:C479"/>
    <mergeCell ref="A480:C480"/>
    <mergeCell ref="A481:C481"/>
    <mergeCell ref="A482:C482"/>
    <mergeCell ref="A483:C483"/>
    <mergeCell ref="A472:C472"/>
    <mergeCell ref="A473:C473"/>
    <mergeCell ref="A474:C474"/>
    <mergeCell ref="A475:C475"/>
    <mergeCell ref="D19:K19"/>
    <mergeCell ref="D20:K20"/>
    <mergeCell ref="D45:K45"/>
    <mergeCell ref="D46:K46"/>
    <mergeCell ref="D47:K47"/>
    <mergeCell ref="D48:K48"/>
    <mergeCell ref="D49:K49"/>
    <mergeCell ref="D50:K50"/>
    <mergeCell ref="D39:K39"/>
    <mergeCell ref="D40:K40"/>
    <mergeCell ref="D41:K41"/>
    <mergeCell ref="D42:K42"/>
    <mergeCell ref="D43:K43"/>
    <mergeCell ref="D44:K44"/>
    <mergeCell ref="D33:K33"/>
    <mergeCell ref="D34:K34"/>
    <mergeCell ref="D35:K35"/>
    <mergeCell ref="D36:K36"/>
    <mergeCell ref="D37:K37"/>
    <mergeCell ref="D38:K38"/>
    <mergeCell ref="D63:K63"/>
    <mergeCell ref="D64:K64"/>
    <mergeCell ref="D65:K65"/>
    <mergeCell ref="D66:K66"/>
    <mergeCell ref="D67:K67"/>
    <mergeCell ref="D68:K68"/>
    <mergeCell ref="D57:K57"/>
    <mergeCell ref="D58:K58"/>
    <mergeCell ref="D59:K59"/>
    <mergeCell ref="D60:K60"/>
    <mergeCell ref="D61:K61"/>
    <mergeCell ref="D62:K62"/>
    <mergeCell ref="D51:K51"/>
    <mergeCell ref="D52:K52"/>
    <mergeCell ref="D53:K53"/>
    <mergeCell ref="D54:K54"/>
    <mergeCell ref="D55:K55"/>
    <mergeCell ref="D56:K56"/>
    <mergeCell ref="D81:K81"/>
    <mergeCell ref="D82:K82"/>
    <mergeCell ref="D83:K83"/>
    <mergeCell ref="D84:K84"/>
    <mergeCell ref="D85:K85"/>
    <mergeCell ref="D86:K86"/>
    <mergeCell ref="D75:K75"/>
    <mergeCell ref="D76:K76"/>
    <mergeCell ref="D77:K77"/>
    <mergeCell ref="D78:K78"/>
    <mergeCell ref="D79:K79"/>
    <mergeCell ref="D80:K80"/>
    <mergeCell ref="D69:K69"/>
    <mergeCell ref="D70:K70"/>
    <mergeCell ref="D71:K71"/>
    <mergeCell ref="D72:K72"/>
    <mergeCell ref="D73:K73"/>
    <mergeCell ref="D74:K74"/>
    <mergeCell ref="D99:K99"/>
    <mergeCell ref="D100:K100"/>
    <mergeCell ref="D101:K101"/>
    <mergeCell ref="D102:K102"/>
    <mergeCell ref="D103:K103"/>
    <mergeCell ref="D104:K104"/>
    <mergeCell ref="D93:K93"/>
    <mergeCell ref="D94:K94"/>
    <mergeCell ref="D95:K95"/>
    <mergeCell ref="D96:K96"/>
    <mergeCell ref="D97:K97"/>
    <mergeCell ref="D98:K98"/>
    <mergeCell ref="D87:K87"/>
    <mergeCell ref="D88:K88"/>
    <mergeCell ref="D89:K89"/>
    <mergeCell ref="D90:K90"/>
    <mergeCell ref="D91:K91"/>
    <mergeCell ref="D92:K92"/>
    <mergeCell ref="D117:K117"/>
    <mergeCell ref="D118:K118"/>
    <mergeCell ref="D119:K119"/>
    <mergeCell ref="D120:K120"/>
    <mergeCell ref="D121:K121"/>
    <mergeCell ref="D122:K122"/>
    <mergeCell ref="D111:K111"/>
    <mergeCell ref="D112:K112"/>
    <mergeCell ref="D113:K113"/>
    <mergeCell ref="D114:K114"/>
    <mergeCell ref="D115:K115"/>
    <mergeCell ref="D116:K116"/>
    <mergeCell ref="D105:K105"/>
    <mergeCell ref="D106:K106"/>
    <mergeCell ref="D107:K107"/>
    <mergeCell ref="D108:K108"/>
    <mergeCell ref="D109:K109"/>
    <mergeCell ref="D110:K110"/>
    <mergeCell ref="D135:K135"/>
    <mergeCell ref="D136:K136"/>
    <mergeCell ref="D137:K137"/>
    <mergeCell ref="D138:K138"/>
    <mergeCell ref="D139:K139"/>
    <mergeCell ref="D140:K140"/>
    <mergeCell ref="D129:K129"/>
    <mergeCell ref="D130:K130"/>
    <mergeCell ref="D131:K131"/>
    <mergeCell ref="D132:K132"/>
    <mergeCell ref="D133:K133"/>
    <mergeCell ref="D134:K134"/>
    <mergeCell ref="D123:K123"/>
    <mergeCell ref="D124:K124"/>
    <mergeCell ref="D125:K125"/>
    <mergeCell ref="D126:K126"/>
    <mergeCell ref="D127:K127"/>
    <mergeCell ref="D128:K128"/>
    <mergeCell ref="D153:K153"/>
    <mergeCell ref="D154:K154"/>
    <mergeCell ref="D155:K155"/>
    <mergeCell ref="D156:K156"/>
    <mergeCell ref="D157:K157"/>
    <mergeCell ref="D158:K158"/>
    <mergeCell ref="D147:K147"/>
    <mergeCell ref="D148:K148"/>
    <mergeCell ref="D149:K149"/>
    <mergeCell ref="D150:K150"/>
    <mergeCell ref="D151:K151"/>
    <mergeCell ref="D152:K152"/>
    <mergeCell ref="D141:K141"/>
    <mergeCell ref="D142:K142"/>
    <mergeCell ref="D143:K143"/>
    <mergeCell ref="D144:K144"/>
    <mergeCell ref="D145:K145"/>
    <mergeCell ref="D146:K146"/>
    <mergeCell ref="D171:K171"/>
    <mergeCell ref="D172:K172"/>
    <mergeCell ref="D173:K173"/>
    <mergeCell ref="D174:K174"/>
    <mergeCell ref="D175:K175"/>
    <mergeCell ref="D176:K176"/>
    <mergeCell ref="D165:K165"/>
    <mergeCell ref="D166:K166"/>
    <mergeCell ref="D167:K167"/>
    <mergeCell ref="D168:K168"/>
    <mergeCell ref="D169:K169"/>
    <mergeCell ref="D170:K170"/>
    <mergeCell ref="D159:K159"/>
    <mergeCell ref="D160:K160"/>
    <mergeCell ref="D161:K161"/>
    <mergeCell ref="D162:K162"/>
    <mergeCell ref="D163:K163"/>
    <mergeCell ref="D164:K164"/>
    <mergeCell ref="D189:K189"/>
    <mergeCell ref="D190:K190"/>
    <mergeCell ref="D191:K191"/>
    <mergeCell ref="D192:K192"/>
    <mergeCell ref="D193:K193"/>
    <mergeCell ref="D194:K194"/>
    <mergeCell ref="D183:K183"/>
    <mergeCell ref="D184:K184"/>
    <mergeCell ref="D185:K185"/>
    <mergeCell ref="D186:K186"/>
    <mergeCell ref="D187:K187"/>
    <mergeCell ref="D188:K188"/>
    <mergeCell ref="D177:K177"/>
    <mergeCell ref="D178:K178"/>
    <mergeCell ref="D179:K179"/>
    <mergeCell ref="D180:K180"/>
    <mergeCell ref="D181:K181"/>
    <mergeCell ref="D182:K182"/>
    <mergeCell ref="D207:K207"/>
    <mergeCell ref="D208:K208"/>
    <mergeCell ref="D209:K209"/>
    <mergeCell ref="D210:K210"/>
    <mergeCell ref="D211:K211"/>
    <mergeCell ref="D212:K212"/>
    <mergeCell ref="D201:K201"/>
    <mergeCell ref="D202:K202"/>
    <mergeCell ref="D203:K203"/>
    <mergeCell ref="D204:K204"/>
    <mergeCell ref="D205:K205"/>
    <mergeCell ref="D206:K206"/>
    <mergeCell ref="D195:K195"/>
    <mergeCell ref="D196:K196"/>
    <mergeCell ref="D197:K197"/>
    <mergeCell ref="D198:K198"/>
    <mergeCell ref="D199:K199"/>
    <mergeCell ref="D200:K200"/>
    <mergeCell ref="D225:K225"/>
    <mergeCell ref="D226:K226"/>
    <mergeCell ref="D227:K227"/>
    <mergeCell ref="D228:K228"/>
    <mergeCell ref="D229:K229"/>
    <mergeCell ref="D230:K230"/>
    <mergeCell ref="D219:K219"/>
    <mergeCell ref="D220:K220"/>
    <mergeCell ref="D221:K221"/>
    <mergeCell ref="D222:K222"/>
    <mergeCell ref="D223:K223"/>
    <mergeCell ref="D224:K224"/>
    <mergeCell ref="D213:K213"/>
    <mergeCell ref="D214:K214"/>
    <mergeCell ref="D215:K215"/>
    <mergeCell ref="D216:K216"/>
    <mergeCell ref="D217:K217"/>
    <mergeCell ref="D218:K218"/>
    <mergeCell ref="D243:K243"/>
    <mergeCell ref="D244:K244"/>
    <mergeCell ref="D245:K245"/>
    <mergeCell ref="D246:K246"/>
    <mergeCell ref="D247:K247"/>
    <mergeCell ref="D248:K248"/>
    <mergeCell ref="D237:K237"/>
    <mergeCell ref="D238:K238"/>
    <mergeCell ref="D239:K239"/>
    <mergeCell ref="D240:K240"/>
    <mergeCell ref="D241:K241"/>
    <mergeCell ref="D242:K242"/>
    <mergeCell ref="D231:K231"/>
    <mergeCell ref="D232:K232"/>
    <mergeCell ref="D233:K233"/>
    <mergeCell ref="D234:K234"/>
    <mergeCell ref="D235:K235"/>
    <mergeCell ref="D236:K236"/>
    <mergeCell ref="D261:K261"/>
    <mergeCell ref="D262:K262"/>
    <mergeCell ref="D263:K263"/>
    <mergeCell ref="D264:K264"/>
    <mergeCell ref="D265:K265"/>
    <mergeCell ref="D266:K266"/>
    <mergeCell ref="D255:K255"/>
    <mergeCell ref="D256:K256"/>
    <mergeCell ref="D257:K257"/>
    <mergeCell ref="D258:K258"/>
    <mergeCell ref="D259:K259"/>
    <mergeCell ref="D260:K260"/>
    <mergeCell ref="D249:K249"/>
    <mergeCell ref="D250:K250"/>
    <mergeCell ref="D251:K251"/>
    <mergeCell ref="D252:K252"/>
    <mergeCell ref="D253:K253"/>
    <mergeCell ref="D254:K254"/>
    <mergeCell ref="D279:K279"/>
    <mergeCell ref="D280:K280"/>
    <mergeCell ref="D281:K281"/>
    <mergeCell ref="D282:K282"/>
    <mergeCell ref="D283:K283"/>
    <mergeCell ref="D284:K284"/>
    <mergeCell ref="D273:K273"/>
    <mergeCell ref="D274:K274"/>
    <mergeCell ref="D275:K275"/>
    <mergeCell ref="D276:K276"/>
    <mergeCell ref="D277:K277"/>
    <mergeCell ref="D278:K278"/>
    <mergeCell ref="D267:K267"/>
    <mergeCell ref="D268:K268"/>
    <mergeCell ref="D269:K269"/>
    <mergeCell ref="D270:K270"/>
    <mergeCell ref="D271:K271"/>
    <mergeCell ref="D272:K272"/>
    <mergeCell ref="D297:K297"/>
    <mergeCell ref="D298:K298"/>
    <mergeCell ref="D299:K299"/>
    <mergeCell ref="D300:K300"/>
    <mergeCell ref="D301:K301"/>
    <mergeCell ref="D302:K302"/>
    <mergeCell ref="D291:K291"/>
    <mergeCell ref="D292:K292"/>
    <mergeCell ref="D293:K293"/>
    <mergeCell ref="D294:K294"/>
    <mergeCell ref="D295:K295"/>
    <mergeCell ref="D296:K296"/>
    <mergeCell ref="D285:K285"/>
    <mergeCell ref="D286:K286"/>
    <mergeCell ref="D287:K287"/>
    <mergeCell ref="D288:K288"/>
    <mergeCell ref="D289:K289"/>
    <mergeCell ref="D290:K290"/>
    <mergeCell ref="D315:K315"/>
    <mergeCell ref="D316:K316"/>
    <mergeCell ref="D317:K317"/>
    <mergeCell ref="D318:K318"/>
    <mergeCell ref="D319:K319"/>
    <mergeCell ref="D320:K320"/>
    <mergeCell ref="D309:K309"/>
    <mergeCell ref="D310:K310"/>
    <mergeCell ref="D311:K311"/>
    <mergeCell ref="D312:K312"/>
    <mergeCell ref="D313:K313"/>
    <mergeCell ref="D314:K314"/>
    <mergeCell ref="D303:K303"/>
    <mergeCell ref="D304:K304"/>
    <mergeCell ref="D305:K305"/>
    <mergeCell ref="D306:K306"/>
    <mergeCell ref="D307:K307"/>
    <mergeCell ref="D308:K308"/>
    <mergeCell ref="D333:K333"/>
    <mergeCell ref="D334:K334"/>
    <mergeCell ref="D335:K335"/>
    <mergeCell ref="D336:K336"/>
    <mergeCell ref="D337:K337"/>
    <mergeCell ref="D338:K338"/>
    <mergeCell ref="D327:K327"/>
    <mergeCell ref="D328:K328"/>
    <mergeCell ref="D329:K329"/>
    <mergeCell ref="D330:K330"/>
    <mergeCell ref="D331:K331"/>
    <mergeCell ref="D332:K332"/>
    <mergeCell ref="D321:K321"/>
    <mergeCell ref="D322:K322"/>
    <mergeCell ref="D323:K323"/>
    <mergeCell ref="D324:K324"/>
    <mergeCell ref="D325:K325"/>
    <mergeCell ref="D326:K326"/>
    <mergeCell ref="D351:K351"/>
    <mergeCell ref="D352:K352"/>
    <mergeCell ref="D353:K353"/>
    <mergeCell ref="D354:K354"/>
    <mergeCell ref="D355:K355"/>
    <mergeCell ref="D356:K356"/>
    <mergeCell ref="D345:K345"/>
    <mergeCell ref="D346:K346"/>
    <mergeCell ref="D347:K347"/>
    <mergeCell ref="D348:K348"/>
    <mergeCell ref="D349:K349"/>
    <mergeCell ref="D350:K350"/>
    <mergeCell ref="D339:K339"/>
    <mergeCell ref="D340:K340"/>
    <mergeCell ref="D341:K341"/>
    <mergeCell ref="D342:K342"/>
    <mergeCell ref="D343:K343"/>
    <mergeCell ref="D344:K344"/>
    <mergeCell ref="D369:K369"/>
    <mergeCell ref="D370:K370"/>
    <mergeCell ref="D371:K371"/>
    <mergeCell ref="D372:K372"/>
    <mergeCell ref="D373:K373"/>
    <mergeCell ref="D374:K374"/>
    <mergeCell ref="D363:K363"/>
    <mergeCell ref="D364:K364"/>
    <mergeCell ref="D365:K365"/>
    <mergeCell ref="D366:K366"/>
    <mergeCell ref="D367:K367"/>
    <mergeCell ref="D368:K368"/>
    <mergeCell ref="D357:K357"/>
    <mergeCell ref="D358:K358"/>
    <mergeCell ref="D359:K359"/>
    <mergeCell ref="D360:K360"/>
    <mergeCell ref="D361:K361"/>
    <mergeCell ref="D362:K362"/>
    <mergeCell ref="D387:K387"/>
    <mergeCell ref="D388:K388"/>
    <mergeCell ref="D389:K389"/>
    <mergeCell ref="D390:K390"/>
    <mergeCell ref="D391:K391"/>
    <mergeCell ref="D392:K392"/>
    <mergeCell ref="D381:K381"/>
    <mergeCell ref="D382:K382"/>
    <mergeCell ref="D383:K383"/>
    <mergeCell ref="D384:K384"/>
    <mergeCell ref="D385:K385"/>
    <mergeCell ref="D386:K386"/>
    <mergeCell ref="D375:K375"/>
    <mergeCell ref="D376:K376"/>
    <mergeCell ref="D377:K377"/>
    <mergeCell ref="D378:K378"/>
    <mergeCell ref="D379:K379"/>
    <mergeCell ref="D380:K380"/>
    <mergeCell ref="D405:K405"/>
    <mergeCell ref="D406:K406"/>
    <mergeCell ref="D407:K407"/>
    <mergeCell ref="D408:K408"/>
    <mergeCell ref="D409:K409"/>
    <mergeCell ref="D410:K410"/>
    <mergeCell ref="D399:K399"/>
    <mergeCell ref="D400:K400"/>
    <mergeCell ref="D401:K401"/>
    <mergeCell ref="D402:K402"/>
    <mergeCell ref="D403:K403"/>
    <mergeCell ref="D404:K404"/>
    <mergeCell ref="D393:K393"/>
    <mergeCell ref="D394:K394"/>
    <mergeCell ref="D395:K395"/>
    <mergeCell ref="D396:K396"/>
    <mergeCell ref="D397:K397"/>
    <mergeCell ref="D398:K398"/>
    <mergeCell ref="D423:K423"/>
    <mergeCell ref="D424:K424"/>
    <mergeCell ref="D425:K425"/>
    <mergeCell ref="D426:K426"/>
    <mergeCell ref="D427:K427"/>
    <mergeCell ref="D428:K428"/>
    <mergeCell ref="D417:K417"/>
    <mergeCell ref="D418:K418"/>
    <mergeCell ref="D419:K419"/>
    <mergeCell ref="D420:K420"/>
    <mergeCell ref="D421:K421"/>
    <mergeCell ref="D422:K422"/>
    <mergeCell ref="D411:K411"/>
    <mergeCell ref="D412:K412"/>
    <mergeCell ref="D413:K413"/>
    <mergeCell ref="D414:K414"/>
    <mergeCell ref="D415:K415"/>
    <mergeCell ref="D416:K416"/>
    <mergeCell ref="D441:K441"/>
    <mergeCell ref="D442:K442"/>
    <mergeCell ref="D443:K443"/>
    <mergeCell ref="D444:K444"/>
    <mergeCell ref="D445:K445"/>
    <mergeCell ref="D446:K446"/>
    <mergeCell ref="D435:K435"/>
    <mergeCell ref="D436:K436"/>
    <mergeCell ref="D437:K437"/>
    <mergeCell ref="D438:K438"/>
    <mergeCell ref="D439:K439"/>
    <mergeCell ref="D440:K440"/>
    <mergeCell ref="D429:K429"/>
    <mergeCell ref="D430:K430"/>
    <mergeCell ref="D431:K431"/>
    <mergeCell ref="D432:K432"/>
    <mergeCell ref="D433:K433"/>
    <mergeCell ref="D434:K434"/>
    <mergeCell ref="D459:K459"/>
    <mergeCell ref="D460:K460"/>
    <mergeCell ref="D461:K461"/>
    <mergeCell ref="D462:K462"/>
    <mergeCell ref="D463:K463"/>
    <mergeCell ref="D464:K464"/>
    <mergeCell ref="D453:K453"/>
    <mergeCell ref="D454:K454"/>
    <mergeCell ref="D455:K455"/>
    <mergeCell ref="D456:K456"/>
    <mergeCell ref="D457:K457"/>
    <mergeCell ref="D458:K458"/>
    <mergeCell ref="D447:K447"/>
    <mergeCell ref="D448:K448"/>
    <mergeCell ref="D449:K449"/>
    <mergeCell ref="D450:K450"/>
    <mergeCell ref="D451:K451"/>
    <mergeCell ref="D452:K452"/>
    <mergeCell ref="D477:K477"/>
    <mergeCell ref="D478:K478"/>
    <mergeCell ref="D479:K479"/>
    <mergeCell ref="D480:K480"/>
    <mergeCell ref="D481:K481"/>
    <mergeCell ref="D482:K482"/>
    <mergeCell ref="D471:K471"/>
    <mergeCell ref="D472:K472"/>
    <mergeCell ref="D473:K473"/>
    <mergeCell ref="D474:K474"/>
    <mergeCell ref="D475:K475"/>
    <mergeCell ref="D476:K476"/>
    <mergeCell ref="D465:K465"/>
    <mergeCell ref="D466:K466"/>
    <mergeCell ref="D467:K467"/>
    <mergeCell ref="D468:K468"/>
    <mergeCell ref="D469:K469"/>
    <mergeCell ref="D470:K470"/>
    <mergeCell ref="D495:K495"/>
    <mergeCell ref="D496:K496"/>
    <mergeCell ref="D497:K497"/>
    <mergeCell ref="D498:K498"/>
    <mergeCell ref="D499:K499"/>
    <mergeCell ref="D500:K500"/>
    <mergeCell ref="D489:K489"/>
    <mergeCell ref="D490:K490"/>
    <mergeCell ref="D491:K491"/>
    <mergeCell ref="D492:K492"/>
    <mergeCell ref="D493:K493"/>
    <mergeCell ref="D494:K494"/>
    <mergeCell ref="D483:K483"/>
    <mergeCell ref="D484:K484"/>
    <mergeCell ref="D485:K485"/>
    <mergeCell ref="D486:K486"/>
    <mergeCell ref="D487:K487"/>
    <mergeCell ref="D488:K488"/>
  </mergeCells>
  <pageMargins left="0.7" right="0.7" top="0.75" bottom="0.75" header="0.3" footer="0.3"/>
  <pageSetup scale="68" orientation="landscape" r:id="rId1"/>
  <headerFooter>
    <oddFooter>&amp;LRevised 2/28/19&amp;C&amp;A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BE502"/>
  <sheetViews>
    <sheetView zoomScale="80" zoomScaleNormal="80" workbookViewId="0">
      <pane ySplit="9" topLeftCell="A14" activePane="bottomLeft" state="frozen"/>
      <selection pane="bottomLeft" activeCell="AB14" sqref="AB14:AB18"/>
    </sheetView>
  </sheetViews>
  <sheetFormatPr defaultRowHeight="15" x14ac:dyDescent="0.25"/>
  <cols>
    <col min="1" max="9" width="5.7109375" customWidth="1"/>
    <col min="10" max="11" width="6.28515625" customWidth="1"/>
    <col min="12" max="25" width="6.7109375" customWidth="1"/>
    <col min="26" max="26" width="9.7109375" customWidth="1"/>
    <col min="27" max="27" width="30.42578125" customWidth="1"/>
    <col min="28" max="28" width="36.140625" customWidth="1"/>
    <col min="29" max="29" width="26.140625" customWidth="1"/>
    <col min="30" max="30" width="23.5703125" customWidth="1"/>
    <col min="31" max="31" width="14.140625" customWidth="1"/>
    <col min="32" max="32" width="15" customWidth="1"/>
    <col min="33" max="33" width="14.28515625" customWidth="1"/>
    <col min="34" max="34" width="12.5703125" customWidth="1"/>
    <col min="35" max="40" width="5.7109375" customWidth="1"/>
    <col min="50" max="50" width="6" customWidth="1"/>
    <col min="51" max="51" width="9.140625" hidden="1" customWidth="1"/>
    <col min="52" max="52" width="6.28515625" hidden="1" customWidth="1"/>
    <col min="53" max="53" width="9.140625" hidden="1" customWidth="1"/>
    <col min="54" max="54" width="6.85546875" hidden="1" customWidth="1"/>
    <col min="55" max="55" width="8.7109375" hidden="1" customWidth="1"/>
    <col min="56" max="56" width="9.140625" hidden="1" customWidth="1"/>
    <col min="57" max="57" width="10.85546875" hidden="1" customWidth="1"/>
    <col min="58" max="58" width="40.7109375" customWidth="1"/>
    <col min="59" max="59" width="60.7109375" customWidth="1"/>
  </cols>
  <sheetData>
    <row r="1" spans="1:28" ht="18.75" customHeight="1" x14ac:dyDescent="0.25">
      <c r="A1" s="451" t="s">
        <v>106</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3"/>
    </row>
    <row r="2" spans="1:28" x14ac:dyDescent="0.25">
      <c r="A2" s="454"/>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6"/>
    </row>
    <row r="3" spans="1:28" x14ac:dyDescent="0.25">
      <c r="A3" s="366" t="s">
        <v>107</v>
      </c>
      <c r="B3" s="367"/>
      <c r="C3" s="367"/>
      <c r="D3" s="367"/>
      <c r="E3" s="367"/>
      <c r="F3" s="368"/>
      <c r="G3" s="436" t="str">
        <f>Setup!G3</f>
        <v>Expanded School Mental Health</v>
      </c>
      <c r="H3" s="437"/>
      <c r="I3" s="437"/>
      <c r="J3" s="437"/>
      <c r="K3" s="437"/>
      <c r="L3" s="437"/>
      <c r="M3" s="437"/>
      <c r="N3" s="437"/>
      <c r="O3" s="437"/>
      <c r="P3" s="438"/>
      <c r="Q3" s="203"/>
      <c r="R3" s="366" t="s">
        <v>109</v>
      </c>
      <c r="S3" s="367"/>
      <c r="T3" s="368"/>
      <c r="U3" s="439">
        <f>Setup!U3</f>
        <v>0</v>
      </c>
      <c r="V3" s="439"/>
      <c r="W3" s="439"/>
      <c r="X3" s="439"/>
      <c r="Y3" s="439"/>
      <c r="Z3" s="439"/>
      <c r="AA3" s="439"/>
      <c r="AB3" s="439"/>
    </row>
    <row r="4" spans="1:28" x14ac:dyDescent="0.25">
      <c r="A4" s="366" t="s">
        <v>110</v>
      </c>
      <c r="B4" s="367"/>
      <c r="C4" s="367"/>
      <c r="D4" s="367"/>
      <c r="E4" s="367"/>
      <c r="F4" s="368"/>
      <c r="G4" s="440">
        <f>Setup!G4</f>
        <v>0</v>
      </c>
      <c r="H4" s="441"/>
      <c r="I4" s="441"/>
      <c r="J4" s="441"/>
      <c r="K4" s="441"/>
      <c r="L4" s="441"/>
      <c r="M4" s="441"/>
      <c r="N4" s="441"/>
      <c r="O4" s="441"/>
      <c r="P4" s="442"/>
      <c r="Q4" s="203"/>
      <c r="R4" s="366" t="s">
        <v>114</v>
      </c>
      <c r="S4" s="367"/>
      <c r="T4" s="368"/>
      <c r="U4" s="440">
        <f>Setup!U6</f>
        <v>0</v>
      </c>
      <c r="V4" s="441"/>
      <c r="W4" s="441"/>
      <c r="X4" s="441"/>
      <c r="Y4" s="441"/>
      <c r="Z4" s="441"/>
      <c r="AA4" s="441"/>
      <c r="AB4" s="442"/>
    </row>
    <row r="5" spans="1:28" ht="30" customHeight="1" x14ac:dyDescent="0.25">
      <c r="A5" s="355" t="s">
        <v>115</v>
      </c>
      <c r="B5" s="356"/>
      <c r="C5" s="356"/>
      <c r="D5" s="356"/>
      <c r="E5" s="356"/>
      <c r="F5" s="357"/>
      <c r="G5" s="420">
        <f>Setup!G7</f>
        <v>0</v>
      </c>
      <c r="H5" s="421"/>
      <c r="I5" s="421"/>
      <c r="J5" s="421"/>
      <c r="K5" s="422"/>
      <c r="L5" s="420">
        <f>Setup!L7</f>
        <v>0</v>
      </c>
      <c r="M5" s="421"/>
      <c r="N5" s="421"/>
      <c r="O5" s="421"/>
      <c r="P5" s="422"/>
      <c r="Q5" s="203"/>
      <c r="R5" s="343" t="s">
        <v>118</v>
      </c>
      <c r="S5" s="344"/>
      <c r="T5" s="345"/>
      <c r="U5" s="426">
        <f>Setup!U7</f>
        <v>0</v>
      </c>
      <c r="V5" s="427"/>
      <c r="W5" s="427"/>
      <c r="X5" s="427"/>
      <c r="Y5" s="427"/>
      <c r="Z5" s="427"/>
      <c r="AA5" s="427"/>
      <c r="AB5" s="428"/>
    </row>
    <row r="6" spans="1:28" ht="18.75" customHeight="1" x14ac:dyDescent="0.25">
      <c r="A6" s="352" t="s">
        <v>119</v>
      </c>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4"/>
    </row>
    <row r="7" spans="1:28" ht="18.75" x14ac:dyDescent="0.3">
      <c r="A7" s="462" t="s">
        <v>61</v>
      </c>
      <c r="B7" s="463"/>
      <c r="C7" s="463"/>
      <c r="D7" s="463"/>
      <c r="E7" s="463"/>
      <c r="F7" s="463"/>
      <c r="G7" s="463"/>
      <c r="H7" s="463"/>
      <c r="I7" s="463"/>
      <c r="J7" s="463"/>
      <c r="K7" s="463"/>
      <c r="L7" s="463"/>
      <c r="M7" s="463"/>
      <c r="N7" s="463"/>
      <c r="O7" s="463"/>
      <c r="P7" s="463"/>
      <c r="Q7" s="463"/>
      <c r="R7" s="463"/>
      <c r="S7" s="463"/>
      <c r="T7" s="463"/>
      <c r="U7" s="463"/>
      <c r="V7" s="463"/>
      <c r="W7" s="463"/>
      <c r="X7" s="463"/>
      <c r="Y7" s="463"/>
      <c r="Z7" s="463"/>
      <c r="AA7" s="463"/>
      <c r="AB7" s="464"/>
    </row>
    <row r="8" spans="1:28" ht="15.75" x14ac:dyDescent="0.25">
      <c r="A8" s="457" t="s">
        <v>187</v>
      </c>
      <c r="B8" s="458"/>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9"/>
    </row>
    <row r="9" spans="1:28" ht="30" x14ac:dyDescent="0.25">
      <c r="A9" s="460" t="s">
        <v>178</v>
      </c>
      <c r="B9" s="460"/>
      <c r="C9" s="460"/>
      <c r="D9" s="461" t="s">
        <v>179</v>
      </c>
      <c r="E9" s="461"/>
      <c r="F9" s="461"/>
      <c r="G9" s="461"/>
      <c r="H9" s="461"/>
      <c r="I9" s="461"/>
      <c r="J9" s="461"/>
      <c r="K9" s="461"/>
      <c r="L9" s="204" t="s">
        <v>180</v>
      </c>
      <c r="M9" s="205" t="s">
        <v>181</v>
      </c>
      <c r="N9" s="204">
        <v>1</v>
      </c>
      <c r="O9" s="205">
        <v>2</v>
      </c>
      <c r="P9" s="204">
        <v>3</v>
      </c>
      <c r="Q9" s="205">
        <v>4</v>
      </c>
      <c r="R9" s="204">
        <v>5</v>
      </c>
      <c r="S9" s="205">
        <v>6</v>
      </c>
      <c r="T9" s="204">
        <v>7</v>
      </c>
      <c r="U9" s="205">
        <v>8</v>
      </c>
      <c r="V9" s="204">
        <v>9</v>
      </c>
      <c r="W9" s="205">
        <v>10</v>
      </c>
      <c r="X9" s="204">
        <v>11</v>
      </c>
      <c r="Y9" s="205">
        <v>12</v>
      </c>
      <c r="Z9" s="206" t="s">
        <v>182</v>
      </c>
      <c r="AA9" s="207" t="s">
        <v>183</v>
      </c>
      <c r="AB9" s="208" t="s">
        <v>184</v>
      </c>
    </row>
    <row r="10" spans="1:28" x14ac:dyDescent="0.25">
      <c r="A10" s="449"/>
      <c r="B10" s="449"/>
      <c r="C10" s="449"/>
      <c r="D10" s="330" t="s">
        <v>185</v>
      </c>
      <c r="E10" s="330"/>
      <c r="F10" s="330"/>
      <c r="G10" s="330"/>
      <c r="H10" s="330"/>
      <c r="I10" s="330"/>
      <c r="J10" s="330"/>
      <c r="K10" s="330"/>
      <c r="L10" s="81"/>
      <c r="M10" s="78"/>
      <c r="N10" s="81"/>
      <c r="O10" s="78"/>
      <c r="P10" s="81"/>
      <c r="Q10" s="78"/>
      <c r="R10" s="81"/>
      <c r="S10" s="78"/>
      <c r="T10" s="81"/>
      <c r="U10" s="78"/>
      <c r="V10" s="81"/>
      <c r="W10" s="78"/>
      <c r="X10" s="81"/>
      <c r="Y10" s="78"/>
      <c r="Z10" s="209">
        <f>SUM(L10:Y10)</f>
        <v>0</v>
      </c>
      <c r="AA10" s="61"/>
      <c r="AB10" s="61"/>
    </row>
    <row r="11" spans="1:28" x14ac:dyDescent="0.25">
      <c r="A11" s="443"/>
      <c r="B11" s="443"/>
      <c r="C11" s="443"/>
      <c r="D11" s="330" t="s">
        <v>186</v>
      </c>
      <c r="E11" s="330"/>
      <c r="F11" s="330"/>
      <c r="G11" s="330"/>
      <c r="H11" s="330"/>
      <c r="I11" s="330"/>
      <c r="J11" s="330"/>
      <c r="K11" s="330"/>
      <c r="L11" s="82"/>
      <c r="M11" s="80"/>
      <c r="N11" s="82"/>
      <c r="O11" s="80"/>
      <c r="P11" s="82"/>
      <c r="Q11" s="80"/>
      <c r="R11" s="82"/>
      <c r="S11" s="80"/>
      <c r="T11" s="82"/>
      <c r="U11" s="80"/>
      <c r="V11" s="82"/>
      <c r="W11" s="80"/>
      <c r="X11" s="82"/>
      <c r="Y11" s="80"/>
      <c r="Z11" s="210">
        <f t="shared" ref="Z11:Z74" si="0">SUM(L11:Y11)</f>
        <v>0</v>
      </c>
      <c r="AA11" s="60"/>
      <c r="AB11" s="60"/>
    </row>
    <row r="12" spans="1:28" x14ac:dyDescent="0.25">
      <c r="A12" s="443"/>
      <c r="B12" s="443"/>
      <c r="C12" s="443"/>
      <c r="D12" s="330" t="s">
        <v>188</v>
      </c>
      <c r="E12" s="330"/>
      <c r="F12" s="330"/>
      <c r="G12" s="330"/>
      <c r="H12" s="330"/>
      <c r="I12" s="330"/>
      <c r="J12" s="330"/>
      <c r="K12" s="330"/>
      <c r="L12" s="82"/>
      <c r="M12" s="80"/>
      <c r="N12" s="82"/>
      <c r="O12" s="80"/>
      <c r="P12" s="82"/>
      <c r="Q12" s="80"/>
      <c r="R12" s="82"/>
      <c r="S12" s="80"/>
      <c r="T12" s="82"/>
      <c r="U12" s="80"/>
      <c r="V12" s="82"/>
      <c r="W12" s="80"/>
      <c r="X12" s="82"/>
      <c r="Y12" s="80"/>
      <c r="Z12" s="210">
        <f t="shared" si="0"/>
        <v>0</v>
      </c>
      <c r="AA12" s="60"/>
      <c r="AB12" s="60"/>
    </row>
    <row r="13" spans="1:28" x14ac:dyDescent="0.25">
      <c r="A13" s="443"/>
      <c r="B13" s="443"/>
      <c r="C13" s="443"/>
      <c r="D13" s="330" t="s">
        <v>189</v>
      </c>
      <c r="E13" s="330"/>
      <c r="F13" s="330"/>
      <c r="G13" s="330"/>
      <c r="H13" s="330"/>
      <c r="I13" s="330"/>
      <c r="J13" s="330"/>
      <c r="K13" s="330"/>
      <c r="L13" s="82"/>
      <c r="M13" s="80"/>
      <c r="N13" s="82"/>
      <c r="O13" s="80"/>
      <c r="P13" s="82"/>
      <c r="Q13" s="80"/>
      <c r="R13" s="82"/>
      <c r="S13" s="80"/>
      <c r="T13" s="82"/>
      <c r="U13" s="80"/>
      <c r="V13" s="82"/>
      <c r="W13" s="80"/>
      <c r="X13" s="82"/>
      <c r="Y13" s="80"/>
      <c r="Z13" s="210">
        <f t="shared" si="0"/>
        <v>0</v>
      </c>
      <c r="AA13" s="60"/>
      <c r="AB13" s="60"/>
    </row>
    <row r="14" spans="1:28" x14ac:dyDescent="0.25">
      <c r="A14" s="443"/>
      <c r="B14" s="443"/>
      <c r="C14" s="443"/>
      <c r="D14" s="330"/>
      <c r="E14" s="330"/>
      <c r="F14" s="330"/>
      <c r="G14" s="330"/>
      <c r="H14" s="330"/>
      <c r="I14" s="330"/>
      <c r="J14" s="330"/>
      <c r="K14" s="330"/>
      <c r="L14" s="82"/>
      <c r="M14" s="80"/>
      <c r="N14" s="82"/>
      <c r="O14" s="80"/>
      <c r="P14" s="82"/>
      <c r="Q14" s="80"/>
      <c r="R14" s="82"/>
      <c r="S14" s="80"/>
      <c r="T14" s="82"/>
      <c r="U14" s="80"/>
      <c r="V14" s="82"/>
      <c r="W14" s="80"/>
      <c r="X14" s="82"/>
      <c r="Y14" s="80"/>
      <c r="Z14" s="210">
        <f t="shared" si="0"/>
        <v>0</v>
      </c>
      <c r="AA14" s="60"/>
      <c r="AB14" s="60"/>
    </row>
    <row r="15" spans="1:28" x14ac:dyDescent="0.25">
      <c r="A15" s="443"/>
      <c r="B15" s="443"/>
      <c r="C15" s="443"/>
      <c r="D15" s="330"/>
      <c r="E15" s="330"/>
      <c r="F15" s="330"/>
      <c r="G15" s="330"/>
      <c r="H15" s="330"/>
      <c r="I15" s="330"/>
      <c r="J15" s="330"/>
      <c r="K15" s="330"/>
      <c r="L15" s="82"/>
      <c r="M15" s="80"/>
      <c r="N15" s="82"/>
      <c r="O15" s="80"/>
      <c r="P15" s="82"/>
      <c r="Q15" s="80"/>
      <c r="R15" s="82"/>
      <c r="S15" s="80"/>
      <c r="T15" s="82"/>
      <c r="U15" s="80"/>
      <c r="V15" s="82"/>
      <c r="W15" s="80"/>
      <c r="X15" s="82"/>
      <c r="Y15" s="80"/>
      <c r="Z15" s="210">
        <f t="shared" si="0"/>
        <v>0</v>
      </c>
      <c r="AA15" s="60"/>
      <c r="AB15" s="60"/>
    </row>
    <row r="16" spans="1:28" x14ac:dyDescent="0.25">
      <c r="A16" s="443"/>
      <c r="B16" s="443"/>
      <c r="C16" s="443"/>
      <c r="D16" s="330"/>
      <c r="E16" s="330"/>
      <c r="F16" s="330"/>
      <c r="G16" s="330"/>
      <c r="H16" s="330"/>
      <c r="I16" s="330"/>
      <c r="J16" s="330"/>
      <c r="K16" s="330"/>
      <c r="L16" s="82"/>
      <c r="M16" s="80"/>
      <c r="N16" s="82"/>
      <c r="O16" s="80"/>
      <c r="P16" s="82"/>
      <c r="Q16" s="80"/>
      <c r="R16" s="82"/>
      <c r="S16" s="80"/>
      <c r="T16" s="82"/>
      <c r="U16" s="80"/>
      <c r="V16" s="82"/>
      <c r="W16" s="80"/>
      <c r="X16" s="82"/>
      <c r="Y16" s="80"/>
      <c r="Z16" s="210">
        <f t="shared" si="0"/>
        <v>0</v>
      </c>
      <c r="AA16" s="60"/>
      <c r="AB16" s="60"/>
    </row>
    <row r="17" spans="1:28" x14ac:dyDescent="0.25">
      <c r="A17" s="443"/>
      <c r="B17" s="443"/>
      <c r="C17" s="443"/>
      <c r="D17" s="330"/>
      <c r="E17" s="330"/>
      <c r="F17" s="330"/>
      <c r="G17" s="330"/>
      <c r="H17" s="330"/>
      <c r="I17" s="330"/>
      <c r="J17" s="330"/>
      <c r="K17" s="330"/>
      <c r="L17" s="82"/>
      <c r="M17" s="80"/>
      <c r="N17" s="82"/>
      <c r="O17" s="80"/>
      <c r="P17" s="82"/>
      <c r="Q17" s="80"/>
      <c r="R17" s="82"/>
      <c r="S17" s="80"/>
      <c r="T17" s="82"/>
      <c r="U17" s="80"/>
      <c r="V17" s="82"/>
      <c r="W17" s="80"/>
      <c r="X17" s="82"/>
      <c r="Y17" s="80"/>
      <c r="Z17" s="210">
        <f t="shared" si="0"/>
        <v>0</v>
      </c>
      <c r="AA17" s="60"/>
      <c r="AB17" s="60"/>
    </row>
    <row r="18" spans="1:28" x14ac:dyDescent="0.25">
      <c r="A18" s="443"/>
      <c r="B18" s="443"/>
      <c r="C18" s="443"/>
      <c r="D18" s="330"/>
      <c r="E18" s="330"/>
      <c r="F18" s="330"/>
      <c r="G18" s="330"/>
      <c r="H18" s="330"/>
      <c r="I18" s="330"/>
      <c r="J18" s="330"/>
      <c r="K18" s="330"/>
      <c r="L18" s="82"/>
      <c r="M18" s="80"/>
      <c r="N18" s="82"/>
      <c r="O18" s="80"/>
      <c r="P18" s="82"/>
      <c r="Q18" s="80"/>
      <c r="R18" s="82"/>
      <c r="S18" s="80"/>
      <c r="T18" s="82"/>
      <c r="U18" s="80"/>
      <c r="V18" s="82"/>
      <c r="W18" s="80"/>
      <c r="X18" s="82"/>
      <c r="Y18" s="80"/>
      <c r="Z18" s="210">
        <f t="shared" si="0"/>
        <v>0</v>
      </c>
      <c r="AA18" s="60"/>
      <c r="AB18" s="60"/>
    </row>
    <row r="19" spans="1:28" x14ac:dyDescent="0.25">
      <c r="A19" s="443"/>
      <c r="B19" s="443"/>
      <c r="C19" s="443"/>
      <c r="D19" s="330"/>
      <c r="E19" s="330"/>
      <c r="F19" s="330"/>
      <c r="G19" s="330"/>
      <c r="H19" s="330"/>
      <c r="I19" s="330"/>
      <c r="J19" s="330"/>
      <c r="K19" s="330"/>
      <c r="L19" s="82"/>
      <c r="M19" s="80"/>
      <c r="N19" s="82"/>
      <c r="O19" s="80"/>
      <c r="P19" s="82"/>
      <c r="Q19" s="80"/>
      <c r="R19" s="82"/>
      <c r="S19" s="80"/>
      <c r="T19" s="82"/>
      <c r="U19" s="80"/>
      <c r="V19" s="82"/>
      <c r="W19" s="80"/>
      <c r="X19" s="82"/>
      <c r="Y19" s="80"/>
      <c r="Z19" s="210">
        <f t="shared" si="0"/>
        <v>0</v>
      </c>
      <c r="AA19" s="60"/>
      <c r="AB19" s="60"/>
    </row>
    <row r="20" spans="1:28" x14ac:dyDescent="0.25">
      <c r="A20" s="443"/>
      <c r="B20" s="443"/>
      <c r="C20" s="443"/>
      <c r="D20" s="330"/>
      <c r="E20" s="330"/>
      <c r="F20" s="330"/>
      <c r="G20" s="330"/>
      <c r="H20" s="330"/>
      <c r="I20" s="330"/>
      <c r="J20" s="330"/>
      <c r="K20" s="330"/>
      <c r="L20" s="82"/>
      <c r="M20" s="80"/>
      <c r="N20" s="82"/>
      <c r="O20" s="80"/>
      <c r="P20" s="82"/>
      <c r="Q20" s="80"/>
      <c r="R20" s="82"/>
      <c r="S20" s="80"/>
      <c r="T20" s="82"/>
      <c r="U20" s="80"/>
      <c r="V20" s="82"/>
      <c r="W20" s="80"/>
      <c r="X20" s="82"/>
      <c r="Y20" s="80"/>
      <c r="Z20" s="210">
        <f t="shared" si="0"/>
        <v>0</v>
      </c>
      <c r="AA20" s="60"/>
      <c r="AB20" s="60"/>
    </row>
    <row r="21" spans="1:28" x14ac:dyDescent="0.25">
      <c r="A21" s="443"/>
      <c r="B21" s="443"/>
      <c r="C21" s="443"/>
      <c r="D21" s="330"/>
      <c r="E21" s="330"/>
      <c r="F21" s="330"/>
      <c r="G21" s="330"/>
      <c r="H21" s="330"/>
      <c r="I21" s="330"/>
      <c r="J21" s="330"/>
      <c r="K21" s="330"/>
      <c r="L21" s="82"/>
      <c r="M21" s="80"/>
      <c r="N21" s="82"/>
      <c r="O21" s="80"/>
      <c r="P21" s="82"/>
      <c r="Q21" s="80"/>
      <c r="R21" s="82"/>
      <c r="S21" s="80"/>
      <c r="T21" s="82"/>
      <c r="U21" s="80"/>
      <c r="V21" s="82"/>
      <c r="W21" s="80"/>
      <c r="X21" s="82"/>
      <c r="Y21" s="80"/>
      <c r="Z21" s="210">
        <f t="shared" si="0"/>
        <v>0</v>
      </c>
      <c r="AA21" s="60"/>
      <c r="AB21" s="60"/>
    </row>
    <row r="22" spans="1:28" x14ac:dyDescent="0.25">
      <c r="A22" s="443"/>
      <c r="B22" s="443"/>
      <c r="C22" s="443"/>
      <c r="D22" s="330"/>
      <c r="E22" s="330"/>
      <c r="F22" s="330"/>
      <c r="G22" s="330"/>
      <c r="H22" s="330"/>
      <c r="I22" s="330"/>
      <c r="J22" s="330"/>
      <c r="K22" s="330"/>
      <c r="L22" s="82"/>
      <c r="M22" s="80"/>
      <c r="N22" s="82"/>
      <c r="O22" s="80"/>
      <c r="P22" s="82"/>
      <c r="Q22" s="80"/>
      <c r="R22" s="82"/>
      <c r="S22" s="80"/>
      <c r="T22" s="82"/>
      <c r="U22" s="80"/>
      <c r="V22" s="82"/>
      <c r="W22" s="80"/>
      <c r="X22" s="82"/>
      <c r="Y22" s="80"/>
      <c r="Z22" s="210">
        <f t="shared" si="0"/>
        <v>0</v>
      </c>
      <c r="AA22" s="60"/>
      <c r="AB22" s="60"/>
    </row>
    <row r="23" spans="1:28" x14ac:dyDescent="0.25">
      <c r="A23" s="443"/>
      <c r="B23" s="443"/>
      <c r="C23" s="443"/>
      <c r="D23" s="330"/>
      <c r="E23" s="330"/>
      <c r="F23" s="330"/>
      <c r="G23" s="330"/>
      <c r="H23" s="330"/>
      <c r="I23" s="330"/>
      <c r="J23" s="330"/>
      <c r="K23" s="330"/>
      <c r="L23" s="82"/>
      <c r="M23" s="80"/>
      <c r="N23" s="82"/>
      <c r="O23" s="80"/>
      <c r="P23" s="82"/>
      <c r="Q23" s="80"/>
      <c r="R23" s="82"/>
      <c r="S23" s="80"/>
      <c r="T23" s="82"/>
      <c r="U23" s="80"/>
      <c r="V23" s="82"/>
      <c r="W23" s="80"/>
      <c r="X23" s="82"/>
      <c r="Y23" s="80"/>
      <c r="Z23" s="210">
        <f t="shared" si="0"/>
        <v>0</v>
      </c>
      <c r="AA23" s="60"/>
      <c r="AB23" s="60"/>
    </row>
    <row r="24" spans="1:28" x14ac:dyDescent="0.25">
      <c r="A24" s="443"/>
      <c r="B24" s="443"/>
      <c r="C24" s="443"/>
      <c r="D24" s="330"/>
      <c r="E24" s="330"/>
      <c r="F24" s="330"/>
      <c r="G24" s="330"/>
      <c r="H24" s="330"/>
      <c r="I24" s="330"/>
      <c r="J24" s="330"/>
      <c r="K24" s="330"/>
      <c r="L24" s="82"/>
      <c r="M24" s="80"/>
      <c r="N24" s="82"/>
      <c r="O24" s="80"/>
      <c r="P24" s="82"/>
      <c r="Q24" s="80"/>
      <c r="R24" s="82"/>
      <c r="S24" s="80"/>
      <c r="T24" s="82"/>
      <c r="U24" s="80"/>
      <c r="V24" s="82"/>
      <c r="W24" s="80"/>
      <c r="X24" s="82"/>
      <c r="Y24" s="80"/>
      <c r="Z24" s="210">
        <f t="shared" si="0"/>
        <v>0</v>
      </c>
      <c r="AA24" s="60"/>
      <c r="AB24" s="60"/>
    </row>
    <row r="25" spans="1:28" x14ac:dyDescent="0.25">
      <c r="A25" s="443"/>
      <c r="B25" s="443"/>
      <c r="C25" s="443"/>
      <c r="D25" s="330"/>
      <c r="E25" s="330"/>
      <c r="F25" s="330"/>
      <c r="G25" s="330"/>
      <c r="H25" s="330"/>
      <c r="I25" s="330"/>
      <c r="J25" s="330"/>
      <c r="K25" s="330"/>
      <c r="L25" s="82"/>
      <c r="M25" s="80"/>
      <c r="N25" s="82"/>
      <c r="O25" s="80"/>
      <c r="P25" s="82"/>
      <c r="Q25" s="80"/>
      <c r="R25" s="82"/>
      <c r="S25" s="80"/>
      <c r="T25" s="82"/>
      <c r="U25" s="80"/>
      <c r="V25" s="82"/>
      <c r="W25" s="80"/>
      <c r="X25" s="82"/>
      <c r="Y25" s="80"/>
      <c r="Z25" s="210">
        <f t="shared" si="0"/>
        <v>0</v>
      </c>
      <c r="AA25" s="60"/>
      <c r="AB25" s="60"/>
    </row>
    <row r="26" spans="1:28" x14ac:dyDescent="0.25">
      <c r="A26" s="443"/>
      <c r="B26" s="443"/>
      <c r="C26" s="443"/>
      <c r="D26" s="330"/>
      <c r="E26" s="330"/>
      <c r="F26" s="330"/>
      <c r="G26" s="330"/>
      <c r="H26" s="330"/>
      <c r="I26" s="330"/>
      <c r="J26" s="330"/>
      <c r="K26" s="330"/>
      <c r="L26" s="82"/>
      <c r="M26" s="80"/>
      <c r="N26" s="82"/>
      <c r="O26" s="80"/>
      <c r="P26" s="82"/>
      <c r="Q26" s="80"/>
      <c r="R26" s="82"/>
      <c r="S26" s="80"/>
      <c r="T26" s="82"/>
      <c r="U26" s="80"/>
      <c r="V26" s="82"/>
      <c r="W26" s="80"/>
      <c r="X26" s="82"/>
      <c r="Y26" s="80"/>
      <c r="Z26" s="210">
        <f t="shared" si="0"/>
        <v>0</v>
      </c>
      <c r="AA26" s="60"/>
      <c r="AB26" s="60"/>
    </row>
    <row r="27" spans="1:28" x14ac:dyDescent="0.25">
      <c r="A27" s="443"/>
      <c r="B27" s="443"/>
      <c r="C27" s="443"/>
      <c r="D27" s="330"/>
      <c r="E27" s="330"/>
      <c r="F27" s="330"/>
      <c r="G27" s="330"/>
      <c r="H27" s="330"/>
      <c r="I27" s="330"/>
      <c r="J27" s="330"/>
      <c r="K27" s="330"/>
      <c r="L27" s="82"/>
      <c r="M27" s="80"/>
      <c r="N27" s="82"/>
      <c r="O27" s="80"/>
      <c r="P27" s="82"/>
      <c r="Q27" s="80"/>
      <c r="R27" s="82"/>
      <c r="S27" s="80"/>
      <c r="T27" s="82"/>
      <c r="U27" s="80"/>
      <c r="V27" s="82"/>
      <c r="W27" s="80"/>
      <c r="X27" s="82"/>
      <c r="Y27" s="80"/>
      <c r="Z27" s="210">
        <f t="shared" si="0"/>
        <v>0</v>
      </c>
      <c r="AA27" s="60"/>
      <c r="AB27" s="60"/>
    </row>
    <row r="28" spans="1:28" x14ac:dyDescent="0.25">
      <c r="A28" s="443"/>
      <c r="B28" s="443"/>
      <c r="C28" s="443"/>
      <c r="D28" s="330"/>
      <c r="E28" s="330"/>
      <c r="F28" s="330"/>
      <c r="G28" s="330"/>
      <c r="H28" s="330"/>
      <c r="I28" s="330"/>
      <c r="J28" s="330"/>
      <c r="K28" s="330"/>
      <c r="L28" s="82"/>
      <c r="M28" s="80"/>
      <c r="N28" s="82"/>
      <c r="O28" s="80"/>
      <c r="P28" s="82"/>
      <c r="Q28" s="80"/>
      <c r="R28" s="82"/>
      <c r="S28" s="80"/>
      <c r="T28" s="82"/>
      <c r="U28" s="80"/>
      <c r="V28" s="82"/>
      <c r="W28" s="80"/>
      <c r="X28" s="82"/>
      <c r="Y28" s="80"/>
      <c r="Z28" s="210">
        <f t="shared" si="0"/>
        <v>0</v>
      </c>
      <c r="AA28" s="60"/>
      <c r="AB28" s="60"/>
    </row>
    <row r="29" spans="1:28" x14ac:dyDescent="0.25">
      <c r="A29" s="443"/>
      <c r="B29" s="443"/>
      <c r="C29" s="443"/>
      <c r="D29" s="330"/>
      <c r="E29" s="330"/>
      <c r="F29" s="330"/>
      <c r="G29" s="330"/>
      <c r="H29" s="330"/>
      <c r="I29" s="330"/>
      <c r="J29" s="330"/>
      <c r="K29" s="330"/>
      <c r="L29" s="82"/>
      <c r="M29" s="80"/>
      <c r="N29" s="82"/>
      <c r="O29" s="80"/>
      <c r="P29" s="82"/>
      <c r="Q29" s="80"/>
      <c r="R29" s="82"/>
      <c r="S29" s="80"/>
      <c r="T29" s="82"/>
      <c r="U29" s="80"/>
      <c r="V29" s="82"/>
      <c r="W29" s="80"/>
      <c r="X29" s="82"/>
      <c r="Y29" s="80"/>
      <c r="Z29" s="210">
        <f t="shared" si="0"/>
        <v>0</v>
      </c>
      <c r="AA29" s="60"/>
      <c r="AB29" s="60"/>
    </row>
    <row r="30" spans="1:28" x14ac:dyDescent="0.25">
      <c r="A30" s="443"/>
      <c r="B30" s="443"/>
      <c r="C30" s="443"/>
      <c r="D30" s="330"/>
      <c r="E30" s="330"/>
      <c r="F30" s="330"/>
      <c r="G30" s="330"/>
      <c r="H30" s="330"/>
      <c r="I30" s="330"/>
      <c r="J30" s="330"/>
      <c r="K30" s="330"/>
      <c r="L30" s="82"/>
      <c r="M30" s="80"/>
      <c r="N30" s="82"/>
      <c r="O30" s="80"/>
      <c r="P30" s="82"/>
      <c r="Q30" s="80"/>
      <c r="R30" s="82"/>
      <c r="S30" s="80"/>
      <c r="T30" s="82"/>
      <c r="U30" s="80"/>
      <c r="V30" s="82"/>
      <c r="W30" s="80"/>
      <c r="X30" s="82"/>
      <c r="Y30" s="80"/>
      <c r="Z30" s="210">
        <f t="shared" si="0"/>
        <v>0</v>
      </c>
      <c r="AA30" s="60"/>
      <c r="AB30" s="60"/>
    </row>
    <row r="31" spans="1:28" x14ac:dyDescent="0.25">
      <c r="A31" s="443"/>
      <c r="B31" s="443"/>
      <c r="C31" s="443"/>
      <c r="D31" s="330"/>
      <c r="E31" s="330"/>
      <c r="F31" s="330"/>
      <c r="G31" s="330"/>
      <c r="H31" s="330"/>
      <c r="I31" s="330"/>
      <c r="J31" s="330"/>
      <c r="K31" s="330"/>
      <c r="L31" s="82"/>
      <c r="M31" s="80"/>
      <c r="N31" s="82"/>
      <c r="O31" s="80"/>
      <c r="P31" s="82"/>
      <c r="Q31" s="80"/>
      <c r="R31" s="82"/>
      <c r="S31" s="80"/>
      <c r="T31" s="82"/>
      <c r="U31" s="80"/>
      <c r="V31" s="82"/>
      <c r="W31" s="80"/>
      <c r="X31" s="82"/>
      <c r="Y31" s="80"/>
      <c r="Z31" s="210">
        <f t="shared" si="0"/>
        <v>0</v>
      </c>
      <c r="AA31" s="60"/>
      <c r="AB31" s="60"/>
    </row>
    <row r="32" spans="1:28" x14ac:dyDescent="0.25">
      <c r="A32" s="443"/>
      <c r="B32" s="443"/>
      <c r="C32" s="443"/>
      <c r="D32" s="330"/>
      <c r="E32" s="330"/>
      <c r="F32" s="330"/>
      <c r="G32" s="330"/>
      <c r="H32" s="330"/>
      <c r="I32" s="330"/>
      <c r="J32" s="330"/>
      <c r="K32" s="330"/>
      <c r="L32" s="82"/>
      <c r="M32" s="80"/>
      <c r="N32" s="82"/>
      <c r="O32" s="80"/>
      <c r="P32" s="82"/>
      <c r="Q32" s="80"/>
      <c r="R32" s="82"/>
      <c r="S32" s="80"/>
      <c r="T32" s="82"/>
      <c r="U32" s="80"/>
      <c r="V32" s="82"/>
      <c r="W32" s="80"/>
      <c r="X32" s="82"/>
      <c r="Y32" s="80"/>
      <c r="Z32" s="210">
        <f t="shared" si="0"/>
        <v>0</v>
      </c>
      <c r="AA32" s="60"/>
      <c r="AB32" s="60"/>
    </row>
    <row r="33" spans="1:28" x14ac:dyDescent="0.25">
      <c r="A33" s="443"/>
      <c r="B33" s="443"/>
      <c r="C33" s="443"/>
      <c r="D33" s="330"/>
      <c r="E33" s="330"/>
      <c r="F33" s="330"/>
      <c r="G33" s="330"/>
      <c r="H33" s="330"/>
      <c r="I33" s="330"/>
      <c r="J33" s="330"/>
      <c r="K33" s="330"/>
      <c r="L33" s="82"/>
      <c r="M33" s="80"/>
      <c r="N33" s="82"/>
      <c r="O33" s="80"/>
      <c r="P33" s="82"/>
      <c r="Q33" s="80"/>
      <c r="R33" s="82"/>
      <c r="S33" s="80"/>
      <c r="T33" s="82"/>
      <c r="U33" s="80"/>
      <c r="V33" s="82"/>
      <c r="W33" s="80"/>
      <c r="X33" s="82"/>
      <c r="Y33" s="80"/>
      <c r="Z33" s="210">
        <f t="shared" si="0"/>
        <v>0</v>
      </c>
      <c r="AA33" s="60"/>
      <c r="AB33" s="60"/>
    </row>
    <row r="34" spans="1:28" x14ac:dyDescent="0.25">
      <c r="A34" s="443"/>
      <c r="B34" s="443"/>
      <c r="C34" s="443"/>
      <c r="D34" s="330"/>
      <c r="E34" s="330"/>
      <c r="F34" s="330"/>
      <c r="G34" s="330"/>
      <c r="H34" s="330"/>
      <c r="I34" s="330"/>
      <c r="J34" s="330"/>
      <c r="K34" s="330"/>
      <c r="L34" s="82"/>
      <c r="M34" s="80"/>
      <c r="N34" s="82"/>
      <c r="O34" s="80"/>
      <c r="P34" s="82"/>
      <c r="Q34" s="80"/>
      <c r="R34" s="82"/>
      <c r="S34" s="80"/>
      <c r="T34" s="82"/>
      <c r="U34" s="80"/>
      <c r="V34" s="82"/>
      <c r="W34" s="80"/>
      <c r="X34" s="82"/>
      <c r="Y34" s="80"/>
      <c r="Z34" s="210">
        <f t="shared" si="0"/>
        <v>0</v>
      </c>
      <c r="AA34" s="60"/>
      <c r="AB34" s="60"/>
    </row>
    <row r="35" spans="1:28" x14ac:dyDescent="0.25">
      <c r="A35" s="443"/>
      <c r="B35" s="443"/>
      <c r="C35" s="443"/>
      <c r="D35" s="330"/>
      <c r="E35" s="330"/>
      <c r="F35" s="330"/>
      <c r="G35" s="330"/>
      <c r="H35" s="330"/>
      <c r="I35" s="330"/>
      <c r="J35" s="330"/>
      <c r="K35" s="330"/>
      <c r="L35" s="82"/>
      <c r="M35" s="80"/>
      <c r="N35" s="82"/>
      <c r="O35" s="80"/>
      <c r="P35" s="82"/>
      <c r="Q35" s="80"/>
      <c r="R35" s="82"/>
      <c r="S35" s="80"/>
      <c r="T35" s="82"/>
      <c r="U35" s="80"/>
      <c r="V35" s="82"/>
      <c r="W35" s="80"/>
      <c r="X35" s="82"/>
      <c r="Y35" s="80"/>
      <c r="Z35" s="210">
        <f t="shared" si="0"/>
        <v>0</v>
      </c>
      <c r="AA35" s="60"/>
      <c r="AB35" s="60"/>
    </row>
    <row r="36" spans="1:28" x14ac:dyDescent="0.25">
      <c r="A36" s="443"/>
      <c r="B36" s="443"/>
      <c r="C36" s="443"/>
      <c r="D36" s="330"/>
      <c r="E36" s="330"/>
      <c r="F36" s="330"/>
      <c r="G36" s="330"/>
      <c r="H36" s="330"/>
      <c r="I36" s="330"/>
      <c r="J36" s="330"/>
      <c r="K36" s="330"/>
      <c r="L36" s="82"/>
      <c r="M36" s="80"/>
      <c r="N36" s="82"/>
      <c r="O36" s="80"/>
      <c r="P36" s="82"/>
      <c r="Q36" s="80"/>
      <c r="R36" s="82"/>
      <c r="S36" s="80"/>
      <c r="T36" s="82"/>
      <c r="U36" s="80"/>
      <c r="V36" s="82"/>
      <c r="W36" s="80"/>
      <c r="X36" s="82"/>
      <c r="Y36" s="80"/>
      <c r="Z36" s="210">
        <f t="shared" si="0"/>
        <v>0</v>
      </c>
      <c r="AA36" s="60"/>
      <c r="AB36" s="60"/>
    </row>
    <row r="37" spans="1:28" x14ac:dyDescent="0.25">
      <c r="A37" s="443"/>
      <c r="B37" s="443"/>
      <c r="C37" s="443"/>
      <c r="D37" s="330"/>
      <c r="E37" s="330"/>
      <c r="F37" s="330"/>
      <c r="G37" s="330"/>
      <c r="H37" s="330"/>
      <c r="I37" s="330"/>
      <c r="J37" s="330"/>
      <c r="K37" s="330"/>
      <c r="L37" s="82"/>
      <c r="M37" s="80"/>
      <c r="N37" s="82"/>
      <c r="O37" s="80"/>
      <c r="P37" s="82"/>
      <c r="Q37" s="80"/>
      <c r="R37" s="82"/>
      <c r="S37" s="80"/>
      <c r="T37" s="82"/>
      <c r="U37" s="80"/>
      <c r="V37" s="82"/>
      <c r="W37" s="80"/>
      <c r="X37" s="82"/>
      <c r="Y37" s="80"/>
      <c r="Z37" s="210">
        <f t="shared" si="0"/>
        <v>0</v>
      </c>
      <c r="AA37" s="60"/>
      <c r="AB37" s="60"/>
    </row>
    <row r="38" spans="1:28" x14ac:dyDescent="0.25">
      <c r="A38" s="443"/>
      <c r="B38" s="443"/>
      <c r="C38" s="443"/>
      <c r="D38" s="330"/>
      <c r="E38" s="330"/>
      <c r="F38" s="330"/>
      <c r="G38" s="330"/>
      <c r="H38" s="330"/>
      <c r="I38" s="330"/>
      <c r="J38" s="330"/>
      <c r="K38" s="330"/>
      <c r="L38" s="82"/>
      <c r="M38" s="80"/>
      <c r="N38" s="82"/>
      <c r="O38" s="80"/>
      <c r="P38" s="82"/>
      <c r="Q38" s="80"/>
      <c r="R38" s="82"/>
      <c r="S38" s="80"/>
      <c r="T38" s="82"/>
      <c r="U38" s="80"/>
      <c r="V38" s="82"/>
      <c r="W38" s="80"/>
      <c r="X38" s="82"/>
      <c r="Y38" s="80"/>
      <c r="Z38" s="210">
        <f t="shared" si="0"/>
        <v>0</v>
      </c>
      <c r="AA38" s="60"/>
      <c r="AB38" s="60"/>
    </row>
    <row r="39" spans="1:28" x14ac:dyDescent="0.25">
      <c r="A39" s="443"/>
      <c r="B39" s="443"/>
      <c r="C39" s="443"/>
      <c r="D39" s="330"/>
      <c r="E39" s="330"/>
      <c r="F39" s="330"/>
      <c r="G39" s="330"/>
      <c r="H39" s="330"/>
      <c r="I39" s="330"/>
      <c r="J39" s="330"/>
      <c r="K39" s="330"/>
      <c r="L39" s="82"/>
      <c r="M39" s="80"/>
      <c r="N39" s="82"/>
      <c r="O39" s="80"/>
      <c r="P39" s="82"/>
      <c r="Q39" s="80"/>
      <c r="R39" s="82"/>
      <c r="S39" s="80"/>
      <c r="T39" s="82"/>
      <c r="U39" s="80"/>
      <c r="V39" s="82"/>
      <c r="W39" s="80"/>
      <c r="X39" s="82"/>
      <c r="Y39" s="80"/>
      <c r="Z39" s="210">
        <f t="shared" si="0"/>
        <v>0</v>
      </c>
      <c r="AA39" s="60"/>
      <c r="AB39" s="60"/>
    </row>
    <row r="40" spans="1:28" x14ac:dyDescent="0.25">
      <c r="A40" s="443"/>
      <c r="B40" s="443"/>
      <c r="C40" s="443"/>
      <c r="D40" s="330"/>
      <c r="E40" s="330"/>
      <c r="F40" s="330"/>
      <c r="G40" s="330"/>
      <c r="H40" s="330"/>
      <c r="I40" s="330"/>
      <c r="J40" s="330"/>
      <c r="K40" s="330"/>
      <c r="L40" s="82"/>
      <c r="M40" s="80"/>
      <c r="N40" s="82"/>
      <c r="O40" s="80"/>
      <c r="P40" s="82"/>
      <c r="Q40" s="80"/>
      <c r="R40" s="82"/>
      <c r="S40" s="80"/>
      <c r="T40" s="82"/>
      <c r="U40" s="80"/>
      <c r="V40" s="82"/>
      <c r="W40" s="80"/>
      <c r="X40" s="82"/>
      <c r="Y40" s="80"/>
      <c r="Z40" s="210">
        <f t="shared" si="0"/>
        <v>0</v>
      </c>
      <c r="AA40" s="60"/>
      <c r="AB40" s="60"/>
    </row>
    <row r="41" spans="1:28" x14ac:dyDescent="0.25">
      <c r="A41" s="443"/>
      <c r="B41" s="443"/>
      <c r="C41" s="443"/>
      <c r="D41" s="330"/>
      <c r="E41" s="330"/>
      <c r="F41" s="330"/>
      <c r="G41" s="330"/>
      <c r="H41" s="330"/>
      <c r="I41" s="330"/>
      <c r="J41" s="330"/>
      <c r="K41" s="330"/>
      <c r="L41" s="82"/>
      <c r="M41" s="80"/>
      <c r="N41" s="82"/>
      <c r="O41" s="80"/>
      <c r="P41" s="82"/>
      <c r="Q41" s="80"/>
      <c r="R41" s="82"/>
      <c r="S41" s="80"/>
      <c r="T41" s="82"/>
      <c r="U41" s="80"/>
      <c r="V41" s="82"/>
      <c r="W41" s="80"/>
      <c r="X41" s="82"/>
      <c r="Y41" s="80"/>
      <c r="Z41" s="210">
        <f t="shared" si="0"/>
        <v>0</v>
      </c>
      <c r="AA41" s="60"/>
      <c r="AB41" s="60"/>
    </row>
    <row r="42" spans="1:28" x14ac:dyDescent="0.25">
      <c r="A42" s="443"/>
      <c r="B42" s="443"/>
      <c r="C42" s="443"/>
      <c r="D42" s="330"/>
      <c r="E42" s="330"/>
      <c r="F42" s="330"/>
      <c r="G42" s="330"/>
      <c r="H42" s="330"/>
      <c r="I42" s="330"/>
      <c r="J42" s="330"/>
      <c r="K42" s="330"/>
      <c r="L42" s="82"/>
      <c r="M42" s="80"/>
      <c r="N42" s="82"/>
      <c r="O42" s="80"/>
      <c r="P42" s="82"/>
      <c r="Q42" s="80"/>
      <c r="R42" s="82"/>
      <c r="S42" s="80"/>
      <c r="T42" s="82"/>
      <c r="U42" s="80"/>
      <c r="V42" s="82"/>
      <c r="W42" s="80"/>
      <c r="X42" s="82"/>
      <c r="Y42" s="80"/>
      <c r="Z42" s="210">
        <f t="shared" si="0"/>
        <v>0</v>
      </c>
      <c r="AA42" s="60"/>
      <c r="AB42" s="60"/>
    </row>
    <row r="43" spans="1:28" x14ac:dyDescent="0.25">
      <c r="A43" s="443"/>
      <c r="B43" s="443"/>
      <c r="C43" s="443"/>
      <c r="D43" s="330"/>
      <c r="E43" s="330"/>
      <c r="F43" s="330"/>
      <c r="G43" s="330"/>
      <c r="H43" s="330"/>
      <c r="I43" s="330"/>
      <c r="J43" s="330"/>
      <c r="K43" s="330"/>
      <c r="L43" s="82"/>
      <c r="M43" s="80"/>
      <c r="N43" s="82"/>
      <c r="O43" s="80"/>
      <c r="P43" s="82"/>
      <c r="Q43" s="80"/>
      <c r="R43" s="82"/>
      <c r="S43" s="80"/>
      <c r="T43" s="82"/>
      <c r="U43" s="80"/>
      <c r="V43" s="82"/>
      <c r="W43" s="80"/>
      <c r="X43" s="82"/>
      <c r="Y43" s="80"/>
      <c r="Z43" s="210">
        <f t="shared" si="0"/>
        <v>0</v>
      </c>
      <c r="AA43" s="60"/>
      <c r="AB43" s="60"/>
    </row>
    <row r="44" spans="1:28" x14ac:dyDescent="0.25">
      <c r="A44" s="443"/>
      <c r="B44" s="443"/>
      <c r="C44" s="443"/>
      <c r="D44" s="330"/>
      <c r="E44" s="330"/>
      <c r="F44" s="330"/>
      <c r="G44" s="330"/>
      <c r="H44" s="330"/>
      <c r="I44" s="330"/>
      <c r="J44" s="330"/>
      <c r="K44" s="330"/>
      <c r="L44" s="82"/>
      <c r="M44" s="80"/>
      <c r="N44" s="82"/>
      <c r="O44" s="80"/>
      <c r="P44" s="82"/>
      <c r="Q44" s="80"/>
      <c r="R44" s="82"/>
      <c r="S44" s="80"/>
      <c r="T44" s="82"/>
      <c r="U44" s="80"/>
      <c r="V44" s="82"/>
      <c r="W44" s="80"/>
      <c r="X44" s="82"/>
      <c r="Y44" s="80"/>
      <c r="Z44" s="210">
        <f t="shared" si="0"/>
        <v>0</v>
      </c>
      <c r="AA44" s="60"/>
      <c r="AB44" s="60"/>
    </row>
    <row r="45" spans="1:28" x14ac:dyDescent="0.25">
      <c r="A45" s="443"/>
      <c r="B45" s="443"/>
      <c r="C45" s="443"/>
      <c r="D45" s="330"/>
      <c r="E45" s="330"/>
      <c r="F45" s="330"/>
      <c r="G45" s="330"/>
      <c r="H45" s="330"/>
      <c r="I45" s="330"/>
      <c r="J45" s="330"/>
      <c r="K45" s="330"/>
      <c r="L45" s="82"/>
      <c r="M45" s="80"/>
      <c r="N45" s="82"/>
      <c r="O45" s="80"/>
      <c r="P45" s="82"/>
      <c r="Q45" s="80"/>
      <c r="R45" s="82"/>
      <c r="S45" s="80"/>
      <c r="T45" s="82"/>
      <c r="U45" s="80"/>
      <c r="V45" s="82"/>
      <c r="W45" s="80"/>
      <c r="X45" s="82"/>
      <c r="Y45" s="80"/>
      <c r="Z45" s="210">
        <f t="shared" si="0"/>
        <v>0</v>
      </c>
      <c r="AA45" s="60"/>
      <c r="AB45" s="60"/>
    </row>
    <row r="46" spans="1:28" x14ac:dyDescent="0.25">
      <c r="A46" s="443"/>
      <c r="B46" s="443"/>
      <c r="C46" s="443"/>
      <c r="D46" s="330"/>
      <c r="E46" s="330"/>
      <c r="F46" s="330"/>
      <c r="G46" s="330"/>
      <c r="H46" s="330"/>
      <c r="I46" s="330"/>
      <c r="J46" s="330"/>
      <c r="K46" s="330"/>
      <c r="L46" s="82"/>
      <c r="M46" s="80"/>
      <c r="N46" s="82"/>
      <c r="O46" s="80"/>
      <c r="P46" s="82"/>
      <c r="Q46" s="80"/>
      <c r="R46" s="82"/>
      <c r="S46" s="80"/>
      <c r="T46" s="82"/>
      <c r="U46" s="80"/>
      <c r="V46" s="82"/>
      <c r="W46" s="80"/>
      <c r="X46" s="82"/>
      <c r="Y46" s="80"/>
      <c r="Z46" s="210">
        <f t="shared" si="0"/>
        <v>0</v>
      </c>
      <c r="AA46" s="60"/>
      <c r="AB46" s="60"/>
    </row>
    <row r="47" spans="1:28" x14ac:dyDescent="0.25">
      <c r="A47" s="443"/>
      <c r="B47" s="443"/>
      <c r="C47" s="443"/>
      <c r="D47" s="330"/>
      <c r="E47" s="330"/>
      <c r="F47" s="330"/>
      <c r="G47" s="330"/>
      <c r="H47" s="330"/>
      <c r="I47" s="330"/>
      <c r="J47" s="330"/>
      <c r="K47" s="330"/>
      <c r="L47" s="82"/>
      <c r="M47" s="80"/>
      <c r="N47" s="82"/>
      <c r="O47" s="80"/>
      <c r="P47" s="82"/>
      <c r="Q47" s="80"/>
      <c r="R47" s="82"/>
      <c r="S47" s="80"/>
      <c r="T47" s="82"/>
      <c r="U47" s="80"/>
      <c r="V47" s="82"/>
      <c r="W47" s="80"/>
      <c r="X47" s="82"/>
      <c r="Y47" s="80"/>
      <c r="Z47" s="210">
        <f t="shared" si="0"/>
        <v>0</v>
      </c>
      <c r="AA47" s="60"/>
      <c r="AB47" s="60"/>
    </row>
    <row r="48" spans="1:28" x14ac:dyDescent="0.25">
      <c r="A48" s="443"/>
      <c r="B48" s="443"/>
      <c r="C48" s="443"/>
      <c r="D48" s="330"/>
      <c r="E48" s="330"/>
      <c r="F48" s="330"/>
      <c r="G48" s="330"/>
      <c r="H48" s="330"/>
      <c r="I48" s="330"/>
      <c r="J48" s="330"/>
      <c r="K48" s="330"/>
      <c r="L48" s="82"/>
      <c r="M48" s="80"/>
      <c r="N48" s="82"/>
      <c r="O48" s="80"/>
      <c r="P48" s="82"/>
      <c r="Q48" s="80"/>
      <c r="R48" s="82"/>
      <c r="S48" s="80"/>
      <c r="T48" s="82"/>
      <c r="U48" s="80"/>
      <c r="V48" s="82"/>
      <c r="W48" s="80"/>
      <c r="X48" s="82"/>
      <c r="Y48" s="80"/>
      <c r="Z48" s="210">
        <f t="shared" si="0"/>
        <v>0</v>
      </c>
      <c r="AA48" s="60"/>
      <c r="AB48" s="60"/>
    </row>
    <row r="49" spans="1:28" x14ac:dyDescent="0.25">
      <c r="A49" s="443"/>
      <c r="B49" s="443"/>
      <c r="C49" s="443"/>
      <c r="D49" s="330"/>
      <c r="E49" s="330"/>
      <c r="F49" s="330"/>
      <c r="G49" s="330"/>
      <c r="H49" s="330"/>
      <c r="I49" s="330"/>
      <c r="J49" s="330"/>
      <c r="K49" s="330"/>
      <c r="L49" s="82"/>
      <c r="M49" s="80"/>
      <c r="N49" s="82"/>
      <c r="O49" s="80"/>
      <c r="P49" s="82"/>
      <c r="Q49" s="80"/>
      <c r="R49" s="82"/>
      <c r="S49" s="80"/>
      <c r="T49" s="82"/>
      <c r="U49" s="80"/>
      <c r="V49" s="82"/>
      <c r="W49" s="80"/>
      <c r="X49" s="82"/>
      <c r="Y49" s="80"/>
      <c r="Z49" s="210">
        <f t="shared" si="0"/>
        <v>0</v>
      </c>
      <c r="AA49" s="60"/>
      <c r="AB49" s="60"/>
    </row>
    <row r="50" spans="1:28" x14ac:dyDescent="0.25">
      <c r="A50" s="443"/>
      <c r="B50" s="443"/>
      <c r="C50" s="443"/>
      <c r="D50" s="330"/>
      <c r="E50" s="330"/>
      <c r="F50" s="330"/>
      <c r="G50" s="330"/>
      <c r="H50" s="330"/>
      <c r="I50" s="330"/>
      <c r="J50" s="330"/>
      <c r="K50" s="330"/>
      <c r="L50" s="82"/>
      <c r="M50" s="80"/>
      <c r="N50" s="82"/>
      <c r="O50" s="80"/>
      <c r="P50" s="82"/>
      <c r="Q50" s="80"/>
      <c r="R50" s="82"/>
      <c r="S50" s="80"/>
      <c r="T50" s="82"/>
      <c r="U50" s="80"/>
      <c r="V50" s="82"/>
      <c r="W50" s="80"/>
      <c r="X50" s="82"/>
      <c r="Y50" s="80"/>
      <c r="Z50" s="210">
        <f t="shared" si="0"/>
        <v>0</v>
      </c>
      <c r="AA50" s="60"/>
      <c r="AB50" s="60"/>
    </row>
    <row r="51" spans="1:28" x14ac:dyDescent="0.25">
      <c r="A51" s="443"/>
      <c r="B51" s="443"/>
      <c r="C51" s="443"/>
      <c r="D51" s="330"/>
      <c r="E51" s="330"/>
      <c r="F51" s="330"/>
      <c r="G51" s="330"/>
      <c r="H51" s="330"/>
      <c r="I51" s="330"/>
      <c r="J51" s="330"/>
      <c r="K51" s="330"/>
      <c r="L51" s="82"/>
      <c r="M51" s="80"/>
      <c r="N51" s="82"/>
      <c r="O51" s="80"/>
      <c r="P51" s="82"/>
      <c r="Q51" s="80"/>
      <c r="R51" s="82"/>
      <c r="S51" s="80"/>
      <c r="T51" s="82"/>
      <c r="U51" s="80"/>
      <c r="V51" s="82"/>
      <c r="W51" s="80"/>
      <c r="X51" s="82"/>
      <c r="Y51" s="80"/>
      <c r="Z51" s="210">
        <f t="shared" si="0"/>
        <v>0</v>
      </c>
      <c r="AA51" s="60"/>
      <c r="AB51" s="60"/>
    </row>
    <row r="52" spans="1:28" x14ac:dyDescent="0.25">
      <c r="A52" s="443"/>
      <c r="B52" s="443"/>
      <c r="C52" s="443"/>
      <c r="D52" s="330"/>
      <c r="E52" s="330"/>
      <c r="F52" s="330"/>
      <c r="G52" s="330"/>
      <c r="H52" s="330"/>
      <c r="I52" s="330"/>
      <c r="J52" s="330"/>
      <c r="K52" s="330"/>
      <c r="L52" s="82"/>
      <c r="M52" s="80"/>
      <c r="N52" s="82"/>
      <c r="O52" s="80"/>
      <c r="P52" s="82"/>
      <c r="Q52" s="80"/>
      <c r="R52" s="82"/>
      <c r="S52" s="80"/>
      <c r="T52" s="82"/>
      <c r="U52" s="80"/>
      <c r="V52" s="82"/>
      <c r="W52" s="80"/>
      <c r="X52" s="82"/>
      <c r="Y52" s="80"/>
      <c r="Z52" s="210">
        <f t="shared" si="0"/>
        <v>0</v>
      </c>
      <c r="AA52" s="60"/>
      <c r="AB52" s="60"/>
    </row>
    <row r="53" spans="1:28" x14ac:dyDescent="0.25">
      <c r="A53" s="443"/>
      <c r="B53" s="443"/>
      <c r="C53" s="443"/>
      <c r="D53" s="330"/>
      <c r="E53" s="330"/>
      <c r="F53" s="330"/>
      <c r="G53" s="330"/>
      <c r="H53" s="330"/>
      <c r="I53" s="330"/>
      <c r="J53" s="330"/>
      <c r="K53" s="330"/>
      <c r="L53" s="82"/>
      <c r="M53" s="80"/>
      <c r="N53" s="82"/>
      <c r="O53" s="80"/>
      <c r="P53" s="82"/>
      <c r="Q53" s="80"/>
      <c r="R53" s="82"/>
      <c r="S53" s="80"/>
      <c r="T53" s="82"/>
      <c r="U53" s="80"/>
      <c r="V53" s="82"/>
      <c r="W53" s="80"/>
      <c r="X53" s="82"/>
      <c r="Y53" s="80"/>
      <c r="Z53" s="210">
        <f t="shared" si="0"/>
        <v>0</v>
      </c>
      <c r="AA53" s="60"/>
      <c r="AB53" s="60"/>
    </row>
    <row r="54" spans="1:28" x14ac:dyDescent="0.25">
      <c r="A54" s="443"/>
      <c r="B54" s="443"/>
      <c r="C54" s="443"/>
      <c r="D54" s="330"/>
      <c r="E54" s="330"/>
      <c r="F54" s="330"/>
      <c r="G54" s="330"/>
      <c r="H54" s="330"/>
      <c r="I54" s="330"/>
      <c r="J54" s="330"/>
      <c r="K54" s="330"/>
      <c r="L54" s="82"/>
      <c r="M54" s="80"/>
      <c r="N54" s="82"/>
      <c r="O54" s="80"/>
      <c r="P54" s="82"/>
      <c r="Q54" s="80"/>
      <c r="R54" s="82"/>
      <c r="S54" s="80"/>
      <c r="T54" s="82"/>
      <c r="U54" s="80"/>
      <c r="V54" s="82"/>
      <c r="W54" s="80"/>
      <c r="X54" s="82"/>
      <c r="Y54" s="80"/>
      <c r="Z54" s="210">
        <f t="shared" si="0"/>
        <v>0</v>
      </c>
      <c r="AA54" s="60"/>
      <c r="AB54" s="60"/>
    </row>
    <row r="55" spans="1:28" x14ac:dyDescent="0.25">
      <c r="A55" s="443"/>
      <c r="B55" s="443"/>
      <c r="C55" s="443"/>
      <c r="D55" s="330"/>
      <c r="E55" s="330"/>
      <c r="F55" s="330"/>
      <c r="G55" s="330"/>
      <c r="H55" s="330"/>
      <c r="I55" s="330"/>
      <c r="J55" s="330"/>
      <c r="K55" s="330"/>
      <c r="L55" s="82"/>
      <c r="M55" s="80"/>
      <c r="N55" s="82"/>
      <c r="O55" s="80"/>
      <c r="P55" s="82"/>
      <c r="Q55" s="80"/>
      <c r="R55" s="82"/>
      <c r="S55" s="80"/>
      <c r="T55" s="82"/>
      <c r="U55" s="80"/>
      <c r="V55" s="82"/>
      <c r="W55" s="80"/>
      <c r="X55" s="82"/>
      <c r="Y55" s="80"/>
      <c r="Z55" s="210">
        <f t="shared" si="0"/>
        <v>0</v>
      </c>
      <c r="AA55" s="60"/>
      <c r="AB55" s="60"/>
    </row>
    <row r="56" spans="1:28" x14ac:dyDescent="0.25">
      <c r="A56" s="443"/>
      <c r="B56" s="443"/>
      <c r="C56" s="443"/>
      <c r="D56" s="330"/>
      <c r="E56" s="330"/>
      <c r="F56" s="330"/>
      <c r="G56" s="330"/>
      <c r="H56" s="330"/>
      <c r="I56" s="330"/>
      <c r="J56" s="330"/>
      <c r="K56" s="330"/>
      <c r="L56" s="82"/>
      <c r="M56" s="80"/>
      <c r="N56" s="82"/>
      <c r="O56" s="80"/>
      <c r="P56" s="82"/>
      <c r="Q56" s="80"/>
      <c r="R56" s="82"/>
      <c r="S56" s="80"/>
      <c r="T56" s="82"/>
      <c r="U56" s="80"/>
      <c r="V56" s="82"/>
      <c r="W56" s="80"/>
      <c r="X56" s="82"/>
      <c r="Y56" s="80"/>
      <c r="Z56" s="210">
        <f t="shared" si="0"/>
        <v>0</v>
      </c>
      <c r="AA56" s="60"/>
      <c r="AB56" s="60"/>
    </row>
    <row r="57" spans="1:28" x14ac:dyDescent="0.25">
      <c r="A57" s="443"/>
      <c r="B57" s="443"/>
      <c r="C57" s="443"/>
      <c r="D57" s="330"/>
      <c r="E57" s="330"/>
      <c r="F57" s="330"/>
      <c r="G57" s="330"/>
      <c r="H57" s="330"/>
      <c r="I57" s="330"/>
      <c r="J57" s="330"/>
      <c r="K57" s="330"/>
      <c r="L57" s="82"/>
      <c r="M57" s="80"/>
      <c r="N57" s="82"/>
      <c r="O57" s="80"/>
      <c r="P57" s="82"/>
      <c r="Q57" s="80"/>
      <c r="R57" s="82"/>
      <c r="S57" s="80"/>
      <c r="T57" s="82"/>
      <c r="U57" s="80"/>
      <c r="V57" s="82"/>
      <c r="W57" s="80"/>
      <c r="X57" s="82"/>
      <c r="Y57" s="80"/>
      <c r="Z57" s="210">
        <f t="shared" si="0"/>
        <v>0</v>
      </c>
      <c r="AA57" s="60"/>
      <c r="AB57" s="60"/>
    </row>
    <row r="58" spans="1:28" x14ac:dyDescent="0.25">
      <c r="A58" s="443"/>
      <c r="B58" s="443"/>
      <c r="C58" s="443"/>
      <c r="D58" s="330"/>
      <c r="E58" s="330"/>
      <c r="F58" s="330"/>
      <c r="G58" s="330"/>
      <c r="H58" s="330"/>
      <c r="I58" s="330"/>
      <c r="J58" s="330"/>
      <c r="K58" s="330"/>
      <c r="L58" s="82"/>
      <c r="M58" s="80"/>
      <c r="N58" s="82"/>
      <c r="O58" s="80"/>
      <c r="P58" s="82"/>
      <c r="Q58" s="80"/>
      <c r="R58" s="82"/>
      <c r="S58" s="80"/>
      <c r="T58" s="82"/>
      <c r="U58" s="80"/>
      <c r="V58" s="82"/>
      <c r="W58" s="80"/>
      <c r="X58" s="82"/>
      <c r="Y58" s="80"/>
      <c r="Z58" s="210">
        <f t="shared" si="0"/>
        <v>0</v>
      </c>
      <c r="AA58" s="60"/>
      <c r="AB58" s="60"/>
    </row>
    <row r="59" spans="1:28" x14ac:dyDescent="0.25">
      <c r="A59" s="443"/>
      <c r="B59" s="443"/>
      <c r="C59" s="443"/>
      <c r="D59" s="330"/>
      <c r="E59" s="330"/>
      <c r="F59" s="330"/>
      <c r="G59" s="330"/>
      <c r="H59" s="330"/>
      <c r="I59" s="330"/>
      <c r="J59" s="330"/>
      <c r="K59" s="330"/>
      <c r="L59" s="82"/>
      <c r="M59" s="80"/>
      <c r="N59" s="82"/>
      <c r="O59" s="80"/>
      <c r="P59" s="82"/>
      <c r="Q59" s="80"/>
      <c r="R59" s="82"/>
      <c r="S59" s="80"/>
      <c r="T59" s="82"/>
      <c r="U59" s="80"/>
      <c r="V59" s="82"/>
      <c r="W59" s="80"/>
      <c r="X59" s="82"/>
      <c r="Y59" s="80"/>
      <c r="Z59" s="210">
        <f t="shared" si="0"/>
        <v>0</v>
      </c>
      <c r="AA59" s="60"/>
      <c r="AB59" s="60"/>
    </row>
    <row r="60" spans="1:28" x14ac:dyDescent="0.25">
      <c r="A60" s="443"/>
      <c r="B60" s="443"/>
      <c r="C60" s="443"/>
      <c r="D60" s="330"/>
      <c r="E60" s="330"/>
      <c r="F60" s="330"/>
      <c r="G60" s="330"/>
      <c r="H60" s="330"/>
      <c r="I60" s="330"/>
      <c r="J60" s="330"/>
      <c r="K60" s="330"/>
      <c r="L60" s="82"/>
      <c r="M60" s="80"/>
      <c r="N60" s="82"/>
      <c r="O60" s="80"/>
      <c r="P60" s="82"/>
      <c r="Q60" s="80"/>
      <c r="R60" s="82"/>
      <c r="S60" s="80"/>
      <c r="T60" s="82"/>
      <c r="U60" s="80"/>
      <c r="V60" s="82"/>
      <c r="W60" s="80"/>
      <c r="X60" s="82"/>
      <c r="Y60" s="80"/>
      <c r="Z60" s="210">
        <f t="shared" si="0"/>
        <v>0</v>
      </c>
      <c r="AA60" s="60"/>
      <c r="AB60" s="60"/>
    </row>
    <row r="61" spans="1:28" x14ac:dyDescent="0.25">
      <c r="A61" s="443"/>
      <c r="B61" s="443"/>
      <c r="C61" s="443"/>
      <c r="D61" s="330"/>
      <c r="E61" s="330"/>
      <c r="F61" s="330"/>
      <c r="G61" s="330"/>
      <c r="H61" s="330"/>
      <c r="I61" s="330"/>
      <c r="J61" s="330"/>
      <c r="K61" s="330"/>
      <c r="L61" s="82"/>
      <c r="M61" s="80"/>
      <c r="N61" s="82"/>
      <c r="O61" s="80"/>
      <c r="P61" s="82"/>
      <c r="Q61" s="80"/>
      <c r="R61" s="82"/>
      <c r="S61" s="80"/>
      <c r="T61" s="82"/>
      <c r="U61" s="80"/>
      <c r="V61" s="82"/>
      <c r="W61" s="80"/>
      <c r="X61" s="82"/>
      <c r="Y61" s="80"/>
      <c r="Z61" s="210">
        <f t="shared" si="0"/>
        <v>0</v>
      </c>
      <c r="AA61" s="60"/>
      <c r="AB61" s="60"/>
    </row>
    <row r="62" spans="1:28" x14ac:dyDescent="0.25">
      <c r="A62" s="443"/>
      <c r="B62" s="443"/>
      <c r="C62" s="443"/>
      <c r="D62" s="330"/>
      <c r="E62" s="330"/>
      <c r="F62" s="330"/>
      <c r="G62" s="330"/>
      <c r="H62" s="330"/>
      <c r="I62" s="330"/>
      <c r="J62" s="330"/>
      <c r="K62" s="330"/>
      <c r="L62" s="82"/>
      <c r="M62" s="80"/>
      <c r="N62" s="82"/>
      <c r="O62" s="80"/>
      <c r="P62" s="82"/>
      <c r="Q62" s="80"/>
      <c r="R62" s="82"/>
      <c r="S62" s="80"/>
      <c r="T62" s="82"/>
      <c r="U62" s="80"/>
      <c r="V62" s="82"/>
      <c r="W62" s="80"/>
      <c r="X62" s="82"/>
      <c r="Y62" s="80"/>
      <c r="Z62" s="210">
        <f t="shared" si="0"/>
        <v>0</v>
      </c>
      <c r="AA62" s="60"/>
      <c r="AB62" s="60"/>
    </row>
    <row r="63" spans="1:28" x14ac:dyDescent="0.25">
      <c r="A63" s="443"/>
      <c r="B63" s="443"/>
      <c r="C63" s="443"/>
      <c r="D63" s="330"/>
      <c r="E63" s="330"/>
      <c r="F63" s="330"/>
      <c r="G63" s="330"/>
      <c r="H63" s="330"/>
      <c r="I63" s="330"/>
      <c r="J63" s="330"/>
      <c r="K63" s="330"/>
      <c r="L63" s="82"/>
      <c r="M63" s="80"/>
      <c r="N63" s="82"/>
      <c r="O63" s="80"/>
      <c r="P63" s="82"/>
      <c r="Q63" s="80"/>
      <c r="R63" s="82"/>
      <c r="S63" s="80"/>
      <c r="T63" s="82"/>
      <c r="U63" s="80"/>
      <c r="V63" s="82"/>
      <c r="W63" s="80"/>
      <c r="X63" s="82"/>
      <c r="Y63" s="80"/>
      <c r="Z63" s="210">
        <f t="shared" si="0"/>
        <v>0</v>
      </c>
      <c r="AA63" s="60"/>
      <c r="AB63" s="60"/>
    </row>
    <row r="64" spans="1:28" x14ac:dyDescent="0.25">
      <c r="A64" s="443"/>
      <c r="B64" s="443"/>
      <c r="C64" s="443"/>
      <c r="D64" s="330"/>
      <c r="E64" s="330"/>
      <c r="F64" s="330"/>
      <c r="G64" s="330"/>
      <c r="H64" s="330"/>
      <c r="I64" s="330"/>
      <c r="J64" s="330"/>
      <c r="K64" s="330"/>
      <c r="L64" s="82"/>
      <c r="M64" s="80"/>
      <c r="N64" s="82"/>
      <c r="O64" s="80"/>
      <c r="P64" s="82"/>
      <c r="Q64" s="80"/>
      <c r="R64" s="82"/>
      <c r="S64" s="80"/>
      <c r="T64" s="82"/>
      <c r="U64" s="80"/>
      <c r="V64" s="82"/>
      <c r="W64" s="80"/>
      <c r="X64" s="82"/>
      <c r="Y64" s="80"/>
      <c r="Z64" s="210">
        <f t="shared" si="0"/>
        <v>0</v>
      </c>
      <c r="AA64" s="60"/>
      <c r="AB64" s="60"/>
    </row>
    <row r="65" spans="1:28" x14ac:dyDescent="0.25">
      <c r="A65" s="443"/>
      <c r="B65" s="443"/>
      <c r="C65" s="443"/>
      <c r="D65" s="330"/>
      <c r="E65" s="330"/>
      <c r="F65" s="330"/>
      <c r="G65" s="330"/>
      <c r="H65" s="330"/>
      <c r="I65" s="330"/>
      <c r="J65" s="330"/>
      <c r="K65" s="330"/>
      <c r="L65" s="82"/>
      <c r="M65" s="80"/>
      <c r="N65" s="82"/>
      <c r="O65" s="80"/>
      <c r="P65" s="82"/>
      <c r="Q65" s="80"/>
      <c r="R65" s="82"/>
      <c r="S65" s="80"/>
      <c r="T65" s="82"/>
      <c r="U65" s="80"/>
      <c r="V65" s="82"/>
      <c r="W65" s="80"/>
      <c r="X65" s="82"/>
      <c r="Y65" s="80"/>
      <c r="Z65" s="210">
        <f t="shared" si="0"/>
        <v>0</v>
      </c>
      <c r="AA65" s="60"/>
      <c r="AB65" s="60"/>
    </row>
    <row r="66" spans="1:28" x14ac:dyDescent="0.25">
      <c r="A66" s="443"/>
      <c r="B66" s="443"/>
      <c r="C66" s="443"/>
      <c r="D66" s="330"/>
      <c r="E66" s="330"/>
      <c r="F66" s="330"/>
      <c r="G66" s="330"/>
      <c r="H66" s="330"/>
      <c r="I66" s="330"/>
      <c r="J66" s="330"/>
      <c r="K66" s="330"/>
      <c r="L66" s="82"/>
      <c r="M66" s="80"/>
      <c r="N66" s="82"/>
      <c r="O66" s="80"/>
      <c r="P66" s="82"/>
      <c r="Q66" s="80"/>
      <c r="R66" s="82"/>
      <c r="S66" s="80"/>
      <c r="T66" s="82"/>
      <c r="U66" s="80"/>
      <c r="V66" s="82"/>
      <c r="W66" s="80"/>
      <c r="X66" s="82"/>
      <c r="Y66" s="80"/>
      <c r="Z66" s="210">
        <f t="shared" si="0"/>
        <v>0</v>
      </c>
      <c r="AA66" s="60"/>
      <c r="AB66" s="60"/>
    </row>
    <row r="67" spans="1:28" x14ac:dyDescent="0.25">
      <c r="A67" s="443"/>
      <c r="B67" s="443"/>
      <c r="C67" s="443"/>
      <c r="D67" s="330"/>
      <c r="E67" s="330"/>
      <c r="F67" s="330"/>
      <c r="G67" s="330"/>
      <c r="H67" s="330"/>
      <c r="I67" s="330"/>
      <c r="J67" s="330"/>
      <c r="K67" s="330"/>
      <c r="L67" s="82"/>
      <c r="M67" s="80"/>
      <c r="N67" s="82"/>
      <c r="O67" s="80"/>
      <c r="P67" s="82"/>
      <c r="Q67" s="80"/>
      <c r="R67" s="82"/>
      <c r="S67" s="80"/>
      <c r="T67" s="82"/>
      <c r="U67" s="80"/>
      <c r="V67" s="82"/>
      <c r="W67" s="80"/>
      <c r="X67" s="82"/>
      <c r="Y67" s="80"/>
      <c r="Z67" s="210">
        <f t="shared" si="0"/>
        <v>0</v>
      </c>
      <c r="AA67" s="60"/>
      <c r="AB67" s="60"/>
    </row>
    <row r="68" spans="1:28" x14ac:dyDescent="0.25">
      <c r="A68" s="443"/>
      <c r="B68" s="443"/>
      <c r="C68" s="443"/>
      <c r="D68" s="330"/>
      <c r="E68" s="330"/>
      <c r="F68" s="330"/>
      <c r="G68" s="330"/>
      <c r="H68" s="330"/>
      <c r="I68" s="330"/>
      <c r="J68" s="330"/>
      <c r="K68" s="330"/>
      <c r="L68" s="82"/>
      <c r="M68" s="80"/>
      <c r="N68" s="82"/>
      <c r="O68" s="80"/>
      <c r="P68" s="82"/>
      <c r="Q68" s="80"/>
      <c r="R68" s="82"/>
      <c r="S68" s="80"/>
      <c r="T68" s="82"/>
      <c r="U68" s="80"/>
      <c r="V68" s="82"/>
      <c r="W68" s="80"/>
      <c r="X68" s="82"/>
      <c r="Y68" s="80"/>
      <c r="Z68" s="210">
        <f t="shared" si="0"/>
        <v>0</v>
      </c>
      <c r="AA68" s="60"/>
      <c r="AB68" s="60"/>
    </row>
    <row r="69" spans="1:28" x14ac:dyDescent="0.25">
      <c r="A69" s="443"/>
      <c r="B69" s="443"/>
      <c r="C69" s="443"/>
      <c r="D69" s="330"/>
      <c r="E69" s="330"/>
      <c r="F69" s="330"/>
      <c r="G69" s="330"/>
      <c r="H69" s="330"/>
      <c r="I69" s="330"/>
      <c r="J69" s="330"/>
      <c r="K69" s="330"/>
      <c r="L69" s="82"/>
      <c r="M69" s="80"/>
      <c r="N69" s="82"/>
      <c r="O69" s="80"/>
      <c r="P69" s="82"/>
      <c r="Q69" s="80"/>
      <c r="R69" s="82"/>
      <c r="S69" s="80"/>
      <c r="T69" s="82"/>
      <c r="U69" s="80"/>
      <c r="V69" s="82"/>
      <c r="W69" s="80"/>
      <c r="X69" s="82"/>
      <c r="Y69" s="80"/>
      <c r="Z69" s="210">
        <f t="shared" si="0"/>
        <v>0</v>
      </c>
      <c r="AA69" s="60"/>
      <c r="AB69" s="60"/>
    </row>
    <row r="70" spans="1:28" x14ac:dyDescent="0.25">
      <c r="A70" s="443"/>
      <c r="B70" s="443"/>
      <c r="C70" s="443"/>
      <c r="D70" s="330"/>
      <c r="E70" s="330"/>
      <c r="F70" s="330"/>
      <c r="G70" s="330"/>
      <c r="H70" s="330"/>
      <c r="I70" s="330"/>
      <c r="J70" s="330"/>
      <c r="K70" s="330"/>
      <c r="L70" s="82"/>
      <c r="M70" s="80"/>
      <c r="N70" s="82"/>
      <c r="O70" s="80"/>
      <c r="P70" s="82"/>
      <c r="Q70" s="80"/>
      <c r="R70" s="82"/>
      <c r="S70" s="80"/>
      <c r="T70" s="82"/>
      <c r="U70" s="80"/>
      <c r="V70" s="82"/>
      <c r="W70" s="80"/>
      <c r="X70" s="82"/>
      <c r="Y70" s="80"/>
      <c r="Z70" s="210">
        <f t="shared" si="0"/>
        <v>0</v>
      </c>
      <c r="AA70" s="60"/>
      <c r="AB70" s="60"/>
    </row>
    <row r="71" spans="1:28" x14ac:dyDescent="0.25">
      <c r="A71" s="443"/>
      <c r="B71" s="443"/>
      <c r="C71" s="443"/>
      <c r="D71" s="330"/>
      <c r="E71" s="330"/>
      <c r="F71" s="330"/>
      <c r="G71" s="330"/>
      <c r="H71" s="330"/>
      <c r="I71" s="330"/>
      <c r="J71" s="330"/>
      <c r="K71" s="330"/>
      <c r="L71" s="82"/>
      <c r="M71" s="80"/>
      <c r="N71" s="82"/>
      <c r="O71" s="80"/>
      <c r="P71" s="82"/>
      <c r="Q71" s="80"/>
      <c r="R71" s="82"/>
      <c r="S71" s="80"/>
      <c r="T71" s="82"/>
      <c r="U71" s="80"/>
      <c r="V71" s="82"/>
      <c r="W71" s="80"/>
      <c r="X71" s="82"/>
      <c r="Y71" s="80"/>
      <c r="Z71" s="210">
        <f t="shared" si="0"/>
        <v>0</v>
      </c>
      <c r="AA71" s="60"/>
      <c r="AB71" s="60"/>
    </row>
    <row r="72" spans="1:28" x14ac:dyDescent="0.25">
      <c r="A72" s="443"/>
      <c r="B72" s="443"/>
      <c r="C72" s="443"/>
      <c r="D72" s="330"/>
      <c r="E72" s="330"/>
      <c r="F72" s="330"/>
      <c r="G72" s="330"/>
      <c r="H72" s="330"/>
      <c r="I72" s="330"/>
      <c r="J72" s="330"/>
      <c r="K72" s="330"/>
      <c r="L72" s="82"/>
      <c r="M72" s="80"/>
      <c r="N72" s="82"/>
      <c r="O72" s="80"/>
      <c r="P72" s="82"/>
      <c r="Q72" s="80"/>
      <c r="R72" s="82"/>
      <c r="S72" s="80"/>
      <c r="T72" s="82"/>
      <c r="U72" s="80"/>
      <c r="V72" s="82"/>
      <c r="W72" s="80"/>
      <c r="X72" s="82"/>
      <c r="Y72" s="80"/>
      <c r="Z72" s="210">
        <f t="shared" si="0"/>
        <v>0</v>
      </c>
      <c r="AA72" s="60"/>
      <c r="AB72" s="60"/>
    </row>
    <row r="73" spans="1:28" x14ac:dyDescent="0.25">
      <c r="A73" s="443"/>
      <c r="B73" s="443"/>
      <c r="C73" s="443"/>
      <c r="D73" s="330"/>
      <c r="E73" s="330"/>
      <c r="F73" s="330"/>
      <c r="G73" s="330"/>
      <c r="H73" s="330"/>
      <c r="I73" s="330"/>
      <c r="J73" s="330"/>
      <c r="K73" s="330"/>
      <c r="L73" s="82"/>
      <c r="M73" s="80"/>
      <c r="N73" s="82"/>
      <c r="O73" s="80"/>
      <c r="P73" s="82"/>
      <c r="Q73" s="80"/>
      <c r="R73" s="82"/>
      <c r="S73" s="80"/>
      <c r="T73" s="82"/>
      <c r="U73" s="80"/>
      <c r="V73" s="82"/>
      <c r="W73" s="80"/>
      <c r="X73" s="82"/>
      <c r="Y73" s="80"/>
      <c r="Z73" s="210">
        <f t="shared" si="0"/>
        <v>0</v>
      </c>
      <c r="AA73" s="60"/>
      <c r="AB73" s="60"/>
    </row>
    <row r="74" spans="1:28" x14ac:dyDescent="0.25">
      <c r="A74" s="443"/>
      <c r="B74" s="443"/>
      <c r="C74" s="443"/>
      <c r="D74" s="330"/>
      <c r="E74" s="330"/>
      <c r="F74" s="330"/>
      <c r="G74" s="330"/>
      <c r="H74" s="330"/>
      <c r="I74" s="330"/>
      <c r="J74" s="330"/>
      <c r="K74" s="330"/>
      <c r="L74" s="82"/>
      <c r="M74" s="80"/>
      <c r="N74" s="82"/>
      <c r="O74" s="80"/>
      <c r="P74" s="82"/>
      <c r="Q74" s="80"/>
      <c r="R74" s="82"/>
      <c r="S74" s="80"/>
      <c r="T74" s="82"/>
      <c r="U74" s="80"/>
      <c r="V74" s="82"/>
      <c r="W74" s="80"/>
      <c r="X74" s="82"/>
      <c r="Y74" s="80"/>
      <c r="Z74" s="210">
        <f t="shared" si="0"/>
        <v>0</v>
      </c>
      <c r="AA74" s="60"/>
      <c r="AB74" s="60"/>
    </row>
    <row r="75" spans="1:28" x14ac:dyDescent="0.25">
      <c r="A75" s="443"/>
      <c r="B75" s="443"/>
      <c r="C75" s="443"/>
      <c r="D75" s="330"/>
      <c r="E75" s="330"/>
      <c r="F75" s="330"/>
      <c r="G75" s="330"/>
      <c r="H75" s="330"/>
      <c r="I75" s="330"/>
      <c r="J75" s="330"/>
      <c r="K75" s="330"/>
      <c r="L75" s="82"/>
      <c r="M75" s="80"/>
      <c r="N75" s="82"/>
      <c r="O75" s="80"/>
      <c r="P75" s="82"/>
      <c r="Q75" s="80"/>
      <c r="R75" s="82"/>
      <c r="S75" s="80"/>
      <c r="T75" s="82"/>
      <c r="U75" s="80"/>
      <c r="V75" s="82"/>
      <c r="W75" s="80"/>
      <c r="X75" s="82"/>
      <c r="Y75" s="80"/>
      <c r="Z75" s="210">
        <f t="shared" ref="Z75:Z138" si="1">SUM(L75:Y75)</f>
        <v>0</v>
      </c>
      <c r="AA75" s="60"/>
      <c r="AB75" s="60"/>
    </row>
    <row r="76" spans="1:28" x14ac:dyDescent="0.25">
      <c r="A76" s="443"/>
      <c r="B76" s="443"/>
      <c r="C76" s="443"/>
      <c r="D76" s="330"/>
      <c r="E76" s="330"/>
      <c r="F76" s="330"/>
      <c r="G76" s="330"/>
      <c r="H76" s="330"/>
      <c r="I76" s="330"/>
      <c r="J76" s="330"/>
      <c r="K76" s="330"/>
      <c r="L76" s="82"/>
      <c r="M76" s="80"/>
      <c r="N76" s="82"/>
      <c r="O76" s="80"/>
      <c r="P76" s="82"/>
      <c r="Q76" s="80"/>
      <c r="R76" s="82"/>
      <c r="S76" s="80"/>
      <c r="T76" s="82"/>
      <c r="U76" s="80"/>
      <c r="V76" s="82"/>
      <c r="W76" s="80"/>
      <c r="X76" s="82"/>
      <c r="Y76" s="80"/>
      <c r="Z76" s="210">
        <f t="shared" si="1"/>
        <v>0</v>
      </c>
      <c r="AA76" s="60"/>
      <c r="AB76" s="60"/>
    </row>
    <row r="77" spans="1:28" x14ac:dyDescent="0.25">
      <c r="A77" s="443"/>
      <c r="B77" s="443"/>
      <c r="C77" s="443"/>
      <c r="D77" s="330"/>
      <c r="E77" s="330"/>
      <c r="F77" s="330"/>
      <c r="G77" s="330"/>
      <c r="H77" s="330"/>
      <c r="I77" s="330"/>
      <c r="J77" s="330"/>
      <c r="K77" s="330"/>
      <c r="L77" s="82"/>
      <c r="M77" s="80"/>
      <c r="N77" s="82"/>
      <c r="O77" s="80"/>
      <c r="P77" s="82"/>
      <c r="Q77" s="80"/>
      <c r="R77" s="82"/>
      <c r="S77" s="80"/>
      <c r="T77" s="82"/>
      <c r="U77" s="80"/>
      <c r="V77" s="82"/>
      <c r="W77" s="80"/>
      <c r="X77" s="82"/>
      <c r="Y77" s="80"/>
      <c r="Z77" s="210">
        <f t="shared" si="1"/>
        <v>0</v>
      </c>
      <c r="AA77" s="60"/>
      <c r="AB77" s="60"/>
    </row>
    <row r="78" spans="1:28" x14ac:dyDescent="0.25">
      <c r="A78" s="443"/>
      <c r="B78" s="443"/>
      <c r="C78" s="443"/>
      <c r="D78" s="330"/>
      <c r="E78" s="330"/>
      <c r="F78" s="330"/>
      <c r="G78" s="330"/>
      <c r="H78" s="330"/>
      <c r="I78" s="330"/>
      <c r="J78" s="330"/>
      <c r="K78" s="330"/>
      <c r="L78" s="82"/>
      <c r="M78" s="80"/>
      <c r="N78" s="82"/>
      <c r="O78" s="80"/>
      <c r="P78" s="82"/>
      <c r="Q78" s="80"/>
      <c r="R78" s="82"/>
      <c r="S78" s="80"/>
      <c r="T78" s="82"/>
      <c r="U78" s="80"/>
      <c r="V78" s="82"/>
      <c r="W78" s="80"/>
      <c r="X78" s="82"/>
      <c r="Y78" s="80"/>
      <c r="Z78" s="210">
        <f t="shared" si="1"/>
        <v>0</v>
      </c>
      <c r="AA78" s="60"/>
      <c r="AB78" s="60"/>
    </row>
    <row r="79" spans="1:28" x14ac:dyDescent="0.25">
      <c r="A79" s="443"/>
      <c r="B79" s="443"/>
      <c r="C79" s="443"/>
      <c r="D79" s="330"/>
      <c r="E79" s="330"/>
      <c r="F79" s="330"/>
      <c r="G79" s="330"/>
      <c r="H79" s="330"/>
      <c r="I79" s="330"/>
      <c r="J79" s="330"/>
      <c r="K79" s="330"/>
      <c r="L79" s="82"/>
      <c r="M79" s="80"/>
      <c r="N79" s="82"/>
      <c r="O79" s="80"/>
      <c r="P79" s="82"/>
      <c r="Q79" s="80"/>
      <c r="R79" s="82"/>
      <c r="S79" s="80"/>
      <c r="T79" s="82"/>
      <c r="U79" s="80"/>
      <c r="V79" s="82"/>
      <c r="W79" s="80"/>
      <c r="X79" s="82"/>
      <c r="Y79" s="80"/>
      <c r="Z79" s="210">
        <f t="shared" si="1"/>
        <v>0</v>
      </c>
      <c r="AA79" s="60"/>
      <c r="AB79" s="60"/>
    </row>
    <row r="80" spans="1:28" x14ac:dyDescent="0.25">
      <c r="A80" s="443"/>
      <c r="B80" s="443"/>
      <c r="C80" s="443"/>
      <c r="D80" s="330"/>
      <c r="E80" s="330"/>
      <c r="F80" s="330"/>
      <c r="G80" s="330"/>
      <c r="H80" s="330"/>
      <c r="I80" s="330"/>
      <c r="J80" s="330"/>
      <c r="K80" s="330"/>
      <c r="L80" s="82"/>
      <c r="M80" s="80"/>
      <c r="N80" s="82"/>
      <c r="O80" s="80"/>
      <c r="P80" s="82"/>
      <c r="Q80" s="80"/>
      <c r="R80" s="82"/>
      <c r="S80" s="80"/>
      <c r="T80" s="82"/>
      <c r="U80" s="80"/>
      <c r="V80" s="82"/>
      <c r="W80" s="80"/>
      <c r="X80" s="82"/>
      <c r="Y80" s="80"/>
      <c r="Z80" s="210">
        <f t="shared" si="1"/>
        <v>0</v>
      </c>
      <c r="AA80" s="60"/>
      <c r="AB80" s="60"/>
    </row>
    <row r="81" spans="1:28" x14ac:dyDescent="0.25">
      <c r="A81" s="443"/>
      <c r="B81" s="443"/>
      <c r="C81" s="443"/>
      <c r="D81" s="330"/>
      <c r="E81" s="330"/>
      <c r="F81" s="330"/>
      <c r="G81" s="330"/>
      <c r="H81" s="330"/>
      <c r="I81" s="330"/>
      <c r="J81" s="330"/>
      <c r="K81" s="330"/>
      <c r="L81" s="82"/>
      <c r="M81" s="80"/>
      <c r="N81" s="82"/>
      <c r="O81" s="80"/>
      <c r="P81" s="82"/>
      <c r="Q81" s="80"/>
      <c r="R81" s="82"/>
      <c r="S81" s="80"/>
      <c r="T81" s="82"/>
      <c r="U81" s="80"/>
      <c r="V81" s="82"/>
      <c r="W81" s="80"/>
      <c r="X81" s="82"/>
      <c r="Y81" s="80"/>
      <c r="Z81" s="210">
        <f t="shared" si="1"/>
        <v>0</v>
      </c>
      <c r="AA81" s="60"/>
      <c r="AB81" s="60"/>
    </row>
    <row r="82" spans="1:28" x14ac:dyDescent="0.25">
      <c r="A82" s="443"/>
      <c r="B82" s="443"/>
      <c r="C82" s="443"/>
      <c r="D82" s="330"/>
      <c r="E82" s="330"/>
      <c r="F82" s="330"/>
      <c r="G82" s="330"/>
      <c r="H82" s="330"/>
      <c r="I82" s="330"/>
      <c r="J82" s="330"/>
      <c r="K82" s="330"/>
      <c r="L82" s="82"/>
      <c r="M82" s="80"/>
      <c r="N82" s="82"/>
      <c r="O82" s="80"/>
      <c r="P82" s="82"/>
      <c r="Q82" s="80"/>
      <c r="R82" s="82"/>
      <c r="S82" s="80"/>
      <c r="T82" s="82"/>
      <c r="U82" s="80"/>
      <c r="V82" s="82"/>
      <c r="W82" s="80"/>
      <c r="X82" s="82"/>
      <c r="Y82" s="80"/>
      <c r="Z82" s="210">
        <f t="shared" si="1"/>
        <v>0</v>
      </c>
      <c r="AA82" s="60"/>
      <c r="AB82" s="60"/>
    </row>
    <row r="83" spans="1:28" x14ac:dyDescent="0.25">
      <c r="A83" s="443"/>
      <c r="B83" s="443"/>
      <c r="C83" s="443"/>
      <c r="D83" s="330"/>
      <c r="E83" s="330"/>
      <c r="F83" s="330"/>
      <c r="G83" s="330"/>
      <c r="H83" s="330"/>
      <c r="I83" s="330"/>
      <c r="J83" s="330"/>
      <c r="K83" s="330"/>
      <c r="L83" s="82"/>
      <c r="M83" s="80"/>
      <c r="N83" s="82"/>
      <c r="O83" s="80"/>
      <c r="P83" s="82"/>
      <c r="Q83" s="80"/>
      <c r="R83" s="82"/>
      <c r="S83" s="80"/>
      <c r="T83" s="82"/>
      <c r="U83" s="80"/>
      <c r="V83" s="82"/>
      <c r="W83" s="80"/>
      <c r="X83" s="82"/>
      <c r="Y83" s="80"/>
      <c r="Z83" s="210">
        <f t="shared" si="1"/>
        <v>0</v>
      </c>
      <c r="AA83" s="60"/>
      <c r="AB83" s="60"/>
    </row>
    <row r="84" spans="1:28" x14ac:dyDescent="0.25">
      <c r="A84" s="443"/>
      <c r="B84" s="443"/>
      <c r="C84" s="443"/>
      <c r="D84" s="330"/>
      <c r="E84" s="330"/>
      <c r="F84" s="330"/>
      <c r="G84" s="330"/>
      <c r="H84" s="330"/>
      <c r="I84" s="330"/>
      <c r="J84" s="330"/>
      <c r="K84" s="330"/>
      <c r="L84" s="82"/>
      <c r="M84" s="80"/>
      <c r="N84" s="82"/>
      <c r="O84" s="80"/>
      <c r="P84" s="82"/>
      <c r="Q84" s="80"/>
      <c r="R84" s="82"/>
      <c r="S84" s="80"/>
      <c r="T84" s="82"/>
      <c r="U84" s="80"/>
      <c r="V84" s="82"/>
      <c r="W84" s="80"/>
      <c r="X84" s="82"/>
      <c r="Y84" s="80"/>
      <c r="Z84" s="210">
        <f t="shared" si="1"/>
        <v>0</v>
      </c>
      <c r="AA84" s="60"/>
      <c r="AB84" s="60"/>
    </row>
    <row r="85" spans="1:28" x14ac:dyDescent="0.25">
      <c r="A85" s="443"/>
      <c r="B85" s="443"/>
      <c r="C85" s="443"/>
      <c r="D85" s="330"/>
      <c r="E85" s="330"/>
      <c r="F85" s="330"/>
      <c r="G85" s="330"/>
      <c r="H85" s="330"/>
      <c r="I85" s="330"/>
      <c r="J85" s="330"/>
      <c r="K85" s="330"/>
      <c r="L85" s="82"/>
      <c r="M85" s="80"/>
      <c r="N85" s="82"/>
      <c r="O85" s="80"/>
      <c r="P85" s="82"/>
      <c r="Q85" s="80"/>
      <c r="R85" s="82"/>
      <c r="S85" s="80"/>
      <c r="T85" s="82"/>
      <c r="U85" s="80"/>
      <c r="V85" s="82"/>
      <c r="W85" s="80"/>
      <c r="X85" s="82"/>
      <c r="Y85" s="80"/>
      <c r="Z85" s="210">
        <f t="shared" si="1"/>
        <v>0</v>
      </c>
      <c r="AA85" s="60"/>
      <c r="AB85" s="60"/>
    </row>
    <row r="86" spans="1:28" x14ac:dyDescent="0.25">
      <c r="A86" s="443"/>
      <c r="B86" s="443"/>
      <c r="C86" s="443"/>
      <c r="D86" s="330"/>
      <c r="E86" s="330"/>
      <c r="F86" s="330"/>
      <c r="G86" s="330"/>
      <c r="H86" s="330"/>
      <c r="I86" s="330"/>
      <c r="J86" s="330"/>
      <c r="K86" s="330"/>
      <c r="L86" s="82"/>
      <c r="M86" s="80"/>
      <c r="N86" s="82"/>
      <c r="O86" s="80"/>
      <c r="P86" s="82"/>
      <c r="Q86" s="80"/>
      <c r="R86" s="82"/>
      <c r="S86" s="80"/>
      <c r="T86" s="82"/>
      <c r="U86" s="80"/>
      <c r="V86" s="82"/>
      <c r="W86" s="80"/>
      <c r="X86" s="82"/>
      <c r="Y86" s="80"/>
      <c r="Z86" s="210">
        <f t="shared" si="1"/>
        <v>0</v>
      </c>
      <c r="AA86" s="60"/>
      <c r="AB86" s="60"/>
    </row>
    <row r="87" spans="1:28" x14ac:dyDescent="0.25">
      <c r="A87" s="443"/>
      <c r="B87" s="443"/>
      <c r="C87" s="443"/>
      <c r="D87" s="330"/>
      <c r="E87" s="330"/>
      <c r="F87" s="330"/>
      <c r="G87" s="330"/>
      <c r="H87" s="330"/>
      <c r="I87" s="330"/>
      <c r="J87" s="330"/>
      <c r="K87" s="330"/>
      <c r="L87" s="82"/>
      <c r="M87" s="80"/>
      <c r="N87" s="82"/>
      <c r="O87" s="80"/>
      <c r="P87" s="82"/>
      <c r="Q87" s="80"/>
      <c r="R87" s="82"/>
      <c r="S87" s="80"/>
      <c r="T87" s="82"/>
      <c r="U87" s="80"/>
      <c r="V87" s="82"/>
      <c r="W87" s="80"/>
      <c r="X87" s="82"/>
      <c r="Y87" s="80"/>
      <c r="Z87" s="210">
        <f t="shared" si="1"/>
        <v>0</v>
      </c>
      <c r="AA87" s="60"/>
      <c r="AB87" s="60"/>
    </row>
    <row r="88" spans="1:28" x14ac:dyDescent="0.25">
      <c r="A88" s="443"/>
      <c r="B88" s="443"/>
      <c r="C88" s="443"/>
      <c r="D88" s="330"/>
      <c r="E88" s="330"/>
      <c r="F88" s="330"/>
      <c r="G88" s="330"/>
      <c r="H88" s="330"/>
      <c r="I88" s="330"/>
      <c r="J88" s="330"/>
      <c r="K88" s="330"/>
      <c r="L88" s="82"/>
      <c r="M88" s="80"/>
      <c r="N88" s="82"/>
      <c r="O88" s="80"/>
      <c r="P88" s="82"/>
      <c r="Q88" s="80"/>
      <c r="R88" s="82"/>
      <c r="S88" s="80"/>
      <c r="T88" s="82"/>
      <c r="U88" s="80"/>
      <c r="V88" s="82"/>
      <c r="W88" s="80"/>
      <c r="X88" s="82"/>
      <c r="Y88" s="80"/>
      <c r="Z88" s="210">
        <f t="shared" si="1"/>
        <v>0</v>
      </c>
      <c r="AA88" s="60"/>
      <c r="AB88" s="60"/>
    </row>
    <row r="89" spans="1:28" x14ac:dyDescent="0.25">
      <c r="A89" s="443"/>
      <c r="B89" s="443"/>
      <c r="C89" s="443"/>
      <c r="D89" s="330"/>
      <c r="E89" s="330"/>
      <c r="F89" s="330"/>
      <c r="G89" s="330"/>
      <c r="H89" s="330"/>
      <c r="I89" s="330"/>
      <c r="J89" s="330"/>
      <c r="K89" s="330"/>
      <c r="L89" s="82"/>
      <c r="M89" s="80"/>
      <c r="N89" s="82"/>
      <c r="O89" s="80"/>
      <c r="P89" s="82"/>
      <c r="Q89" s="80"/>
      <c r="R89" s="82"/>
      <c r="S89" s="80"/>
      <c r="T89" s="82"/>
      <c r="U89" s="80"/>
      <c r="V89" s="82"/>
      <c r="W89" s="80"/>
      <c r="X89" s="82"/>
      <c r="Y89" s="80"/>
      <c r="Z89" s="210">
        <f t="shared" si="1"/>
        <v>0</v>
      </c>
      <c r="AA89" s="60"/>
      <c r="AB89" s="60"/>
    </row>
    <row r="90" spans="1:28" x14ac:dyDescent="0.25">
      <c r="A90" s="443"/>
      <c r="B90" s="443"/>
      <c r="C90" s="443"/>
      <c r="D90" s="330"/>
      <c r="E90" s="330"/>
      <c r="F90" s="330"/>
      <c r="G90" s="330"/>
      <c r="H90" s="330"/>
      <c r="I90" s="330"/>
      <c r="J90" s="330"/>
      <c r="K90" s="330"/>
      <c r="L90" s="82"/>
      <c r="M90" s="80"/>
      <c r="N90" s="82"/>
      <c r="O90" s="80"/>
      <c r="P90" s="82"/>
      <c r="Q90" s="80"/>
      <c r="R90" s="82"/>
      <c r="S90" s="80"/>
      <c r="T90" s="82"/>
      <c r="U90" s="80"/>
      <c r="V90" s="82"/>
      <c r="W90" s="80"/>
      <c r="X90" s="82"/>
      <c r="Y90" s="80"/>
      <c r="Z90" s="210">
        <f t="shared" si="1"/>
        <v>0</v>
      </c>
      <c r="AA90" s="60"/>
      <c r="AB90" s="60"/>
    </row>
    <row r="91" spans="1:28" x14ac:dyDescent="0.25">
      <c r="A91" s="443"/>
      <c r="B91" s="443"/>
      <c r="C91" s="443"/>
      <c r="D91" s="330"/>
      <c r="E91" s="330"/>
      <c r="F91" s="330"/>
      <c r="G91" s="330"/>
      <c r="H91" s="330"/>
      <c r="I91" s="330"/>
      <c r="J91" s="330"/>
      <c r="K91" s="330"/>
      <c r="L91" s="82"/>
      <c r="M91" s="80"/>
      <c r="N91" s="82"/>
      <c r="O91" s="80"/>
      <c r="P91" s="82"/>
      <c r="Q91" s="80"/>
      <c r="R91" s="82"/>
      <c r="S91" s="80"/>
      <c r="T91" s="82"/>
      <c r="U91" s="80"/>
      <c r="V91" s="82"/>
      <c r="W91" s="80"/>
      <c r="X91" s="82"/>
      <c r="Y91" s="80"/>
      <c r="Z91" s="210">
        <f t="shared" si="1"/>
        <v>0</v>
      </c>
      <c r="AA91" s="60"/>
      <c r="AB91" s="60"/>
    </row>
    <row r="92" spans="1:28" x14ac:dyDescent="0.25">
      <c r="A92" s="443"/>
      <c r="B92" s="443"/>
      <c r="C92" s="443"/>
      <c r="D92" s="330"/>
      <c r="E92" s="330"/>
      <c r="F92" s="330"/>
      <c r="G92" s="330"/>
      <c r="H92" s="330"/>
      <c r="I92" s="330"/>
      <c r="J92" s="330"/>
      <c r="K92" s="330"/>
      <c r="L92" s="82"/>
      <c r="M92" s="80"/>
      <c r="N92" s="82"/>
      <c r="O92" s="80"/>
      <c r="P92" s="82"/>
      <c r="Q92" s="80"/>
      <c r="R92" s="82"/>
      <c r="S92" s="80"/>
      <c r="T92" s="82"/>
      <c r="U92" s="80"/>
      <c r="V92" s="82"/>
      <c r="W92" s="80"/>
      <c r="X92" s="82"/>
      <c r="Y92" s="80"/>
      <c r="Z92" s="210">
        <f t="shared" si="1"/>
        <v>0</v>
      </c>
      <c r="AA92" s="60"/>
      <c r="AB92" s="60"/>
    </row>
    <row r="93" spans="1:28" x14ac:dyDescent="0.25">
      <c r="A93" s="443"/>
      <c r="B93" s="443"/>
      <c r="C93" s="443"/>
      <c r="D93" s="330"/>
      <c r="E93" s="330"/>
      <c r="F93" s="330"/>
      <c r="G93" s="330"/>
      <c r="H93" s="330"/>
      <c r="I93" s="330"/>
      <c r="J93" s="330"/>
      <c r="K93" s="330"/>
      <c r="L93" s="82"/>
      <c r="M93" s="80"/>
      <c r="N93" s="82"/>
      <c r="O93" s="80"/>
      <c r="P93" s="82"/>
      <c r="Q93" s="80"/>
      <c r="R93" s="82"/>
      <c r="S93" s="80"/>
      <c r="T93" s="82"/>
      <c r="U93" s="80"/>
      <c r="V93" s="82"/>
      <c r="W93" s="80"/>
      <c r="X93" s="82"/>
      <c r="Y93" s="80"/>
      <c r="Z93" s="210">
        <f t="shared" si="1"/>
        <v>0</v>
      </c>
      <c r="AA93" s="60"/>
      <c r="AB93" s="60"/>
    </row>
    <row r="94" spans="1:28" x14ac:dyDescent="0.25">
      <c r="A94" s="443"/>
      <c r="B94" s="443"/>
      <c r="C94" s="443"/>
      <c r="D94" s="330"/>
      <c r="E94" s="330"/>
      <c r="F94" s="330"/>
      <c r="G94" s="330"/>
      <c r="H94" s="330"/>
      <c r="I94" s="330"/>
      <c r="J94" s="330"/>
      <c r="K94" s="330"/>
      <c r="L94" s="82"/>
      <c r="M94" s="80"/>
      <c r="N94" s="82"/>
      <c r="O94" s="80"/>
      <c r="P94" s="82"/>
      <c r="Q94" s="80"/>
      <c r="R94" s="82"/>
      <c r="S94" s="80"/>
      <c r="T94" s="82"/>
      <c r="U94" s="80"/>
      <c r="V94" s="82"/>
      <c r="W94" s="80"/>
      <c r="X94" s="82"/>
      <c r="Y94" s="80"/>
      <c r="Z94" s="210">
        <f t="shared" si="1"/>
        <v>0</v>
      </c>
      <c r="AA94" s="60"/>
      <c r="AB94" s="60"/>
    </row>
    <row r="95" spans="1:28" x14ac:dyDescent="0.25">
      <c r="A95" s="443"/>
      <c r="B95" s="443"/>
      <c r="C95" s="443"/>
      <c r="D95" s="330"/>
      <c r="E95" s="330"/>
      <c r="F95" s="330"/>
      <c r="G95" s="330"/>
      <c r="H95" s="330"/>
      <c r="I95" s="330"/>
      <c r="J95" s="330"/>
      <c r="K95" s="330"/>
      <c r="L95" s="82"/>
      <c r="M95" s="80"/>
      <c r="N95" s="82"/>
      <c r="O95" s="80"/>
      <c r="P95" s="82"/>
      <c r="Q95" s="80"/>
      <c r="R95" s="82"/>
      <c r="S95" s="80"/>
      <c r="T95" s="82"/>
      <c r="U95" s="80"/>
      <c r="V95" s="82"/>
      <c r="W95" s="80"/>
      <c r="X95" s="82"/>
      <c r="Y95" s="80"/>
      <c r="Z95" s="210">
        <f t="shared" si="1"/>
        <v>0</v>
      </c>
      <c r="AA95" s="60"/>
      <c r="AB95" s="60"/>
    </row>
    <row r="96" spans="1:28" x14ac:dyDescent="0.25">
      <c r="A96" s="443"/>
      <c r="B96" s="443"/>
      <c r="C96" s="443"/>
      <c r="D96" s="330"/>
      <c r="E96" s="330"/>
      <c r="F96" s="330"/>
      <c r="G96" s="330"/>
      <c r="H96" s="330"/>
      <c r="I96" s="330"/>
      <c r="J96" s="330"/>
      <c r="K96" s="330"/>
      <c r="L96" s="82"/>
      <c r="M96" s="80"/>
      <c r="N96" s="82"/>
      <c r="O96" s="80"/>
      <c r="P96" s="82"/>
      <c r="Q96" s="80"/>
      <c r="R96" s="82"/>
      <c r="S96" s="80"/>
      <c r="T96" s="82"/>
      <c r="U96" s="80"/>
      <c r="V96" s="82"/>
      <c r="W96" s="80"/>
      <c r="X96" s="82"/>
      <c r="Y96" s="80"/>
      <c r="Z96" s="210">
        <f t="shared" si="1"/>
        <v>0</v>
      </c>
      <c r="AA96" s="60"/>
      <c r="AB96" s="60"/>
    </row>
    <row r="97" spans="1:28" x14ac:dyDescent="0.25">
      <c r="A97" s="443"/>
      <c r="B97" s="443"/>
      <c r="C97" s="443"/>
      <c r="D97" s="330"/>
      <c r="E97" s="330"/>
      <c r="F97" s="330"/>
      <c r="G97" s="330"/>
      <c r="H97" s="330"/>
      <c r="I97" s="330"/>
      <c r="J97" s="330"/>
      <c r="K97" s="330"/>
      <c r="L97" s="82"/>
      <c r="M97" s="80"/>
      <c r="N97" s="82"/>
      <c r="O97" s="80"/>
      <c r="P97" s="82"/>
      <c r="Q97" s="80"/>
      <c r="R97" s="82"/>
      <c r="S97" s="80"/>
      <c r="T97" s="82"/>
      <c r="U97" s="80"/>
      <c r="V97" s="82"/>
      <c r="W97" s="80"/>
      <c r="X97" s="82"/>
      <c r="Y97" s="80"/>
      <c r="Z97" s="210">
        <f t="shared" si="1"/>
        <v>0</v>
      </c>
      <c r="AA97" s="60"/>
      <c r="AB97" s="60"/>
    </row>
    <row r="98" spans="1:28" x14ac:dyDescent="0.25">
      <c r="A98" s="443"/>
      <c r="B98" s="443"/>
      <c r="C98" s="443"/>
      <c r="D98" s="330"/>
      <c r="E98" s="330"/>
      <c r="F98" s="330"/>
      <c r="G98" s="330"/>
      <c r="H98" s="330"/>
      <c r="I98" s="330"/>
      <c r="J98" s="330"/>
      <c r="K98" s="330"/>
      <c r="L98" s="82"/>
      <c r="M98" s="80"/>
      <c r="N98" s="82"/>
      <c r="O98" s="80"/>
      <c r="P98" s="82"/>
      <c r="Q98" s="80"/>
      <c r="R98" s="82"/>
      <c r="S98" s="80"/>
      <c r="T98" s="82"/>
      <c r="U98" s="80"/>
      <c r="V98" s="82"/>
      <c r="W98" s="80"/>
      <c r="X98" s="82"/>
      <c r="Y98" s="80"/>
      <c r="Z98" s="210">
        <f t="shared" si="1"/>
        <v>0</v>
      </c>
      <c r="AA98" s="60"/>
      <c r="AB98" s="60"/>
    </row>
    <row r="99" spans="1:28" x14ac:dyDescent="0.25">
      <c r="A99" s="443"/>
      <c r="B99" s="443"/>
      <c r="C99" s="443"/>
      <c r="D99" s="330"/>
      <c r="E99" s="330"/>
      <c r="F99" s="330"/>
      <c r="G99" s="330"/>
      <c r="H99" s="330"/>
      <c r="I99" s="330"/>
      <c r="J99" s="330"/>
      <c r="K99" s="330"/>
      <c r="L99" s="82"/>
      <c r="M99" s="80"/>
      <c r="N99" s="82"/>
      <c r="O99" s="80"/>
      <c r="P99" s="82"/>
      <c r="Q99" s="80"/>
      <c r="R99" s="82"/>
      <c r="S99" s="80"/>
      <c r="T99" s="82"/>
      <c r="U99" s="80"/>
      <c r="V99" s="82"/>
      <c r="W99" s="80"/>
      <c r="X99" s="82"/>
      <c r="Y99" s="80"/>
      <c r="Z99" s="210">
        <f t="shared" si="1"/>
        <v>0</v>
      </c>
      <c r="AA99" s="60"/>
      <c r="AB99" s="60"/>
    </row>
    <row r="100" spans="1:28" x14ac:dyDescent="0.25">
      <c r="A100" s="443"/>
      <c r="B100" s="443"/>
      <c r="C100" s="443"/>
      <c r="D100" s="330"/>
      <c r="E100" s="330"/>
      <c r="F100" s="330"/>
      <c r="G100" s="330"/>
      <c r="H100" s="330"/>
      <c r="I100" s="330"/>
      <c r="J100" s="330"/>
      <c r="K100" s="330"/>
      <c r="L100" s="82"/>
      <c r="M100" s="80"/>
      <c r="N100" s="82"/>
      <c r="O100" s="80"/>
      <c r="P100" s="82"/>
      <c r="Q100" s="80"/>
      <c r="R100" s="82"/>
      <c r="S100" s="80"/>
      <c r="T100" s="82"/>
      <c r="U100" s="80"/>
      <c r="V100" s="82"/>
      <c r="W100" s="80"/>
      <c r="X100" s="82"/>
      <c r="Y100" s="80"/>
      <c r="Z100" s="210">
        <f t="shared" si="1"/>
        <v>0</v>
      </c>
      <c r="AA100" s="60"/>
      <c r="AB100" s="60"/>
    </row>
    <row r="101" spans="1:28" x14ac:dyDescent="0.25">
      <c r="A101" s="443"/>
      <c r="B101" s="443"/>
      <c r="C101" s="443"/>
      <c r="D101" s="330"/>
      <c r="E101" s="330"/>
      <c r="F101" s="330"/>
      <c r="G101" s="330"/>
      <c r="H101" s="330"/>
      <c r="I101" s="330"/>
      <c r="J101" s="330"/>
      <c r="K101" s="330"/>
      <c r="L101" s="82"/>
      <c r="M101" s="80"/>
      <c r="N101" s="82"/>
      <c r="O101" s="80"/>
      <c r="P101" s="82"/>
      <c r="Q101" s="80"/>
      <c r="R101" s="82"/>
      <c r="S101" s="80"/>
      <c r="T101" s="82"/>
      <c r="U101" s="80"/>
      <c r="V101" s="82"/>
      <c r="W101" s="80"/>
      <c r="X101" s="82"/>
      <c r="Y101" s="80"/>
      <c r="Z101" s="210">
        <f t="shared" si="1"/>
        <v>0</v>
      </c>
      <c r="AA101" s="60"/>
      <c r="AB101" s="60"/>
    </row>
    <row r="102" spans="1:28" x14ac:dyDescent="0.25">
      <c r="A102" s="443"/>
      <c r="B102" s="443"/>
      <c r="C102" s="443"/>
      <c r="D102" s="330"/>
      <c r="E102" s="330"/>
      <c r="F102" s="330"/>
      <c r="G102" s="330"/>
      <c r="H102" s="330"/>
      <c r="I102" s="330"/>
      <c r="J102" s="330"/>
      <c r="K102" s="330"/>
      <c r="L102" s="82"/>
      <c r="M102" s="80"/>
      <c r="N102" s="82"/>
      <c r="O102" s="80"/>
      <c r="P102" s="82"/>
      <c r="Q102" s="80"/>
      <c r="R102" s="82"/>
      <c r="S102" s="80"/>
      <c r="T102" s="82"/>
      <c r="U102" s="80"/>
      <c r="V102" s="82"/>
      <c r="W102" s="80"/>
      <c r="X102" s="82"/>
      <c r="Y102" s="80"/>
      <c r="Z102" s="210">
        <f t="shared" si="1"/>
        <v>0</v>
      </c>
      <c r="AA102" s="60"/>
      <c r="AB102" s="60"/>
    </row>
    <row r="103" spans="1:28" x14ac:dyDescent="0.25">
      <c r="A103" s="443"/>
      <c r="B103" s="443"/>
      <c r="C103" s="443"/>
      <c r="D103" s="330"/>
      <c r="E103" s="330"/>
      <c r="F103" s="330"/>
      <c r="G103" s="330"/>
      <c r="H103" s="330"/>
      <c r="I103" s="330"/>
      <c r="J103" s="330"/>
      <c r="K103" s="330"/>
      <c r="L103" s="82"/>
      <c r="M103" s="80"/>
      <c r="N103" s="82"/>
      <c r="O103" s="80"/>
      <c r="P103" s="82"/>
      <c r="Q103" s="80"/>
      <c r="R103" s="82"/>
      <c r="S103" s="80"/>
      <c r="T103" s="82"/>
      <c r="U103" s="80"/>
      <c r="V103" s="82"/>
      <c r="W103" s="80"/>
      <c r="X103" s="82"/>
      <c r="Y103" s="80"/>
      <c r="Z103" s="210">
        <f t="shared" si="1"/>
        <v>0</v>
      </c>
      <c r="AA103" s="60"/>
      <c r="AB103" s="60"/>
    </row>
    <row r="104" spans="1:28" x14ac:dyDescent="0.25">
      <c r="A104" s="443"/>
      <c r="B104" s="443"/>
      <c r="C104" s="443"/>
      <c r="D104" s="330"/>
      <c r="E104" s="330"/>
      <c r="F104" s="330"/>
      <c r="G104" s="330"/>
      <c r="H104" s="330"/>
      <c r="I104" s="330"/>
      <c r="J104" s="330"/>
      <c r="K104" s="330"/>
      <c r="L104" s="82"/>
      <c r="M104" s="80"/>
      <c r="N104" s="82"/>
      <c r="O104" s="80"/>
      <c r="P104" s="82"/>
      <c r="Q104" s="80"/>
      <c r="R104" s="82"/>
      <c r="S104" s="80"/>
      <c r="T104" s="82"/>
      <c r="U104" s="80"/>
      <c r="V104" s="82"/>
      <c r="W104" s="80"/>
      <c r="X104" s="82"/>
      <c r="Y104" s="80"/>
      <c r="Z104" s="210">
        <f t="shared" si="1"/>
        <v>0</v>
      </c>
      <c r="AA104" s="60"/>
      <c r="AB104" s="60"/>
    </row>
    <row r="105" spans="1:28" x14ac:dyDescent="0.25">
      <c r="A105" s="443"/>
      <c r="B105" s="443"/>
      <c r="C105" s="443"/>
      <c r="D105" s="330"/>
      <c r="E105" s="330"/>
      <c r="F105" s="330"/>
      <c r="G105" s="330"/>
      <c r="H105" s="330"/>
      <c r="I105" s="330"/>
      <c r="J105" s="330"/>
      <c r="K105" s="330"/>
      <c r="L105" s="82"/>
      <c r="M105" s="80"/>
      <c r="N105" s="82"/>
      <c r="O105" s="80"/>
      <c r="P105" s="82"/>
      <c r="Q105" s="80"/>
      <c r="R105" s="82"/>
      <c r="S105" s="80"/>
      <c r="T105" s="82"/>
      <c r="U105" s="80"/>
      <c r="V105" s="82"/>
      <c r="W105" s="80"/>
      <c r="X105" s="82"/>
      <c r="Y105" s="80"/>
      <c r="Z105" s="210">
        <f t="shared" si="1"/>
        <v>0</v>
      </c>
      <c r="AA105" s="60"/>
      <c r="AB105" s="60"/>
    </row>
    <row r="106" spans="1:28" x14ac:dyDescent="0.25">
      <c r="A106" s="443"/>
      <c r="B106" s="443"/>
      <c r="C106" s="443"/>
      <c r="D106" s="330"/>
      <c r="E106" s="330"/>
      <c r="F106" s="330"/>
      <c r="G106" s="330"/>
      <c r="H106" s="330"/>
      <c r="I106" s="330"/>
      <c r="J106" s="330"/>
      <c r="K106" s="330"/>
      <c r="L106" s="82"/>
      <c r="M106" s="80"/>
      <c r="N106" s="82"/>
      <c r="O106" s="80"/>
      <c r="P106" s="82"/>
      <c r="Q106" s="80"/>
      <c r="R106" s="82"/>
      <c r="S106" s="80"/>
      <c r="T106" s="82"/>
      <c r="U106" s="80"/>
      <c r="V106" s="82"/>
      <c r="W106" s="80"/>
      <c r="X106" s="82"/>
      <c r="Y106" s="80"/>
      <c r="Z106" s="210">
        <f t="shared" si="1"/>
        <v>0</v>
      </c>
      <c r="AA106" s="60"/>
      <c r="AB106" s="60"/>
    </row>
    <row r="107" spans="1:28" x14ac:dyDescent="0.25">
      <c r="A107" s="443"/>
      <c r="B107" s="443"/>
      <c r="C107" s="443"/>
      <c r="D107" s="330"/>
      <c r="E107" s="330"/>
      <c r="F107" s="330"/>
      <c r="G107" s="330"/>
      <c r="H107" s="330"/>
      <c r="I107" s="330"/>
      <c r="J107" s="330"/>
      <c r="K107" s="330"/>
      <c r="L107" s="82"/>
      <c r="M107" s="80"/>
      <c r="N107" s="82"/>
      <c r="O107" s="80"/>
      <c r="P107" s="82"/>
      <c r="Q107" s="80"/>
      <c r="R107" s="82"/>
      <c r="S107" s="80"/>
      <c r="T107" s="82"/>
      <c r="U107" s="80"/>
      <c r="V107" s="82"/>
      <c r="W107" s="80"/>
      <c r="X107" s="82"/>
      <c r="Y107" s="80"/>
      <c r="Z107" s="210">
        <f t="shared" si="1"/>
        <v>0</v>
      </c>
      <c r="AA107" s="60"/>
      <c r="AB107" s="60"/>
    </row>
    <row r="108" spans="1:28" x14ac:dyDescent="0.25">
      <c r="A108" s="443"/>
      <c r="B108" s="443"/>
      <c r="C108" s="443"/>
      <c r="D108" s="330"/>
      <c r="E108" s="330"/>
      <c r="F108" s="330"/>
      <c r="G108" s="330"/>
      <c r="H108" s="330"/>
      <c r="I108" s="330"/>
      <c r="J108" s="330"/>
      <c r="K108" s="330"/>
      <c r="L108" s="82"/>
      <c r="M108" s="80"/>
      <c r="N108" s="82"/>
      <c r="O108" s="80"/>
      <c r="P108" s="82"/>
      <c r="Q108" s="80"/>
      <c r="R108" s="82"/>
      <c r="S108" s="80"/>
      <c r="T108" s="82"/>
      <c r="U108" s="80"/>
      <c r="V108" s="82"/>
      <c r="W108" s="80"/>
      <c r="X108" s="82"/>
      <c r="Y108" s="80"/>
      <c r="Z108" s="210">
        <f t="shared" si="1"/>
        <v>0</v>
      </c>
      <c r="AA108" s="60"/>
      <c r="AB108" s="60"/>
    </row>
    <row r="109" spans="1:28" x14ac:dyDescent="0.25">
      <c r="A109" s="443"/>
      <c r="B109" s="443"/>
      <c r="C109" s="443"/>
      <c r="D109" s="330"/>
      <c r="E109" s="330"/>
      <c r="F109" s="330"/>
      <c r="G109" s="330"/>
      <c r="H109" s="330"/>
      <c r="I109" s="330"/>
      <c r="J109" s="330"/>
      <c r="K109" s="330"/>
      <c r="L109" s="82"/>
      <c r="M109" s="80"/>
      <c r="N109" s="82"/>
      <c r="O109" s="80"/>
      <c r="P109" s="82"/>
      <c r="Q109" s="80"/>
      <c r="R109" s="82"/>
      <c r="S109" s="80"/>
      <c r="T109" s="82"/>
      <c r="U109" s="80"/>
      <c r="V109" s="82"/>
      <c r="W109" s="80"/>
      <c r="X109" s="82"/>
      <c r="Y109" s="80"/>
      <c r="Z109" s="210">
        <f t="shared" si="1"/>
        <v>0</v>
      </c>
      <c r="AA109" s="60"/>
      <c r="AB109" s="60"/>
    </row>
    <row r="110" spans="1:28" x14ac:dyDescent="0.25">
      <c r="A110" s="443"/>
      <c r="B110" s="443"/>
      <c r="C110" s="443"/>
      <c r="D110" s="330"/>
      <c r="E110" s="330"/>
      <c r="F110" s="330"/>
      <c r="G110" s="330"/>
      <c r="H110" s="330"/>
      <c r="I110" s="330"/>
      <c r="J110" s="330"/>
      <c r="K110" s="330"/>
      <c r="L110" s="82"/>
      <c r="M110" s="80"/>
      <c r="N110" s="82"/>
      <c r="O110" s="80"/>
      <c r="P110" s="82"/>
      <c r="Q110" s="80"/>
      <c r="R110" s="82"/>
      <c r="S110" s="80"/>
      <c r="T110" s="82"/>
      <c r="U110" s="80"/>
      <c r="V110" s="82"/>
      <c r="W110" s="80"/>
      <c r="X110" s="82"/>
      <c r="Y110" s="80"/>
      <c r="Z110" s="210">
        <f t="shared" si="1"/>
        <v>0</v>
      </c>
      <c r="AA110" s="60"/>
      <c r="AB110" s="60"/>
    </row>
    <row r="111" spans="1:28" x14ac:dyDescent="0.25">
      <c r="A111" s="443"/>
      <c r="B111" s="443"/>
      <c r="C111" s="443"/>
      <c r="D111" s="330"/>
      <c r="E111" s="330"/>
      <c r="F111" s="330"/>
      <c r="G111" s="330"/>
      <c r="H111" s="330"/>
      <c r="I111" s="330"/>
      <c r="J111" s="330"/>
      <c r="K111" s="330"/>
      <c r="L111" s="82"/>
      <c r="M111" s="80"/>
      <c r="N111" s="82"/>
      <c r="O111" s="80"/>
      <c r="P111" s="82"/>
      <c r="Q111" s="80"/>
      <c r="R111" s="82"/>
      <c r="S111" s="80"/>
      <c r="T111" s="82"/>
      <c r="U111" s="80"/>
      <c r="V111" s="82"/>
      <c r="W111" s="80"/>
      <c r="X111" s="82"/>
      <c r="Y111" s="80"/>
      <c r="Z111" s="210">
        <f t="shared" si="1"/>
        <v>0</v>
      </c>
      <c r="AA111" s="60"/>
      <c r="AB111" s="60"/>
    </row>
    <row r="112" spans="1:28" x14ac:dyDescent="0.25">
      <c r="A112" s="443"/>
      <c r="B112" s="443"/>
      <c r="C112" s="443"/>
      <c r="D112" s="330"/>
      <c r="E112" s="330"/>
      <c r="F112" s="330"/>
      <c r="G112" s="330"/>
      <c r="H112" s="330"/>
      <c r="I112" s="330"/>
      <c r="J112" s="330"/>
      <c r="K112" s="330"/>
      <c r="L112" s="82"/>
      <c r="M112" s="80"/>
      <c r="N112" s="82"/>
      <c r="O112" s="80"/>
      <c r="P112" s="82"/>
      <c r="Q112" s="80"/>
      <c r="R112" s="82"/>
      <c r="S112" s="80"/>
      <c r="T112" s="82"/>
      <c r="U112" s="80"/>
      <c r="V112" s="82"/>
      <c r="W112" s="80"/>
      <c r="X112" s="82"/>
      <c r="Y112" s="80"/>
      <c r="Z112" s="210">
        <f t="shared" si="1"/>
        <v>0</v>
      </c>
      <c r="AA112" s="60"/>
      <c r="AB112" s="60"/>
    </row>
    <row r="113" spans="1:28" x14ac:dyDescent="0.25">
      <c r="A113" s="443"/>
      <c r="B113" s="443"/>
      <c r="C113" s="443"/>
      <c r="D113" s="330"/>
      <c r="E113" s="330"/>
      <c r="F113" s="330"/>
      <c r="G113" s="330"/>
      <c r="H113" s="330"/>
      <c r="I113" s="330"/>
      <c r="J113" s="330"/>
      <c r="K113" s="330"/>
      <c r="L113" s="82"/>
      <c r="M113" s="80"/>
      <c r="N113" s="82"/>
      <c r="O113" s="80"/>
      <c r="P113" s="82"/>
      <c r="Q113" s="80"/>
      <c r="R113" s="82"/>
      <c r="S113" s="80"/>
      <c r="T113" s="82"/>
      <c r="U113" s="80"/>
      <c r="V113" s="82"/>
      <c r="W113" s="80"/>
      <c r="X113" s="82"/>
      <c r="Y113" s="80"/>
      <c r="Z113" s="210">
        <f t="shared" si="1"/>
        <v>0</v>
      </c>
      <c r="AA113" s="60"/>
      <c r="AB113" s="60"/>
    </row>
    <row r="114" spans="1:28" x14ac:dyDescent="0.25">
      <c r="A114" s="443"/>
      <c r="B114" s="443"/>
      <c r="C114" s="443"/>
      <c r="D114" s="330"/>
      <c r="E114" s="330"/>
      <c r="F114" s="330"/>
      <c r="G114" s="330"/>
      <c r="H114" s="330"/>
      <c r="I114" s="330"/>
      <c r="J114" s="330"/>
      <c r="K114" s="330"/>
      <c r="L114" s="82"/>
      <c r="M114" s="80"/>
      <c r="N114" s="82"/>
      <c r="O114" s="80"/>
      <c r="P114" s="82"/>
      <c r="Q114" s="80"/>
      <c r="R114" s="82"/>
      <c r="S114" s="80"/>
      <c r="T114" s="82"/>
      <c r="U114" s="80"/>
      <c r="V114" s="82"/>
      <c r="W114" s="80"/>
      <c r="X114" s="82"/>
      <c r="Y114" s="80"/>
      <c r="Z114" s="210">
        <f t="shared" si="1"/>
        <v>0</v>
      </c>
      <c r="AA114" s="60"/>
      <c r="AB114" s="60"/>
    </row>
    <row r="115" spans="1:28" x14ac:dyDescent="0.25">
      <c r="A115" s="443"/>
      <c r="B115" s="443"/>
      <c r="C115" s="443"/>
      <c r="D115" s="330"/>
      <c r="E115" s="330"/>
      <c r="F115" s="330"/>
      <c r="G115" s="330"/>
      <c r="H115" s="330"/>
      <c r="I115" s="330"/>
      <c r="J115" s="330"/>
      <c r="K115" s="330"/>
      <c r="L115" s="82"/>
      <c r="M115" s="80"/>
      <c r="N115" s="82"/>
      <c r="O115" s="80"/>
      <c r="P115" s="82"/>
      <c r="Q115" s="80"/>
      <c r="R115" s="82"/>
      <c r="S115" s="80"/>
      <c r="T115" s="82"/>
      <c r="U115" s="80"/>
      <c r="V115" s="82"/>
      <c r="W115" s="80"/>
      <c r="X115" s="82"/>
      <c r="Y115" s="80"/>
      <c r="Z115" s="210">
        <f t="shared" si="1"/>
        <v>0</v>
      </c>
      <c r="AA115" s="60"/>
      <c r="AB115" s="60"/>
    </row>
    <row r="116" spans="1:28" x14ac:dyDescent="0.25">
      <c r="A116" s="443"/>
      <c r="B116" s="443"/>
      <c r="C116" s="443"/>
      <c r="D116" s="330"/>
      <c r="E116" s="330"/>
      <c r="F116" s="330"/>
      <c r="G116" s="330"/>
      <c r="H116" s="330"/>
      <c r="I116" s="330"/>
      <c r="J116" s="330"/>
      <c r="K116" s="330"/>
      <c r="L116" s="82"/>
      <c r="M116" s="80"/>
      <c r="N116" s="82"/>
      <c r="O116" s="80"/>
      <c r="P116" s="82"/>
      <c r="Q116" s="80"/>
      <c r="R116" s="82"/>
      <c r="S116" s="80"/>
      <c r="T116" s="82"/>
      <c r="U116" s="80"/>
      <c r="V116" s="82"/>
      <c r="W116" s="80"/>
      <c r="X116" s="82"/>
      <c r="Y116" s="80"/>
      <c r="Z116" s="210">
        <f t="shared" si="1"/>
        <v>0</v>
      </c>
      <c r="AA116" s="60"/>
      <c r="AB116" s="60"/>
    </row>
    <row r="117" spans="1:28" x14ac:dyDescent="0.25">
      <c r="A117" s="443"/>
      <c r="B117" s="443"/>
      <c r="C117" s="443"/>
      <c r="D117" s="330"/>
      <c r="E117" s="330"/>
      <c r="F117" s="330"/>
      <c r="G117" s="330"/>
      <c r="H117" s="330"/>
      <c r="I117" s="330"/>
      <c r="J117" s="330"/>
      <c r="K117" s="330"/>
      <c r="L117" s="82"/>
      <c r="M117" s="80"/>
      <c r="N117" s="82"/>
      <c r="O117" s="80"/>
      <c r="P117" s="82"/>
      <c r="Q117" s="80"/>
      <c r="R117" s="82"/>
      <c r="S117" s="80"/>
      <c r="T117" s="82"/>
      <c r="U117" s="80"/>
      <c r="V117" s="82"/>
      <c r="W117" s="80"/>
      <c r="X117" s="82"/>
      <c r="Y117" s="80"/>
      <c r="Z117" s="210">
        <f t="shared" si="1"/>
        <v>0</v>
      </c>
      <c r="AA117" s="60"/>
      <c r="AB117" s="60"/>
    </row>
    <row r="118" spans="1:28" x14ac:dyDescent="0.25">
      <c r="A118" s="443"/>
      <c r="B118" s="443"/>
      <c r="C118" s="443"/>
      <c r="D118" s="330"/>
      <c r="E118" s="330"/>
      <c r="F118" s="330"/>
      <c r="G118" s="330"/>
      <c r="H118" s="330"/>
      <c r="I118" s="330"/>
      <c r="J118" s="330"/>
      <c r="K118" s="330"/>
      <c r="L118" s="82"/>
      <c r="M118" s="80"/>
      <c r="N118" s="82"/>
      <c r="O118" s="80"/>
      <c r="P118" s="82"/>
      <c r="Q118" s="80"/>
      <c r="R118" s="82"/>
      <c r="S118" s="80"/>
      <c r="T118" s="82"/>
      <c r="U118" s="80"/>
      <c r="V118" s="82"/>
      <c r="W118" s="80"/>
      <c r="X118" s="82"/>
      <c r="Y118" s="80"/>
      <c r="Z118" s="210">
        <f t="shared" si="1"/>
        <v>0</v>
      </c>
      <c r="AA118" s="60"/>
      <c r="AB118" s="60"/>
    </row>
    <row r="119" spans="1:28" x14ac:dyDescent="0.25">
      <c r="A119" s="443"/>
      <c r="B119" s="443"/>
      <c r="C119" s="443"/>
      <c r="D119" s="330"/>
      <c r="E119" s="330"/>
      <c r="F119" s="330"/>
      <c r="G119" s="330"/>
      <c r="H119" s="330"/>
      <c r="I119" s="330"/>
      <c r="J119" s="330"/>
      <c r="K119" s="330"/>
      <c r="L119" s="82"/>
      <c r="M119" s="80"/>
      <c r="N119" s="82"/>
      <c r="O119" s="80"/>
      <c r="P119" s="82"/>
      <c r="Q119" s="80"/>
      <c r="R119" s="82"/>
      <c r="S119" s="80"/>
      <c r="T119" s="82"/>
      <c r="U119" s="80"/>
      <c r="V119" s="82"/>
      <c r="W119" s="80"/>
      <c r="X119" s="82"/>
      <c r="Y119" s="80"/>
      <c r="Z119" s="210">
        <f t="shared" si="1"/>
        <v>0</v>
      </c>
      <c r="AA119" s="60"/>
      <c r="AB119" s="60"/>
    </row>
    <row r="120" spans="1:28" x14ac:dyDescent="0.25">
      <c r="A120" s="443"/>
      <c r="B120" s="443"/>
      <c r="C120" s="443"/>
      <c r="D120" s="330"/>
      <c r="E120" s="330"/>
      <c r="F120" s="330"/>
      <c r="G120" s="330"/>
      <c r="H120" s="330"/>
      <c r="I120" s="330"/>
      <c r="J120" s="330"/>
      <c r="K120" s="330"/>
      <c r="L120" s="82"/>
      <c r="M120" s="80"/>
      <c r="N120" s="82"/>
      <c r="O120" s="80"/>
      <c r="P120" s="82"/>
      <c r="Q120" s="80"/>
      <c r="R120" s="82"/>
      <c r="S120" s="80"/>
      <c r="T120" s="82"/>
      <c r="U120" s="80"/>
      <c r="V120" s="82"/>
      <c r="W120" s="80"/>
      <c r="X120" s="82"/>
      <c r="Y120" s="80"/>
      <c r="Z120" s="210">
        <f t="shared" si="1"/>
        <v>0</v>
      </c>
      <c r="AA120" s="60"/>
      <c r="AB120" s="60"/>
    </row>
    <row r="121" spans="1:28" x14ac:dyDescent="0.25">
      <c r="A121" s="443"/>
      <c r="B121" s="443"/>
      <c r="C121" s="443"/>
      <c r="D121" s="330"/>
      <c r="E121" s="330"/>
      <c r="F121" s="330"/>
      <c r="G121" s="330"/>
      <c r="H121" s="330"/>
      <c r="I121" s="330"/>
      <c r="J121" s="330"/>
      <c r="K121" s="330"/>
      <c r="L121" s="82"/>
      <c r="M121" s="80"/>
      <c r="N121" s="82"/>
      <c r="O121" s="80"/>
      <c r="P121" s="82"/>
      <c r="Q121" s="80"/>
      <c r="R121" s="82"/>
      <c r="S121" s="80"/>
      <c r="T121" s="82"/>
      <c r="U121" s="80"/>
      <c r="V121" s="82"/>
      <c r="W121" s="80"/>
      <c r="X121" s="82"/>
      <c r="Y121" s="80"/>
      <c r="Z121" s="210">
        <f t="shared" si="1"/>
        <v>0</v>
      </c>
      <c r="AA121" s="60"/>
      <c r="AB121" s="60"/>
    </row>
    <row r="122" spans="1:28" x14ac:dyDescent="0.25">
      <c r="A122" s="443"/>
      <c r="B122" s="443"/>
      <c r="C122" s="443"/>
      <c r="D122" s="330"/>
      <c r="E122" s="330"/>
      <c r="F122" s="330"/>
      <c r="G122" s="330"/>
      <c r="H122" s="330"/>
      <c r="I122" s="330"/>
      <c r="J122" s="330"/>
      <c r="K122" s="330"/>
      <c r="L122" s="82"/>
      <c r="M122" s="80"/>
      <c r="N122" s="82"/>
      <c r="O122" s="80"/>
      <c r="P122" s="82"/>
      <c r="Q122" s="80"/>
      <c r="R122" s="82"/>
      <c r="S122" s="80"/>
      <c r="T122" s="82"/>
      <c r="U122" s="80"/>
      <c r="V122" s="82"/>
      <c r="W122" s="80"/>
      <c r="X122" s="82"/>
      <c r="Y122" s="80"/>
      <c r="Z122" s="210">
        <f t="shared" si="1"/>
        <v>0</v>
      </c>
      <c r="AA122" s="60"/>
      <c r="AB122" s="60"/>
    </row>
    <row r="123" spans="1:28" x14ac:dyDescent="0.25">
      <c r="A123" s="443"/>
      <c r="B123" s="443"/>
      <c r="C123" s="443"/>
      <c r="D123" s="330"/>
      <c r="E123" s="330"/>
      <c r="F123" s="330"/>
      <c r="G123" s="330"/>
      <c r="H123" s="330"/>
      <c r="I123" s="330"/>
      <c r="J123" s="330"/>
      <c r="K123" s="330"/>
      <c r="L123" s="82"/>
      <c r="M123" s="80"/>
      <c r="N123" s="82"/>
      <c r="O123" s="80"/>
      <c r="P123" s="82"/>
      <c r="Q123" s="80"/>
      <c r="R123" s="82"/>
      <c r="S123" s="80"/>
      <c r="T123" s="82"/>
      <c r="U123" s="80"/>
      <c r="V123" s="82"/>
      <c r="W123" s="80"/>
      <c r="X123" s="82"/>
      <c r="Y123" s="80"/>
      <c r="Z123" s="210">
        <f t="shared" si="1"/>
        <v>0</v>
      </c>
      <c r="AA123" s="60"/>
      <c r="AB123" s="60"/>
    </row>
    <row r="124" spans="1:28" x14ac:dyDescent="0.25">
      <c r="A124" s="443"/>
      <c r="B124" s="443"/>
      <c r="C124" s="443"/>
      <c r="D124" s="330"/>
      <c r="E124" s="330"/>
      <c r="F124" s="330"/>
      <c r="G124" s="330"/>
      <c r="H124" s="330"/>
      <c r="I124" s="330"/>
      <c r="J124" s="330"/>
      <c r="K124" s="330"/>
      <c r="L124" s="82"/>
      <c r="M124" s="80"/>
      <c r="N124" s="82"/>
      <c r="O124" s="80"/>
      <c r="P124" s="82"/>
      <c r="Q124" s="80"/>
      <c r="R124" s="82"/>
      <c r="S124" s="80"/>
      <c r="T124" s="82"/>
      <c r="U124" s="80"/>
      <c r="V124" s="82"/>
      <c r="W124" s="80"/>
      <c r="X124" s="82"/>
      <c r="Y124" s="80"/>
      <c r="Z124" s="210">
        <f t="shared" si="1"/>
        <v>0</v>
      </c>
      <c r="AA124" s="60"/>
      <c r="AB124" s="60"/>
    </row>
    <row r="125" spans="1:28" x14ac:dyDescent="0.25">
      <c r="A125" s="443"/>
      <c r="B125" s="443"/>
      <c r="C125" s="443"/>
      <c r="D125" s="330"/>
      <c r="E125" s="330"/>
      <c r="F125" s="330"/>
      <c r="G125" s="330"/>
      <c r="H125" s="330"/>
      <c r="I125" s="330"/>
      <c r="J125" s="330"/>
      <c r="K125" s="330"/>
      <c r="L125" s="82"/>
      <c r="M125" s="80"/>
      <c r="N125" s="82"/>
      <c r="O125" s="80"/>
      <c r="P125" s="82"/>
      <c r="Q125" s="80"/>
      <c r="R125" s="82"/>
      <c r="S125" s="80"/>
      <c r="T125" s="82"/>
      <c r="U125" s="80"/>
      <c r="V125" s="82"/>
      <c r="W125" s="80"/>
      <c r="X125" s="82"/>
      <c r="Y125" s="80"/>
      <c r="Z125" s="210">
        <f t="shared" si="1"/>
        <v>0</v>
      </c>
      <c r="AA125" s="60"/>
      <c r="AB125" s="60"/>
    </row>
    <row r="126" spans="1:28" x14ac:dyDescent="0.25">
      <c r="A126" s="443"/>
      <c r="B126" s="443"/>
      <c r="C126" s="443"/>
      <c r="D126" s="330"/>
      <c r="E126" s="330"/>
      <c r="F126" s="330"/>
      <c r="G126" s="330"/>
      <c r="H126" s="330"/>
      <c r="I126" s="330"/>
      <c r="J126" s="330"/>
      <c r="K126" s="330"/>
      <c r="L126" s="82"/>
      <c r="M126" s="80"/>
      <c r="N126" s="82"/>
      <c r="O126" s="80"/>
      <c r="P126" s="82"/>
      <c r="Q126" s="80"/>
      <c r="R126" s="82"/>
      <c r="S126" s="80"/>
      <c r="T126" s="82"/>
      <c r="U126" s="80"/>
      <c r="V126" s="82"/>
      <c r="W126" s="80"/>
      <c r="X126" s="82"/>
      <c r="Y126" s="80"/>
      <c r="Z126" s="210">
        <f t="shared" si="1"/>
        <v>0</v>
      </c>
      <c r="AA126" s="60"/>
      <c r="AB126" s="60"/>
    </row>
    <row r="127" spans="1:28" x14ac:dyDescent="0.25">
      <c r="A127" s="443"/>
      <c r="B127" s="443"/>
      <c r="C127" s="443"/>
      <c r="D127" s="330"/>
      <c r="E127" s="330"/>
      <c r="F127" s="330"/>
      <c r="G127" s="330"/>
      <c r="H127" s="330"/>
      <c r="I127" s="330"/>
      <c r="J127" s="330"/>
      <c r="K127" s="330"/>
      <c r="L127" s="82"/>
      <c r="M127" s="80"/>
      <c r="N127" s="82"/>
      <c r="O127" s="80"/>
      <c r="P127" s="82"/>
      <c r="Q127" s="80"/>
      <c r="R127" s="82"/>
      <c r="S127" s="80"/>
      <c r="T127" s="82"/>
      <c r="U127" s="80"/>
      <c r="V127" s="82"/>
      <c r="W127" s="80"/>
      <c r="X127" s="82"/>
      <c r="Y127" s="80"/>
      <c r="Z127" s="210">
        <f t="shared" si="1"/>
        <v>0</v>
      </c>
      <c r="AA127" s="60"/>
      <c r="AB127" s="60"/>
    </row>
    <row r="128" spans="1:28" x14ac:dyDescent="0.25">
      <c r="A128" s="443"/>
      <c r="B128" s="443"/>
      <c r="C128" s="443"/>
      <c r="D128" s="330"/>
      <c r="E128" s="330"/>
      <c r="F128" s="330"/>
      <c r="G128" s="330"/>
      <c r="H128" s="330"/>
      <c r="I128" s="330"/>
      <c r="J128" s="330"/>
      <c r="K128" s="330"/>
      <c r="L128" s="82"/>
      <c r="M128" s="80"/>
      <c r="N128" s="82"/>
      <c r="O128" s="80"/>
      <c r="P128" s="82"/>
      <c r="Q128" s="80"/>
      <c r="R128" s="82"/>
      <c r="S128" s="80"/>
      <c r="T128" s="82"/>
      <c r="U128" s="80"/>
      <c r="V128" s="82"/>
      <c r="W128" s="80"/>
      <c r="X128" s="82"/>
      <c r="Y128" s="80"/>
      <c r="Z128" s="210">
        <f t="shared" si="1"/>
        <v>0</v>
      </c>
      <c r="AA128" s="60"/>
      <c r="AB128" s="60"/>
    </row>
    <row r="129" spans="1:28" x14ac:dyDescent="0.25">
      <c r="A129" s="443"/>
      <c r="B129" s="443"/>
      <c r="C129" s="443"/>
      <c r="D129" s="330"/>
      <c r="E129" s="330"/>
      <c r="F129" s="330"/>
      <c r="G129" s="330"/>
      <c r="H129" s="330"/>
      <c r="I129" s="330"/>
      <c r="J129" s="330"/>
      <c r="K129" s="330"/>
      <c r="L129" s="82"/>
      <c r="M129" s="80"/>
      <c r="N129" s="82"/>
      <c r="O129" s="80"/>
      <c r="P129" s="82"/>
      <c r="Q129" s="80"/>
      <c r="R129" s="82"/>
      <c r="S129" s="80"/>
      <c r="T129" s="82"/>
      <c r="U129" s="80"/>
      <c r="V129" s="82"/>
      <c r="W129" s="80"/>
      <c r="X129" s="82"/>
      <c r="Y129" s="80"/>
      <c r="Z129" s="210">
        <f t="shared" si="1"/>
        <v>0</v>
      </c>
      <c r="AA129" s="60"/>
      <c r="AB129" s="60"/>
    </row>
    <row r="130" spans="1:28" x14ac:dyDescent="0.25">
      <c r="A130" s="443"/>
      <c r="B130" s="443"/>
      <c r="C130" s="443"/>
      <c r="D130" s="330"/>
      <c r="E130" s="330"/>
      <c r="F130" s="330"/>
      <c r="G130" s="330"/>
      <c r="H130" s="330"/>
      <c r="I130" s="330"/>
      <c r="J130" s="330"/>
      <c r="K130" s="330"/>
      <c r="L130" s="82"/>
      <c r="M130" s="80"/>
      <c r="N130" s="82"/>
      <c r="O130" s="80"/>
      <c r="P130" s="82"/>
      <c r="Q130" s="80"/>
      <c r="R130" s="82"/>
      <c r="S130" s="80"/>
      <c r="T130" s="82"/>
      <c r="U130" s="80"/>
      <c r="V130" s="82"/>
      <c r="W130" s="80"/>
      <c r="X130" s="82"/>
      <c r="Y130" s="80"/>
      <c r="Z130" s="210">
        <f t="shared" si="1"/>
        <v>0</v>
      </c>
      <c r="AA130" s="60"/>
      <c r="AB130" s="60"/>
    </row>
    <row r="131" spans="1:28" x14ac:dyDescent="0.25">
      <c r="A131" s="443"/>
      <c r="B131" s="443"/>
      <c r="C131" s="443"/>
      <c r="D131" s="330"/>
      <c r="E131" s="330"/>
      <c r="F131" s="330"/>
      <c r="G131" s="330"/>
      <c r="H131" s="330"/>
      <c r="I131" s="330"/>
      <c r="J131" s="330"/>
      <c r="K131" s="330"/>
      <c r="L131" s="82"/>
      <c r="M131" s="80"/>
      <c r="N131" s="82"/>
      <c r="O131" s="80"/>
      <c r="P131" s="82"/>
      <c r="Q131" s="80"/>
      <c r="R131" s="82"/>
      <c r="S131" s="80"/>
      <c r="T131" s="82"/>
      <c r="U131" s="80"/>
      <c r="V131" s="82"/>
      <c r="W131" s="80"/>
      <c r="X131" s="82"/>
      <c r="Y131" s="80"/>
      <c r="Z131" s="210">
        <f t="shared" si="1"/>
        <v>0</v>
      </c>
      <c r="AA131" s="60"/>
      <c r="AB131" s="60"/>
    </row>
    <row r="132" spans="1:28" x14ac:dyDescent="0.25">
      <c r="A132" s="443"/>
      <c r="B132" s="443"/>
      <c r="C132" s="443"/>
      <c r="D132" s="330"/>
      <c r="E132" s="330"/>
      <c r="F132" s="330"/>
      <c r="G132" s="330"/>
      <c r="H132" s="330"/>
      <c r="I132" s="330"/>
      <c r="J132" s="330"/>
      <c r="K132" s="330"/>
      <c r="L132" s="82"/>
      <c r="M132" s="80"/>
      <c r="N132" s="82"/>
      <c r="O132" s="80"/>
      <c r="P132" s="82"/>
      <c r="Q132" s="80"/>
      <c r="R132" s="82"/>
      <c r="S132" s="80"/>
      <c r="T132" s="82"/>
      <c r="U132" s="80"/>
      <c r="V132" s="82"/>
      <c r="W132" s="80"/>
      <c r="X132" s="82"/>
      <c r="Y132" s="80"/>
      <c r="Z132" s="210">
        <f t="shared" si="1"/>
        <v>0</v>
      </c>
      <c r="AA132" s="60"/>
      <c r="AB132" s="60"/>
    </row>
    <row r="133" spans="1:28" x14ac:dyDescent="0.25">
      <c r="A133" s="443"/>
      <c r="B133" s="443"/>
      <c r="C133" s="443"/>
      <c r="D133" s="330"/>
      <c r="E133" s="330"/>
      <c r="F133" s="330"/>
      <c r="G133" s="330"/>
      <c r="H133" s="330"/>
      <c r="I133" s="330"/>
      <c r="J133" s="330"/>
      <c r="K133" s="330"/>
      <c r="L133" s="82"/>
      <c r="M133" s="80"/>
      <c r="N133" s="82"/>
      <c r="O133" s="80"/>
      <c r="P133" s="82"/>
      <c r="Q133" s="80"/>
      <c r="R133" s="82"/>
      <c r="S133" s="80"/>
      <c r="T133" s="82"/>
      <c r="U133" s="80"/>
      <c r="V133" s="82"/>
      <c r="W133" s="80"/>
      <c r="X133" s="82"/>
      <c r="Y133" s="80"/>
      <c r="Z133" s="210">
        <f t="shared" si="1"/>
        <v>0</v>
      </c>
      <c r="AA133" s="60"/>
      <c r="AB133" s="60"/>
    </row>
    <row r="134" spans="1:28" x14ac:dyDescent="0.25">
      <c r="A134" s="443"/>
      <c r="B134" s="443"/>
      <c r="C134" s="443"/>
      <c r="D134" s="330"/>
      <c r="E134" s="330"/>
      <c r="F134" s="330"/>
      <c r="G134" s="330"/>
      <c r="H134" s="330"/>
      <c r="I134" s="330"/>
      <c r="J134" s="330"/>
      <c r="K134" s="330"/>
      <c r="L134" s="82"/>
      <c r="M134" s="80"/>
      <c r="N134" s="82"/>
      <c r="O134" s="80"/>
      <c r="P134" s="82"/>
      <c r="Q134" s="80"/>
      <c r="R134" s="82"/>
      <c r="S134" s="80"/>
      <c r="T134" s="82"/>
      <c r="U134" s="80"/>
      <c r="V134" s="82"/>
      <c r="W134" s="80"/>
      <c r="X134" s="82"/>
      <c r="Y134" s="80"/>
      <c r="Z134" s="210">
        <f t="shared" si="1"/>
        <v>0</v>
      </c>
      <c r="AA134" s="60"/>
      <c r="AB134" s="60"/>
    </row>
    <row r="135" spans="1:28" x14ac:dyDescent="0.25">
      <c r="A135" s="443"/>
      <c r="B135" s="443"/>
      <c r="C135" s="443"/>
      <c r="D135" s="330"/>
      <c r="E135" s="330"/>
      <c r="F135" s="330"/>
      <c r="G135" s="330"/>
      <c r="H135" s="330"/>
      <c r="I135" s="330"/>
      <c r="J135" s="330"/>
      <c r="K135" s="330"/>
      <c r="L135" s="82"/>
      <c r="M135" s="80"/>
      <c r="N135" s="82"/>
      <c r="O135" s="80"/>
      <c r="P135" s="82"/>
      <c r="Q135" s="80"/>
      <c r="R135" s="82"/>
      <c r="S135" s="80"/>
      <c r="T135" s="82"/>
      <c r="U135" s="80"/>
      <c r="V135" s="82"/>
      <c r="W135" s="80"/>
      <c r="X135" s="82"/>
      <c r="Y135" s="80"/>
      <c r="Z135" s="210">
        <f t="shared" si="1"/>
        <v>0</v>
      </c>
      <c r="AA135" s="60"/>
      <c r="AB135" s="60"/>
    </row>
    <row r="136" spans="1:28" x14ac:dyDescent="0.25">
      <c r="A136" s="443"/>
      <c r="B136" s="443"/>
      <c r="C136" s="443"/>
      <c r="D136" s="330"/>
      <c r="E136" s="330"/>
      <c r="F136" s="330"/>
      <c r="G136" s="330"/>
      <c r="H136" s="330"/>
      <c r="I136" s="330"/>
      <c r="J136" s="330"/>
      <c r="K136" s="330"/>
      <c r="L136" s="82"/>
      <c r="M136" s="80"/>
      <c r="N136" s="82"/>
      <c r="O136" s="80"/>
      <c r="P136" s="82"/>
      <c r="Q136" s="80"/>
      <c r="R136" s="82"/>
      <c r="S136" s="80"/>
      <c r="T136" s="82"/>
      <c r="U136" s="80"/>
      <c r="V136" s="82"/>
      <c r="W136" s="80"/>
      <c r="X136" s="82"/>
      <c r="Y136" s="80"/>
      <c r="Z136" s="210">
        <f t="shared" si="1"/>
        <v>0</v>
      </c>
      <c r="AA136" s="60"/>
      <c r="AB136" s="60"/>
    </row>
    <row r="137" spans="1:28" x14ac:dyDescent="0.25">
      <c r="A137" s="443"/>
      <c r="B137" s="443"/>
      <c r="C137" s="443"/>
      <c r="D137" s="330"/>
      <c r="E137" s="330"/>
      <c r="F137" s="330"/>
      <c r="G137" s="330"/>
      <c r="H137" s="330"/>
      <c r="I137" s="330"/>
      <c r="J137" s="330"/>
      <c r="K137" s="330"/>
      <c r="L137" s="82"/>
      <c r="M137" s="80"/>
      <c r="N137" s="82"/>
      <c r="O137" s="80"/>
      <c r="P137" s="82"/>
      <c r="Q137" s="80"/>
      <c r="R137" s="82"/>
      <c r="S137" s="80"/>
      <c r="T137" s="82"/>
      <c r="U137" s="80"/>
      <c r="V137" s="82"/>
      <c r="W137" s="80"/>
      <c r="X137" s="82"/>
      <c r="Y137" s="80"/>
      <c r="Z137" s="210">
        <f t="shared" si="1"/>
        <v>0</v>
      </c>
      <c r="AA137" s="60"/>
      <c r="AB137" s="60"/>
    </row>
    <row r="138" spans="1:28" x14ac:dyDescent="0.25">
      <c r="A138" s="443"/>
      <c r="B138" s="443"/>
      <c r="C138" s="443"/>
      <c r="D138" s="330"/>
      <c r="E138" s="330"/>
      <c r="F138" s="330"/>
      <c r="G138" s="330"/>
      <c r="H138" s="330"/>
      <c r="I138" s="330"/>
      <c r="J138" s="330"/>
      <c r="K138" s="330"/>
      <c r="L138" s="82"/>
      <c r="M138" s="80"/>
      <c r="N138" s="82"/>
      <c r="O138" s="80"/>
      <c r="P138" s="82"/>
      <c r="Q138" s="80"/>
      <c r="R138" s="82"/>
      <c r="S138" s="80"/>
      <c r="T138" s="82"/>
      <c r="U138" s="80"/>
      <c r="V138" s="82"/>
      <c r="W138" s="80"/>
      <c r="X138" s="82"/>
      <c r="Y138" s="80"/>
      <c r="Z138" s="210">
        <f t="shared" si="1"/>
        <v>0</v>
      </c>
      <c r="AA138" s="60"/>
      <c r="AB138" s="60"/>
    </row>
    <row r="139" spans="1:28" x14ac:dyDescent="0.25">
      <c r="A139" s="443"/>
      <c r="B139" s="443"/>
      <c r="C139" s="443"/>
      <c r="D139" s="330"/>
      <c r="E139" s="330"/>
      <c r="F139" s="330"/>
      <c r="G139" s="330"/>
      <c r="H139" s="330"/>
      <c r="I139" s="330"/>
      <c r="J139" s="330"/>
      <c r="K139" s="330"/>
      <c r="L139" s="82"/>
      <c r="M139" s="80"/>
      <c r="N139" s="82"/>
      <c r="O139" s="80"/>
      <c r="P139" s="82"/>
      <c r="Q139" s="80"/>
      <c r="R139" s="82"/>
      <c r="S139" s="80"/>
      <c r="T139" s="82"/>
      <c r="U139" s="80"/>
      <c r="V139" s="82"/>
      <c r="W139" s="80"/>
      <c r="X139" s="82"/>
      <c r="Y139" s="80"/>
      <c r="Z139" s="210">
        <f t="shared" ref="Z139:Z202" si="2">SUM(L139:Y139)</f>
        <v>0</v>
      </c>
      <c r="AA139" s="60"/>
      <c r="AB139" s="60"/>
    </row>
    <row r="140" spans="1:28" x14ac:dyDescent="0.25">
      <c r="A140" s="443"/>
      <c r="B140" s="443"/>
      <c r="C140" s="443"/>
      <c r="D140" s="330"/>
      <c r="E140" s="330"/>
      <c r="F140" s="330"/>
      <c r="G140" s="330"/>
      <c r="H140" s="330"/>
      <c r="I140" s="330"/>
      <c r="J140" s="330"/>
      <c r="K140" s="330"/>
      <c r="L140" s="82"/>
      <c r="M140" s="80"/>
      <c r="N140" s="82"/>
      <c r="O140" s="80"/>
      <c r="P140" s="82"/>
      <c r="Q140" s="80"/>
      <c r="R140" s="82"/>
      <c r="S140" s="80"/>
      <c r="T140" s="82"/>
      <c r="U140" s="80"/>
      <c r="V140" s="82"/>
      <c r="W140" s="80"/>
      <c r="X140" s="82"/>
      <c r="Y140" s="80"/>
      <c r="Z140" s="210">
        <f t="shared" si="2"/>
        <v>0</v>
      </c>
      <c r="AA140" s="60"/>
      <c r="AB140" s="60"/>
    </row>
    <row r="141" spans="1:28" x14ac:dyDescent="0.25">
      <c r="A141" s="443"/>
      <c r="B141" s="443"/>
      <c r="C141" s="443"/>
      <c r="D141" s="330"/>
      <c r="E141" s="330"/>
      <c r="F141" s="330"/>
      <c r="G141" s="330"/>
      <c r="H141" s="330"/>
      <c r="I141" s="330"/>
      <c r="J141" s="330"/>
      <c r="K141" s="330"/>
      <c r="L141" s="82"/>
      <c r="M141" s="80"/>
      <c r="N141" s="82"/>
      <c r="O141" s="80"/>
      <c r="P141" s="82"/>
      <c r="Q141" s="80"/>
      <c r="R141" s="82"/>
      <c r="S141" s="80"/>
      <c r="T141" s="82"/>
      <c r="U141" s="80"/>
      <c r="V141" s="82"/>
      <c r="W141" s="80"/>
      <c r="X141" s="82"/>
      <c r="Y141" s="80"/>
      <c r="Z141" s="210">
        <f t="shared" si="2"/>
        <v>0</v>
      </c>
      <c r="AA141" s="60"/>
      <c r="AB141" s="60"/>
    </row>
    <row r="142" spans="1:28" x14ac:dyDescent="0.25">
      <c r="A142" s="443"/>
      <c r="B142" s="443"/>
      <c r="C142" s="443"/>
      <c r="D142" s="330"/>
      <c r="E142" s="330"/>
      <c r="F142" s="330"/>
      <c r="G142" s="330"/>
      <c r="H142" s="330"/>
      <c r="I142" s="330"/>
      <c r="J142" s="330"/>
      <c r="K142" s="330"/>
      <c r="L142" s="82"/>
      <c r="M142" s="80"/>
      <c r="N142" s="82"/>
      <c r="O142" s="80"/>
      <c r="P142" s="82"/>
      <c r="Q142" s="80"/>
      <c r="R142" s="82"/>
      <c r="S142" s="80"/>
      <c r="T142" s="82"/>
      <c r="U142" s="80"/>
      <c r="V142" s="82"/>
      <c r="W142" s="80"/>
      <c r="X142" s="82"/>
      <c r="Y142" s="80"/>
      <c r="Z142" s="210">
        <f t="shared" si="2"/>
        <v>0</v>
      </c>
      <c r="AA142" s="60"/>
      <c r="AB142" s="60"/>
    </row>
    <row r="143" spans="1:28" x14ac:dyDescent="0.25">
      <c r="A143" s="443"/>
      <c r="B143" s="443"/>
      <c r="C143" s="443"/>
      <c r="D143" s="330"/>
      <c r="E143" s="330"/>
      <c r="F143" s="330"/>
      <c r="G143" s="330"/>
      <c r="H143" s="330"/>
      <c r="I143" s="330"/>
      <c r="J143" s="330"/>
      <c r="K143" s="330"/>
      <c r="L143" s="82"/>
      <c r="M143" s="80"/>
      <c r="N143" s="82"/>
      <c r="O143" s="80"/>
      <c r="P143" s="82"/>
      <c r="Q143" s="80"/>
      <c r="R143" s="82"/>
      <c r="S143" s="80"/>
      <c r="T143" s="82"/>
      <c r="U143" s="80"/>
      <c r="V143" s="82"/>
      <c r="W143" s="80"/>
      <c r="X143" s="82"/>
      <c r="Y143" s="80"/>
      <c r="Z143" s="210">
        <f t="shared" si="2"/>
        <v>0</v>
      </c>
      <c r="AA143" s="60"/>
      <c r="AB143" s="60"/>
    </row>
    <row r="144" spans="1:28" x14ac:dyDescent="0.25">
      <c r="A144" s="443"/>
      <c r="B144" s="443"/>
      <c r="C144" s="443"/>
      <c r="D144" s="330"/>
      <c r="E144" s="330"/>
      <c r="F144" s="330"/>
      <c r="G144" s="330"/>
      <c r="H144" s="330"/>
      <c r="I144" s="330"/>
      <c r="J144" s="330"/>
      <c r="K144" s="330"/>
      <c r="L144" s="82"/>
      <c r="M144" s="80"/>
      <c r="N144" s="82"/>
      <c r="O144" s="80"/>
      <c r="P144" s="82"/>
      <c r="Q144" s="80"/>
      <c r="R144" s="82"/>
      <c r="S144" s="80"/>
      <c r="T144" s="82"/>
      <c r="U144" s="80"/>
      <c r="V144" s="82"/>
      <c r="W144" s="80"/>
      <c r="X144" s="82"/>
      <c r="Y144" s="80"/>
      <c r="Z144" s="210">
        <f t="shared" si="2"/>
        <v>0</v>
      </c>
      <c r="AA144" s="60"/>
      <c r="AB144" s="60"/>
    </row>
    <row r="145" spans="1:28" x14ac:dyDescent="0.25">
      <c r="A145" s="443"/>
      <c r="B145" s="443"/>
      <c r="C145" s="443"/>
      <c r="D145" s="330"/>
      <c r="E145" s="330"/>
      <c r="F145" s="330"/>
      <c r="G145" s="330"/>
      <c r="H145" s="330"/>
      <c r="I145" s="330"/>
      <c r="J145" s="330"/>
      <c r="K145" s="330"/>
      <c r="L145" s="82"/>
      <c r="M145" s="80"/>
      <c r="N145" s="82"/>
      <c r="O145" s="80"/>
      <c r="P145" s="82"/>
      <c r="Q145" s="80"/>
      <c r="R145" s="82"/>
      <c r="S145" s="80"/>
      <c r="T145" s="82"/>
      <c r="U145" s="80"/>
      <c r="V145" s="82"/>
      <c r="W145" s="80"/>
      <c r="X145" s="82"/>
      <c r="Y145" s="80"/>
      <c r="Z145" s="210">
        <f t="shared" si="2"/>
        <v>0</v>
      </c>
      <c r="AA145" s="60"/>
      <c r="AB145" s="60"/>
    </row>
    <row r="146" spans="1:28" x14ac:dyDescent="0.25">
      <c r="A146" s="443"/>
      <c r="B146" s="443"/>
      <c r="C146" s="443"/>
      <c r="D146" s="330"/>
      <c r="E146" s="330"/>
      <c r="F146" s="330"/>
      <c r="G146" s="330"/>
      <c r="H146" s="330"/>
      <c r="I146" s="330"/>
      <c r="J146" s="330"/>
      <c r="K146" s="330"/>
      <c r="L146" s="82"/>
      <c r="M146" s="80"/>
      <c r="N146" s="82"/>
      <c r="O146" s="80"/>
      <c r="P146" s="82"/>
      <c r="Q146" s="80"/>
      <c r="R146" s="82"/>
      <c r="S146" s="80"/>
      <c r="T146" s="82"/>
      <c r="U146" s="80"/>
      <c r="V146" s="82"/>
      <c r="W146" s="80"/>
      <c r="X146" s="82"/>
      <c r="Y146" s="80"/>
      <c r="Z146" s="210">
        <f t="shared" si="2"/>
        <v>0</v>
      </c>
      <c r="AA146" s="60"/>
      <c r="AB146" s="60"/>
    </row>
    <row r="147" spans="1:28" x14ac:dyDescent="0.25">
      <c r="A147" s="443"/>
      <c r="B147" s="443"/>
      <c r="C147" s="443"/>
      <c r="D147" s="330"/>
      <c r="E147" s="330"/>
      <c r="F147" s="330"/>
      <c r="G147" s="330"/>
      <c r="H147" s="330"/>
      <c r="I147" s="330"/>
      <c r="J147" s="330"/>
      <c r="K147" s="330"/>
      <c r="L147" s="82"/>
      <c r="M147" s="80"/>
      <c r="N147" s="82"/>
      <c r="O147" s="80"/>
      <c r="P147" s="82"/>
      <c r="Q147" s="80"/>
      <c r="R147" s="82"/>
      <c r="S147" s="80"/>
      <c r="T147" s="82"/>
      <c r="U147" s="80"/>
      <c r="V147" s="82"/>
      <c r="W147" s="80"/>
      <c r="X147" s="82"/>
      <c r="Y147" s="80"/>
      <c r="Z147" s="210">
        <f t="shared" si="2"/>
        <v>0</v>
      </c>
      <c r="AA147" s="60"/>
      <c r="AB147" s="60"/>
    </row>
    <row r="148" spans="1:28" x14ac:dyDescent="0.25">
      <c r="A148" s="443"/>
      <c r="B148" s="443"/>
      <c r="C148" s="443"/>
      <c r="D148" s="330"/>
      <c r="E148" s="330"/>
      <c r="F148" s="330"/>
      <c r="G148" s="330"/>
      <c r="H148" s="330"/>
      <c r="I148" s="330"/>
      <c r="J148" s="330"/>
      <c r="K148" s="330"/>
      <c r="L148" s="82"/>
      <c r="M148" s="80"/>
      <c r="N148" s="82"/>
      <c r="O148" s="80"/>
      <c r="P148" s="82"/>
      <c r="Q148" s="80"/>
      <c r="R148" s="82"/>
      <c r="S148" s="80"/>
      <c r="T148" s="82"/>
      <c r="U148" s="80"/>
      <c r="V148" s="82"/>
      <c r="W148" s="80"/>
      <c r="X148" s="82"/>
      <c r="Y148" s="80"/>
      <c r="Z148" s="210">
        <f t="shared" si="2"/>
        <v>0</v>
      </c>
      <c r="AA148" s="60"/>
      <c r="AB148" s="60"/>
    </row>
    <row r="149" spans="1:28" x14ac:dyDescent="0.25">
      <c r="A149" s="443"/>
      <c r="B149" s="443"/>
      <c r="C149" s="443"/>
      <c r="D149" s="330"/>
      <c r="E149" s="330"/>
      <c r="F149" s="330"/>
      <c r="G149" s="330"/>
      <c r="H149" s="330"/>
      <c r="I149" s="330"/>
      <c r="J149" s="330"/>
      <c r="K149" s="330"/>
      <c r="L149" s="82"/>
      <c r="M149" s="80"/>
      <c r="N149" s="82"/>
      <c r="O149" s="80"/>
      <c r="P149" s="82"/>
      <c r="Q149" s="80"/>
      <c r="R149" s="82"/>
      <c r="S149" s="80"/>
      <c r="T149" s="82"/>
      <c r="U149" s="80"/>
      <c r="V149" s="82"/>
      <c r="W149" s="80"/>
      <c r="X149" s="82"/>
      <c r="Y149" s="80"/>
      <c r="Z149" s="210">
        <f t="shared" si="2"/>
        <v>0</v>
      </c>
      <c r="AA149" s="60"/>
      <c r="AB149" s="60"/>
    </row>
    <row r="150" spans="1:28" x14ac:dyDescent="0.25">
      <c r="A150" s="443"/>
      <c r="B150" s="443"/>
      <c r="C150" s="443"/>
      <c r="D150" s="330"/>
      <c r="E150" s="330"/>
      <c r="F150" s="330"/>
      <c r="G150" s="330"/>
      <c r="H150" s="330"/>
      <c r="I150" s="330"/>
      <c r="J150" s="330"/>
      <c r="K150" s="330"/>
      <c r="L150" s="82"/>
      <c r="M150" s="80"/>
      <c r="N150" s="82"/>
      <c r="O150" s="80"/>
      <c r="P150" s="82"/>
      <c r="Q150" s="80"/>
      <c r="R150" s="82"/>
      <c r="S150" s="80"/>
      <c r="T150" s="82"/>
      <c r="U150" s="80"/>
      <c r="V150" s="82"/>
      <c r="W150" s="80"/>
      <c r="X150" s="82"/>
      <c r="Y150" s="80"/>
      <c r="Z150" s="210">
        <f t="shared" si="2"/>
        <v>0</v>
      </c>
      <c r="AA150" s="60"/>
      <c r="AB150" s="60"/>
    </row>
    <row r="151" spans="1:28" x14ac:dyDescent="0.25">
      <c r="A151" s="443"/>
      <c r="B151" s="443"/>
      <c r="C151" s="443"/>
      <c r="D151" s="330"/>
      <c r="E151" s="330"/>
      <c r="F151" s="330"/>
      <c r="G151" s="330"/>
      <c r="H151" s="330"/>
      <c r="I151" s="330"/>
      <c r="J151" s="330"/>
      <c r="K151" s="330"/>
      <c r="L151" s="82"/>
      <c r="M151" s="80"/>
      <c r="N151" s="82"/>
      <c r="O151" s="80"/>
      <c r="P151" s="82"/>
      <c r="Q151" s="80"/>
      <c r="R151" s="82"/>
      <c r="S151" s="80"/>
      <c r="T151" s="82"/>
      <c r="U151" s="80"/>
      <c r="V151" s="82"/>
      <c r="W151" s="80"/>
      <c r="X151" s="82"/>
      <c r="Y151" s="80"/>
      <c r="Z151" s="210">
        <f t="shared" si="2"/>
        <v>0</v>
      </c>
      <c r="AA151" s="60"/>
      <c r="AB151" s="60"/>
    </row>
    <row r="152" spans="1:28" x14ac:dyDescent="0.25">
      <c r="A152" s="443"/>
      <c r="B152" s="443"/>
      <c r="C152" s="443"/>
      <c r="D152" s="330"/>
      <c r="E152" s="330"/>
      <c r="F152" s="330"/>
      <c r="G152" s="330"/>
      <c r="H152" s="330"/>
      <c r="I152" s="330"/>
      <c r="J152" s="330"/>
      <c r="K152" s="330"/>
      <c r="L152" s="82"/>
      <c r="M152" s="80"/>
      <c r="N152" s="82"/>
      <c r="O152" s="80"/>
      <c r="P152" s="82"/>
      <c r="Q152" s="80"/>
      <c r="R152" s="82"/>
      <c r="S152" s="80"/>
      <c r="T152" s="82"/>
      <c r="U152" s="80"/>
      <c r="V152" s="82"/>
      <c r="W152" s="80"/>
      <c r="X152" s="82"/>
      <c r="Y152" s="80"/>
      <c r="Z152" s="210">
        <f t="shared" si="2"/>
        <v>0</v>
      </c>
      <c r="AA152" s="60"/>
      <c r="AB152" s="60"/>
    </row>
    <row r="153" spans="1:28" x14ac:dyDescent="0.25">
      <c r="A153" s="443"/>
      <c r="B153" s="443"/>
      <c r="C153" s="443"/>
      <c r="D153" s="330"/>
      <c r="E153" s="330"/>
      <c r="F153" s="330"/>
      <c r="G153" s="330"/>
      <c r="H153" s="330"/>
      <c r="I153" s="330"/>
      <c r="J153" s="330"/>
      <c r="K153" s="330"/>
      <c r="L153" s="82"/>
      <c r="M153" s="80"/>
      <c r="N153" s="82"/>
      <c r="O153" s="80"/>
      <c r="P153" s="82"/>
      <c r="Q153" s="80"/>
      <c r="R153" s="82"/>
      <c r="S153" s="80"/>
      <c r="T153" s="82"/>
      <c r="U153" s="80"/>
      <c r="V153" s="82"/>
      <c r="W153" s="80"/>
      <c r="X153" s="82"/>
      <c r="Y153" s="80"/>
      <c r="Z153" s="210">
        <f t="shared" si="2"/>
        <v>0</v>
      </c>
      <c r="AA153" s="60"/>
      <c r="AB153" s="60"/>
    </row>
    <row r="154" spans="1:28" x14ac:dyDescent="0.25">
      <c r="A154" s="443"/>
      <c r="B154" s="443"/>
      <c r="C154" s="443"/>
      <c r="D154" s="330"/>
      <c r="E154" s="330"/>
      <c r="F154" s="330"/>
      <c r="G154" s="330"/>
      <c r="H154" s="330"/>
      <c r="I154" s="330"/>
      <c r="J154" s="330"/>
      <c r="K154" s="330"/>
      <c r="L154" s="82"/>
      <c r="M154" s="80"/>
      <c r="N154" s="82"/>
      <c r="O154" s="80"/>
      <c r="P154" s="82"/>
      <c r="Q154" s="80"/>
      <c r="R154" s="82"/>
      <c r="S154" s="80"/>
      <c r="T154" s="82"/>
      <c r="U154" s="80"/>
      <c r="V154" s="82"/>
      <c r="W154" s="80"/>
      <c r="X154" s="82"/>
      <c r="Y154" s="80"/>
      <c r="Z154" s="210">
        <f t="shared" si="2"/>
        <v>0</v>
      </c>
      <c r="AA154" s="60"/>
      <c r="AB154" s="60"/>
    </row>
    <row r="155" spans="1:28" x14ac:dyDescent="0.25">
      <c r="A155" s="443"/>
      <c r="B155" s="443"/>
      <c r="C155" s="443"/>
      <c r="D155" s="330"/>
      <c r="E155" s="330"/>
      <c r="F155" s="330"/>
      <c r="G155" s="330"/>
      <c r="H155" s="330"/>
      <c r="I155" s="330"/>
      <c r="J155" s="330"/>
      <c r="K155" s="330"/>
      <c r="L155" s="82"/>
      <c r="M155" s="80"/>
      <c r="N155" s="82"/>
      <c r="O155" s="80"/>
      <c r="P155" s="82"/>
      <c r="Q155" s="80"/>
      <c r="R155" s="82"/>
      <c r="S155" s="80"/>
      <c r="T155" s="82"/>
      <c r="U155" s="80"/>
      <c r="V155" s="82"/>
      <c r="W155" s="80"/>
      <c r="X155" s="82"/>
      <c r="Y155" s="80"/>
      <c r="Z155" s="210">
        <f t="shared" si="2"/>
        <v>0</v>
      </c>
      <c r="AA155" s="60"/>
      <c r="AB155" s="60"/>
    </row>
    <row r="156" spans="1:28" x14ac:dyDescent="0.25">
      <c r="A156" s="443"/>
      <c r="B156" s="443"/>
      <c r="C156" s="443"/>
      <c r="D156" s="330"/>
      <c r="E156" s="330"/>
      <c r="F156" s="330"/>
      <c r="G156" s="330"/>
      <c r="H156" s="330"/>
      <c r="I156" s="330"/>
      <c r="J156" s="330"/>
      <c r="K156" s="330"/>
      <c r="L156" s="82"/>
      <c r="M156" s="80"/>
      <c r="N156" s="82"/>
      <c r="O156" s="80"/>
      <c r="P156" s="82"/>
      <c r="Q156" s="80"/>
      <c r="R156" s="82"/>
      <c r="S156" s="80"/>
      <c r="T156" s="82"/>
      <c r="U156" s="80"/>
      <c r="V156" s="82"/>
      <c r="W156" s="80"/>
      <c r="X156" s="82"/>
      <c r="Y156" s="80"/>
      <c r="Z156" s="210">
        <f t="shared" si="2"/>
        <v>0</v>
      </c>
      <c r="AA156" s="60"/>
      <c r="AB156" s="60"/>
    </row>
    <row r="157" spans="1:28" x14ac:dyDescent="0.25">
      <c r="A157" s="443"/>
      <c r="B157" s="443"/>
      <c r="C157" s="443"/>
      <c r="D157" s="330"/>
      <c r="E157" s="330"/>
      <c r="F157" s="330"/>
      <c r="G157" s="330"/>
      <c r="H157" s="330"/>
      <c r="I157" s="330"/>
      <c r="J157" s="330"/>
      <c r="K157" s="330"/>
      <c r="L157" s="82"/>
      <c r="M157" s="80"/>
      <c r="N157" s="82"/>
      <c r="O157" s="80"/>
      <c r="P157" s="82"/>
      <c r="Q157" s="80"/>
      <c r="R157" s="82"/>
      <c r="S157" s="80"/>
      <c r="T157" s="82"/>
      <c r="U157" s="80"/>
      <c r="V157" s="82"/>
      <c r="W157" s="80"/>
      <c r="X157" s="82"/>
      <c r="Y157" s="80"/>
      <c r="Z157" s="210">
        <f t="shared" si="2"/>
        <v>0</v>
      </c>
      <c r="AA157" s="60"/>
      <c r="AB157" s="60"/>
    </row>
    <row r="158" spans="1:28" x14ac:dyDescent="0.25">
      <c r="A158" s="443"/>
      <c r="B158" s="443"/>
      <c r="C158" s="443"/>
      <c r="D158" s="330"/>
      <c r="E158" s="330"/>
      <c r="F158" s="330"/>
      <c r="G158" s="330"/>
      <c r="H158" s="330"/>
      <c r="I158" s="330"/>
      <c r="J158" s="330"/>
      <c r="K158" s="330"/>
      <c r="L158" s="82"/>
      <c r="M158" s="80"/>
      <c r="N158" s="82"/>
      <c r="O158" s="80"/>
      <c r="P158" s="82"/>
      <c r="Q158" s="80"/>
      <c r="R158" s="82"/>
      <c r="S158" s="80"/>
      <c r="T158" s="82"/>
      <c r="U158" s="80"/>
      <c r="V158" s="82"/>
      <c r="W158" s="80"/>
      <c r="X158" s="82"/>
      <c r="Y158" s="80"/>
      <c r="Z158" s="210">
        <f t="shared" si="2"/>
        <v>0</v>
      </c>
      <c r="AA158" s="60"/>
      <c r="AB158" s="60"/>
    </row>
    <row r="159" spans="1:28" x14ac:dyDescent="0.25">
      <c r="A159" s="443"/>
      <c r="B159" s="443"/>
      <c r="C159" s="443"/>
      <c r="D159" s="330"/>
      <c r="E159" s="330"/>
      <c r="F159" s="330"/>
      <c r="G159" s="330"/>
      <c r="H159" s="330"/>
      <c r="I159" s="330"/>
      <c r="J159" s="330"/>
      <c r="K159" s="330"/>
      <c r="L159" s="82"/>
      <c r="M159" s="80"/>
      <c r="N159" s="82"/>
      <c r="O159" s="80"/>
      <c r="P159" s="82"/>
      <c r="Q159" s="80"/>
      <c r="R159" s="82"/>
      <c r="S159" s="80"/>
      <c r="T159" s="82"/>
      <c r="U159" s="80"/>
      <c r="V159" s="82"/>
      <c r="W159" s="80"/>
      <c r="X159" s="82"/>
      <c r="Y159" s="80"/>
      <c r="Z159" s="210">
        <f t="shared" si="2"/>
        <v>0</v>
      </c>
      <c r="AA159" s="60"/>
      <c r="AB159" s="60"/>
    </row>
    <row r="160" spans="1:28" x14ac:dyDescent="0.25">
      <c r="A160" s="443"/>
      <c r="B160" s="443"/>
      <c r="C160" s="443"/>
      <c r="D160" s="330"/>
      <c r="E160" s="330"/>
      <c r="F160" s="330"/>
      <c r="G160" s="330"/>
      <c r="H160" s="330"/>
      <c r="I160" s="330"/>
      <c r="J160" s="330"/>
      <c r="K160" s="330"/>
      <c r="L160" s="82"/>
      <c r="M160" s="80"/>
      <c r="N160" s="82"/>
      <c r="O160" s="80"/>
      <c r="P160" s="82"/>
      <c r="Q160" s="80"/>
      <c r="R160" s="82"/>
      <c r="S160" s="80"/>
      <c r="T160" s="82"/>
      <c r="U160" s="80"/>
      <c r="V160" s="82"/>
      <c r="W160" s="80"/>
      <c r="X160" s="82"/>
      <c r="Y160" s="80"/>
      <c r="Z160" s="210">
        <f t="shared" si="2"/>
        <v>0</v>
      </c>
      <c r="AA160" s="60"/>
      <c r="AB160" s="60"/>
    </row>
    <row r="161" spans="1:28" x14ac:dyDescent="0.25">
      <c r="A161" s="443"/>
      <c r="B161" s="443"/>
      <c r="C161" s="443"/>
      <c r="D161" s="330"/>
      <c r="E161" s="330"/>
      <c r="F161" s="330"/>
      <c r="G161" s="330"/>
      <c r="H161" s="330"/>
      <c r="I161" s="330"/>
      <c r="J161" s="330"/>
      <c r="K161" s="330"/>
      <c r="L161" s="82"/>
      <c r="M161" s="80"/>
      <c r="N161" s="82"/>
      <c r="O161" s="80"/>
      <c r="P161" s="82"/>
      <c r="Q161" s="80"/>
      <c r="R161" s="82"/>
      <c r="S161" s="80"/>
      <c r="T161" s="82"/>
      <c r="U161" s="80"/>
      <c r="V161" s="82"/>
      <c r="W161" s="80"/>
      <c r="X161" s="82"/>
      <c r="Y161" s="80"/>
      <c r="Z161" s="210">
        <f t="shared" si="2"/>
        <v>0</v>
      </c>
      <c r="AA161" s="60"/>
      <c r="AB161" s="60"/>
    </row>
    <row r="162" spans="1:28" x14ac:dyDescent="0.25">
      <c r="A162" s="443"/>
      <c r="B162" s="443"/>
      <c r="C162" s="443"/>
      <c r="D162" s="330"/>
      <c r="E162" s="330"/>
      <c r="F162" s="330"/>
      <c r="G162" s="330"/>
      <c r="H162" s="330"/>
      <c r="I162" s="330"/>
      <c r="J162" s="330"/>
      <c r="K162" s="330"/>
      <c r="L162" s="82"/>
      <c r="M162" s="80"/>
      <c r="N162" s="82"/>
      <c r="O162" s="80"/>
      <c r="P162" s="82"/>
      <c r="Q162" s="80"/>
      <c r="R162" s="82"/>
      <c r="S162" s="80"/>
      <c r="T162" s="82"/>
      <c r="U162" s="80"/>
      <c r="V162" s="82"/>
      <c r="W162" s="80"/>
      <c r="X162" s="82"/>
      <c r="Y162" s="80"/>
      <c r="Z162" s="210">
        <f t="shared" si="2"/>
        <v>0</v>
      </c>
      <c r="AA162" s="60"/>
      <c r="AB162" s="60"/>
    </row>
    <row r="163" spans="1:28" x14ac:dyDescent="0.25">
      <c r="A163" s="443"/>
      <c r="B163" s="443"/>
      <c r="C163" s="443"/>
      <c r="D163" s="330"/>
      <c r="E163" s="330"/>
      <c r="F163" s="330"/>
      <c r="G163" s="330"/>
      <c r="H163" s="330"/>
      <c r="I163" s="330"/>
      <c r="J163" s="330"/>
      <c r="K163" s="330"/>
      <c r="L163" s="82"/>
      <c r="M163" s="80"/>
      <c r="N163" s="82"/>
      <c r="O163" s="80"/>
      <c r="P163" s="82"/>
      <c r="Q163" s="80"/>
      <c r="R163" s="82"/>
      <c r="S163" s="80"/>
      <c r="T163" s="82"/>
      <c r="U163" s="80"/>
      <c r="V163" s="82"/>
      <c r="W163" s="80"/>
      <c r="X163" s="82"/>
      <c r="Y163" s="80"/>
      <c r="Z163" s="210">
        <f t="shared" si="2"/>
        <v>0</v>
      </c>
      <c r="AA163" s="60"/>
      <c r="AB163" s="60"/>
    </row>
    <row r="164" spans="1:28" x14ac:dyDescent="0.25">
      <c r="A164" s="443"/>
      <c r="B164" s="443"/>
      <c r="C164" s="443"/>
      <c r="D164" s="330"/>
      <c r="E164" s="330"/>
      <c r="F164" s="330"/>
      <c r="G164" s="330"/>
      <c r="H164" s="330"/>
      <c r="I164" s="330"/>
      <c r="J164" s="330"/>
      <c r="K164" s="330"/>
      <c r="L164" s="82"/>
      <c r="M164" s="80"/>
      <c r="N164" s="82"/>
      <c r="O164" s="80"/>
      <c r="P164" s="82"/>
      <c r="Q164" s="80"/>
      <c r="R164" s="82"/>
      <c r="S164" s="80"/>
      <c r="T164" s="82"/>
      <c r="U164" s="80"/>
      <c r="V164" s="82"/>
      <c r="W164" s="80"/>
      <c r="X164" s="82"/>
      <c r="Y164" s="80"/>
      <c r="Z164" s="210">
        <f t="shared" si="2"/>
        <v>0</v>
      </c>
      <c r="AA164" s="60"/>
      <c r="AB164" s="60"/>
    </row>
    <row r="165" spans="1:28" x14ac:dyDescent="0.25">
      <c r="A165" s="443"/>
      <c r="B165" s="443"/>
      <c r="C165" s="443"/>
      <c r="D165" s="330"/>
      <c r="E165" s="330"/>
      <c r="F165" s="330"/>
      <c r="G165" s="330"/>
      <c r="H165" s="330"/>
      <c r="I165" s="330"/>
      <c r="J165" s="330"/>
      <c r="K165" s="330"/>
      <c r="L165" s="82"/>
      <c r="M165" s="80"/>
      <c r="N165" s="82"/>
      <c r="O165" s="80"/>
      <c r="P165" s="82"/>
      <c r="Q165" s="80"/>
      <c r="R165" s="82"/>
      <c r="S165" s="80"/>
      <c r="T165" s="82"/>
      <c r="U165" s="80"/>
      <c r="V165" s="82"/>
      <c r="W165" s="80"/>
      <c r="X165" s="82"/>
      <c r="Y165" s="80"/>
      <c r="Z165" s="210">
        <f t="shared" si="2"/>
        <v>0</v>
      </c>
      <c r="AA165" s="60"/>
      <c r="AB165" s="60"/>
    </row>
    <row r="166" spans="1:28" x14ac:dyDescent="0.25">
      <c r="A166" s="443"/>
      <c r="B166" s="443"/>
      <c r="C166" s="443"/>
      <c r="D166" s="330"/>
      <c r="E166" s="330"/>
      <c r="F166" s="330"/>
      <c r="G166" s="330"/>
      <c r="H166" s="330"/>
      <c r="I166" s="330"/>
      <c r="J166" s="330"/>
      <c r="K166" s="330"/>
      <c r="L166" s="82"/>
      <c r="M166" s="80"/>
      <c r="N166" s="82"/>
      <c r="O166" s="80"/>
      <c r="P166" s="82"/>
      <c r="Q166" s="80"/>
      <c r="R166" s="82"/>
      <c r="S166" s="80"/>
      <c r="T166" s="82"/>
      <c r="U166" s="80"/>
      <c r="V166" s="82"/>
      <c r="W166" s="80"/>
      <c r="X166" s="82"/>
      <c r="Y166" s="80"/>
      <c r="Z166" s="210">
        <f t="shared" si="2"/>
        <v>0</v>
      </c>
      <c r="AA166" s="60"/>
      <c r="AB166" s="60"/>
    </row>
    <row r="167" spans="1:28" x14ac:dyDescent="0.25">
      <c r="A167" s="443"/>
      <c r="B167" s="443"/>
      <c r="C167" s="443"/>
      <c r="D167" s="330"/>
      <c r="E167" s="330"/>
      <c r="F167" s="330"/>
      <c r="G167" s="330"/>
      <c r="H167" s="330"/>
      <c r="I167" s="330"/>
      <c r="J167" s="330"/>
      <c r="K167" s="330"/>
      <c r="L167" s="82"/>
      <c r="M167" s="80"/>
      <c r="N167" s="82"/>
      <c r="O167" s="80"/>
      <c r="P167" s="82"/>
      <c r="Q167" s="80"/>
      <c r="R167" s="82"/>
      <c r="S167" s="80"/>
      <c r="T167" s="82"/>
      <c r="U167" s="80"/>
      <c r="V167" s="82"/>
      <c r="W167" s="80"/>
      <c r="X167" s="82"/>
      <c r="Y167" s="80"/>
      <c r="Z167" s="210">
        <f t="shared" si="2"/>
        <v>0</v>
      </c>
      <c r="AA167" s="60"/>
      <c r="AB167" s="60"/>
    </row>
    <row r="168" spans="1:28" x14ac:dyDescent="0.25">
      <c r="A168" s="443"/>
      <c r="B168" s="443"/>
      <c r="C168" s="443"/>
      <c r="D168" s="330"/>
      <c r="E168" s="330"/>
      <c r="F168" s="330"/>
      <c r="G168" s="330"/>
      <c r="H168" s="330"/>
      <c r="I168" s="330"/>
      <c r="J168" s="330"/>
      <c r="K168" s="330"/>
      <c r="L168" s="82"/>
      <c r="M168" s="80"/>
      <c r="N168" s="82"/>
      <c r="O168" s="80"/>
      <c r="P168" s="82"/>
      <c r="Q168" s="80"/>
      <c r="R168" s="82"/>
      <c r="S168" s="80"/>
      <c r="T168" s="82"/>
      <c r="U168" s="80"/>
      <c r="V168" s="82"/>
      <c r="W168" s="80"/>
      <c r="X168" s="82"/>
      <c r="Y168" s="80"/>
      <c r="Z168" s="210">
        <f t="shared" si="2"/>
        <v>0</v>
      </c>
      <c r="AA168" s="60"/>
      <c r="AB168" s="60"/>
    </row>
    <row r="169" spans="1:28" x14ac:dyDescent="0.25">
      <c r="A169" s="443"/>
      <c r="B169" s="443"/>
      <c r="C169" s="443"/>
      <c r="D169" s="330"/>
      <c r="E169" s="330"/>
      <c r="F169" s="330"/>
      <c r="G169" s="330"/>
      <c r="H169" s="330"/>
      <c r="I169" s="330"/>
      <c r="J169" s="330"/>
      <c r="K169" s="330"/>
      <c r="L169" s="82"/>
      <c r="M169" s="80"/>
      <c r="N169" s="82"/>
      <c r="O169" s="80"/>
      <c r="P169" s="82"/>
      <c r="Q169" s="80"/>
      <c r="R169" s="82"/>
      <c r="S169" s="80"/>
      <c r="T169" s="82"/>
      <c r="U169" s="80"/>
      <c r="V169" s="82"/>
      <c r="W169" s="80"/>
      <c r="X169" s="82"/>
      <c r="Y169" s="80"/>
      <c r="Z169" s="210">
        <f t="shared" si="2"/>
        <v>0</v>
      </c>
      <c r="AA169" s="60"/>
      <c r="AB169" s="60"/>
    </row>
    <row r="170" spans="1:28" x14ac:dyDescent="0.25">
      <c r="A170" s="443"/>
      <c r="B170" s="443"/>
      <c r="C170" s="443"/>
      <c r="D170" s="330"/>
      <c r="E170" s="330"/>
      <c r="F170" s="330"/>
      <c r="G170" s="330"/>
      <c r="H170" s="330"/>
      <c r="I170" s="330"/>
      <c r="J170" s="330"/>
      <c r="K170" s="330"/>
      <c r="L170" s="82"/>
      <c r="M170" s="80"/>
      <c r="N170" s="82"/>
      <c r="O170" s="80"/>
      <c r="P170" s="82"/>
      <c r="Q170" s="80"/>
      <c r="R170" s="82"/>
      <c r="S170" s="80"/>
      <c r="T170" s="82"/>
      <c r="U170" s="80"/>
      <c r="V170" s="82"/>
      <c r="W170" s="80"/>
      <c r="X170" s="82"/>
      <c r="Y170" s="80"/>
      <c r="Z170" s="210">
        <f t="shared" si="2"/>
        <v>0</v>
      </c>
      <c r="AA170" s="60"/>
      <c r="AB170" s="60"/>
    </row>
    <row r="171" spans="1:28" x14ac:dyDescent="0.25">
      <c r="A171" s="443"/>
      <c r="B171" s="443"/>
      <c r="C171" s="443"/>
      <c r="D171" s="330"/>
      <c r="E171" s="330"/>
      <c r="F171" s="330"/>
      <c r="G171" s="330"/>
      <c r="H171" s="330"/>
      <c r="I171" s="330"/>
      <c r="J171" s="330"/>
      <c r="K171" s="330"/>
      <c r="L171" s="82"/>
      <c r="M171" s="80"/>
      <c r="N171" s="82"/>
      <c r="O171" s="80"/>
      <c r="P171" s="82"/>
      <c r="Q171" s="80"/>
      <c r="R171" s="82"/>
      <c r="S171" s="80"/>
      <c r="T171" s="82"/>
      <c r="U171" s="80"/>
      <c r="V171" s="82"/>
      <c r="W171" s="80"/>
      <c r="X171" s="82"/>
      <c r="Y171" s="80"/>
      <c r="Z171" s="210">
        <f t="shared" si="2"/>
        <v>0</v>
      </c>
      <c r="AA171" s="60"/>
      <c r="AB171" s="60"/>
    </row>
    <row r="172" spans="1:28" x14ac:dyDescent="0.25">
      <c r="A172" s="443"/>
      <c r="B172" s="443"/>
      <c r="C172" s="443"/>
      <c r="D172" s="330"/>
      <c r="E172" s="330"/>
      <c r="F172" s="330"/>
      <c r="G172" s="330"/>
      <c r="H172" s="330"/>
      <c r="I172" s="330"/>
      <c r="J172" s="330"/>
      <c r="K172" s="330"/>
      <c r="L172" s="82"/>
      <c r="M172" s="80"/>
      <c r="N172" s="82"/>
      <c r="O172" s="80"/>
      <c r="P172" s="82"/>
      <c r="Q172" s="80"/>
      <c r="R172" s="82"/>
      <c r="S172" s="80"/>
      <c r="T172" s="82"/>
      <c r="U172" s="80"/>
      <c r="V172" s="82"/>
      <c r="W172" s="80"/>
      <c r="X172" s="82"/>
      <c r="Y172" s="80"/>
      <c r="Z172" s="210">
        <f t="shared" si="2"/>
        <v>0</v>
      </c>
      <c r="AA172" s="60"/>
      <c r="AB172" s="60"/>
    </row>
    <row r="173" spans="1:28" x14ac:dyDescent="0.25">
      <c r="A173" s="443"/>
      <c r="B173" s="443"/>
      <c r="C173" s="443"/>
      <c r="D173" s="330"/>
      <c r="E173" s="330"/>
      <c r="F173" s="330"/>
      <c r="G173" s="330"/>
      <c r="H173" s="330"/>
      <c r="I173" s="330"/>
      <c r="J173" s="330"/>
      <c r="K173" s="330"/>
      <c r="L173" s="82"/>
      <c r="M173" s="80"/>
      <c r="N173" s="82"/>
      <c r="O173" s="80"/>
      <c r="P173" s="82"/>
      <c r="Q173" s="80"/>
      <c r="R173" s="82"/>
      <c r="S173" s="80"/>
      <c r="T173" s="82"/>
      <c r="U173" s="80"/>
      <c r="V173" s="82"/>
      <c r="W173" s="80"/>
      <c r="X173" s="82"/>
      <c r="Y173" s="80"/>
      <c r="Z173" s="210">
        <f t="shared" si="2"/>
        <v>0</v>
      </c>
      <c r="AA173" s="60"/>
      <c r="AB173" s="60"/>
    </row>
    <row r="174" spans="1:28" x14ac:dyDescent="0.25">
      <c r="A174" s="443"/>
      <c r="B174" s="443"/>
      <c r="C174" s="443"/>
      <c r="D174" s="330"/>
      <c r="E174" s="330"/>
      <c r="F174" s="330"/>
      <c r="G174" s="330"/>
      <c r="H174" s="330"/>
      <c r="I174" s="330"/>
      <c r="J174" s="330"/>
      <c r="K174" s="330"/>
      <c r="L174" s="82"/>
      <c r="M174" s="80"/>
      <c r="N174" s="82"/>
      <c r="O174" s="80"/>
      <c r="P174" s="82"/>
      <c r="Q174" s="80"/>
      <c r="R174" s="82"/>
      <c r="S174" s="80"/>
      <c r="T174" s="82"/>
      <c r="U174" s="80"/>
      <c r="V174" s="82"/>
      <c r="W174" s="80"/>
      <c r="X174" s="82"/>
      <c r="Y174" s="80"/>
      <c r="Z174" s="210">
        <f t="shared" si="2"/>
        <v>0</v>
      </c>
      <c r="AA174" s="60"/>
      <c r="AB174" s="60"/>
    </row>
    <row r="175" spans="1:28" x14ac:dyDescent="0.25">
      <c r="A175" s="443"/>
      <c r="B175" s="443"/>
      <c r="C175" s="443"/>
      <c r="D175" s="330"/>
      <c r="E175" s="330"/>
      <c r="F175" s="330"/>
      <c r="G175" s="330"/>
      <c r="H175" s="330"/>
      <c r="I175" s="330"/>
      <c r="J175" s="330"/>
      <c r="K175" s="330"/>
      <c r="L175" s="82"/>
      <c r="M175" s="80"/>
      <c r="N175" s="82"/>
      <c r="O175" s="80"/>
      <c r="P175" s="82"/>
      <c r="Q175" s="80"/>
      <c r="R175" s="82"/>
      <c r="S175" s="80"/>
      <c r="T175" s="82"/>
      <c r="U175" s="80"/>
      <c r="V175" s="82"/>
      <c r="W175" s="80"/>
      <c r="X175" s="82"/>
      <c r="Y175" s="80"/>
      <c r="Z175" s="210">
        <f t="shared" si="2"/>
        <v>0</v>
      </c>
      <c r="AA175" s="60"/>
      <c r="AB175" s="60"/>
    </row>
    <row r="176" spans="1:28" x14ac:dyDescent="0.25">
      <c r="A176" s="443"/>
      <c r="B176" s="443"/>
      <c r="C176" s="443"/>
      <c r="D176" s="330"/>
      <c r="E176" s="330"/>
      <c r="F176" s="330"/>
      <c r="G176" s="330"/>
      <c r="H176" s="330"/>
      <c r="I176" s="330"/>
      <c r="J176" s="330"/>
      <c r="K176" s="330"/>
      <c r="L176" s="82"/>
      <c r="M176" s="80"/>
      <c r="N176" s="82"/>
      <c r="O176" s="80"/>
      <c r="P176" s="82"/>
      <c r="Q176" s="80"/>
      <c r="R176" s="82"/>
      <c r="S176" s="80"/>
      <c r="T176" s="82"/>
      <c r="U176" s="80"/>
      <c r="V176" s="82"/>
      <c r="W176" s="80"/>
      <c r="X176" s="82"/>
      <c r="Y176" s="80"/>
      <c r="Z176" s="210">
        <f t="shared" si="2"/>
        <v>0</v>
      </c>
      <c r="AA176" s="60"/>
      <c r="AB176" s="60"/>
    </row>
    <row r="177" spans="1:28" x14ac:dyDescent="0.25">
      <c r="A177" s="443"/>
      <c r="B177" s="443"/>
      <c r="C177" s="443"/>
      <c r="D177" s="330"/>
      <c r="E177" s="330"/>
      <c r="F177" s="330"/>
      <c r="G177" s="330"/>
      <c r="H177" s="330"/>
      <c r="I177" s="330"/>
      <c r="J177" s="330"/>
      <c r="K177" s="330"/>
      <c r="L177" s="82"/>
      <c r="M177" s="80"/>
      <c r="N177" s="82"/>
      <c r="O177" s="80"/>
      <c r="P177" s="82"/>
      <c r="Q177" s="80"/>
      <c r="R177" s="82"/>
      <c r="S177" s="80"/>
      <c r="T177" s="82"/>
      <c r="U177" s="80"/>
      <c r="V177" s="82"/>
      <c r="W177" s="80"/>
      <c r="X177" s="82"/>
      <c r="Y177" s="80"/>
      <c r="Z177" s="210">
        <f t="shared" si="2"/>
        <v>0</v>
      </c>
      <c r="AA177" s="60"/>
      <c r="AB177" s="60"/>
    </row>
    <row r="178" spans="1:28" x14ac:dyDescent="0.25">
      <c r="A178" s="443"/>
      <c r="B178" s="443"/>
      <c r="C178" s="443"/>
      <c r="D178" s="330"/>
      <c r="E178" s="330"/>
      <c r="F178" s="330"/>
      <c r="G178" s="330"/>
      <c r="H178" s="330"/>
      <c r="I178" s="330"/>
      <c r="J178" s="330"/>
      <c r="K178" s="330"/>
      <c r="L178" s="82"/>
      <c r="M178" s="80"/>
      <c r="N178" s="82"/>
      <c r="O178" s="80"/>
      <c r="P178" s="82"/>
      <c r="Q178" s="80"/>
      <c r="R178" s="82"/>
      <c r="S178" s="80"/>
      <c r="T178" s="82"/>
      <c r="U178" s="80"/>
      <c r="V178" s="82"/>
      <c r="W178" s="80"/>
      <c r="X178" s="82"/>
      <c r="Y178" s="80"/>
      <c r="Z178" s="210">
        <f t="shared" si="2"/>
        <v>0</v>
      </c>
      <c r="AA178" s="60"/>
      <c r="AB178" s="60"/>
    </row>
    <row r="179" spans="1:28" x14ac:dyDescent="0.25">
      <c r="A179" s="443"/>
      <c r="B179" s="443"/>
      <c r="C179" s="443"/>
      <c r="D179" s="330"/>
      <c r="E179" s="330"/>
      <c r="F179" s="330"/>
      <c r="G179" s="330"/>
      <c r="H179" s="330"/>
      <c r="I179" s="330"/>
      <c r="J179" s="330"/>
      <c r="K179" s="330"/>
      <c r="L179" s="82"/>
      <c r="M179" s="80"/>
      <c r="N179" s="82"/>
      <c r="O179" s="80"/>
      <c r="P179" s="82"/>
      <c r="Q179" s="80"/>
      <c r="R179" s="82"/>
      <c r="S179" s="80"/>
      <c r="T179" s="82"/>
      <c r="U179" s="80"/>
      <c r="V179" s="82"/>
      <c r="W179" s="80"/>
      <c r="X179" s="82"/>
      <c r="Y179" s="80"/>
      <c r="Z179" s="210">
        <f t="shared" si="2"/>
        <v>0</v>
      </c>
      <c r="AA179" s="60"/>
      <c r="AB179" s="60"/>
    </row>
    <row r="180" spans="1:28" x14ac:dyDescent="0.25">
      <c r="A180" s="443"/>
      <c r="B180" s="443"/>
      <c r="C180" s="443"/>
      <c r="D180" s="330"/>
      <c r="E180" s="330"/>
      <c r="F180" s="330"/>
      <c r="G180" s="330"/>
      <c r="H180" s="330"/>
      <c r="I180" s="330"/>
      <c r="J180" s="330"/>
      <c r="K180" s="330"/>
      <c r="L180" s="82"/>
      <c r="M180" s="80"/>
      <c r="N180" s="82"/>
      <c r="O180" s="80"/>
      <c r="P180" s="82"/>
      <c r="Q180" s="80"/>
      <c r="R180" s="82"/>
      <c r="S180" s="80"/>
      <c r="T180" s="82"/>
      <c r="U180" s="80"/>
      <c r="V180" s="82"/>
      <c r="W180" s="80"/>
      <c r="X180" s="82"/>
      <c r="Y180" s="80"/>
      <c r="Z180" s="210">
        <f t="shared" si="2"/>
        <v>0</v>
      </c>
      <c r="AA180" s="60"/>
      <c r="AB180" s="60"/>
    </row>
    <row r="181" spans="1:28" x14ac:dyDescent="0.25">
      <c r="A181" s="443"/>
      <c r="B181" s="443"/>
      <c r="C181" s="443"/>
      <c r="D181" s="330"/>
      <c r="E181" s="330"/>
      <c r="F181" s="330"/>
      <c r="G181" s="330"/>
      <c r="H181" s="330"/>
      <c r="I181" s="330"/>
      <c r="J181" s="330"/>
      <c r="K181" s="330"/>
      <c r="L181" s="82"/>
      <c r="M181" s="80"/>
      <c r="N181" s="82"/>
      <c r="O181" s="80"/>
      <c r="P181" s="82"/>
      <c r="Q181" s="80"/>
      <c r="R181" s="82"/>
      <c r="S181" s="80"/>
      <c r="T181" s="82"/>
      <c r="U181" s="80"/>
      <c r="V181" s="82"/>
      <c r="W181" s="80"/>
      <c r="X181" s="82"/>
      <c r="Y181" s="80"/>
      <c r="Z181" s="210">
        <f t="shared" si="2"/>
        <v>0</v>
      </c>
      <c r="AA181" s="60"/>
      <c r="AB181" s="60"/>
    </row>
    <row r="182" spans="1:28" x14ac:dyDescent="0.25">
      <c r="A182" s="443"/>
      <c r="B182" s="443"/>
      <c r="C182" s="443"/>
      <c r="D182" s="330"/>
      <c r="E182" s="330"/>
      <c r="F182" s="330"/>
      <c r="G182" s="330"/>
      <c r="H182" s="330"/>
      <c r="I182" s="330"/>
      <c r="J182" s="330"/>
      <c r="K182" s="330"/>
      <c r="L182" s="82"/>
      <c r="M182" s="80"/>
      <c r="N182" s="82"/>
      <c r="O182" s="80"/>
      <c r="P182" s="82"/>
      <c r="Q182" s="80"/>
      <c r="R182" s="82"/>
      <c r="S182" s="80"/>
      <c r="T182" s="82"/>
      <c r="U182" s="80"/>
      <c r="V182" s="82"/>
      <c r="W182" s="80"/>
      <c r="X182" s="82"/>
      <c r="Y182" s="80"/>
      <c r="Z182" s="210">
        <f t="shared" si="2"/>
        <v>0</v>
      </c>
      <c r="AA182" s="60"/>
      <c r="AB182" s="60"/>
    </row>
    <row r="183" spans="1:28" x14ac:dyDescent="0.25">
      <c r="A183" s="443"/>
      <c r="B183" s="443"/>
      <c r="C183" s="443"/>
      <c r="D183" s="330"/>
      <c r="E183" s="330"/>
      <c r="F183" s="330"/>
      <c r="G183" s="330"/>
      <c r="H183" s="330"/>
      <c r="I183" s="330"/>
      <c r="J183" s="330"/>
      <c r="K183" s="330"/>
      <c r="L183" s="82"/>
      <c r="M183" s="80"/>
      <c r="N183" s="82"/>
      <c r="O183" s="80"/>
      <c r="P183" s="82"/>
      <c r="Q183" s="80"/>
      <c r="R183" s="82"/>
      <c r="S183" s="80"/>
      <c r="T183" s="82"/>
      <c r="U183" s="80"/>
      <c r="V183" s="82"/>
      <c r="W183" s="80"/>
      <c r="X183" s="82"/>
      <c r="Y183" s="80"/>
      <c r="Z183" s="210">
        <f t="shared" si="2"/>
        <v>0</v>
      </c>
      <c r="AA183" s="60"/>
      <c r="AB183" s="60"/>
    </row>
    <row r="184" spans="1:28" x14ac:dyDescent="0.25">
      <c r="A184" s="443"/>
      <c r="B184" s="443"/>
      <c r="C184" s="443"/>
      <c r="D184" s="330"/>
      <c r="E184" s="330"/>
      <c r="F184" s="330"/>
      <c r="G184" s="330"/>
      <c r="H184" s="330"/>
      <c r="I184" s="330"/>
      <c r="J184" s="330"/>
      <c r="K184" s="330"/>
      <c r="L184" s="82"/>
      <c r="M184" s="80"/>
      <c r="N184" s="82"/>
      <c r="O184" s="80"/>
      <c r="P184" s="82"/>
      <c r="Q184" s="80"/>
      <c r="R184" s="82"/>
      <c r="S184" s="80"/>
      <c r="T184" s="82"/>
      <c r="U184" s="80"/>
      <c r="V184" s="82"/>
      <c r="W184" s="80"/>
      <c r="X184" s="82"/>
      <c r="Y184" s="80"/>
      <c r="Z184" s="210">
        <f t="shared" si="2"/>
        <v>0</v>
      </c>
      <c r="AA184" s="60"/>
      <c r="AB184" s="60"/>
    </row>
    <row r="185" spans="1:28" x14ac:dyDescent="0.25">
      <c r="A185" s="443"/>
      <c r="B185" s="443"/>
      <c r="C185" s="443"/>
      <c r="D185" s="330"/>
      <c r="E185" s="330"/>
      <c r="F185" s="330"/>
      <c r="G185" s="330"/>
      <c r="H185" s="330"/>
      <c r="I185" s="330"/>
      <c r="J185" s="330"/>
      <c r="K185" s="330"/>
      <c r="L185" s="82"/>
      <c r="M185" s="80"/>
      <c r="N185" s="82"/>
      <c r="O185" s="80"/>
      <c r="P185" s="82"/>
      <c r="Q185" s="80"/>
      <c r="R185" s="82"/>
      <c r="S185" s="80"/>
      <c r="T185" s="82"/>
      <c r="U185" s="80"/>
      <c r="V185" s="82"/>
      <c r="W185" s="80"/>
      <c r="X185" s="82"/>
      <c r="Y185" s="80"/>
      <c r="Z185" s="210">
        <f t="shared" si="2"/>
        <v>0</v>
      </c>
      <c r="AA185" s="60"/>
      <c r="AB185" s="60"/>
    </row>
    <row r="186" spans="1:28" x14ac:dyDescent="0.25">
      <c r="A186" s="443"/>
      <c r="B186" s="443"/>
      <c r="C186" s="443"/>
      <c r="D186" s="330"/>
      <c r="E186" s="330"/>
      <c r="F186" s="330"/>
      <c r="G186" s="330"/>
      <c r="H186" s="330"/>
      <c r="I186" s="330"/>
      <c r="J186" s="330"/>
      <c r="K186" s="330"/>
      <c r="L186" s="82"/>
      <c r="M186" s="80"/>
      <c r="N186" s="82"/>
      <c r="O186" s="80"/>
      <c r="P186" s="82"/>
      <c r="Q186" s="80"/>
      <c r="R186" s="82"/>
      <c r="S186" s="80"/>
      <c r="T186" s="82"/>
      <c r="U186" s="80"/>
      <c r="V186" s="82"/>
      <c r="W186" s="80"/>
      <c r="X186" s="82"/>
      <c r="Y186" s="80"/>
      <c r="Z186" s="210">
        <f t="shared" si="2"/>
        <v>0</v>
      </c>
      <c r="AA186" s="60"/>
      <c r="AB186" s="60"/>
    </row>
    <row r="187" spans="1:28" x14ac:dyDescent="0.25">
      <c r="A187" s="443"/>
      <c r="B187" s="443"/>
      <c r="C187" s="443"/>
      <c r="D187" s="330"/>
      <c r="E187" s="330"/>
      <c r="F187" s="330"/>
      <c r="G187" s="330"/>
      <c r="H187" s="330"/>
      <c r="I187" s="330"/>
      <c r="J187" s="330"/>
      <c r="K187" s="330"/>
      <c r="L187" s="82"/>
      <c r="M187" s="80"/>
      <c r="N187" s="82"/>
      <c r="O187" s="80"/>
      <c r="P187" s="82"/>
      <c r="Q187" s="80"/>
      <c r="R187" s="82"/>
      <c r="S187" s="80"/>
      <c r="T187" s="82"/>
      <c r="U187" s="80"/>
      <c r="V187" s="82"/>
      <c r="W187" s="80"/>
      <c r="X187" s="82"/>
      <c r="Y187" s="80"/>
      <c r="Z187" s="210">
        <f t="shared" si="2"/>
        <v>0</v>
      </c>
      <c r="AA187" s="60"/>
      <c r="AB187" s="60"/>
    </row>
    <row r="188" spans="1:28" x14ac:dyDescent="0.25">
      <c r="A188" s="443"/>
      <c r="B188" s="443"/>
      <c r="C188" s="443"/>
      <c r="D188" s="330"/>
      <c r="E188" s="330"/>
      <c r="F188" s="330"/>
      <c r="G188" s="330"/>
      <c r="H188" s="330"/>
      <c r="I188" s="330"/>
      <c r="J188" s="330"/>
      <c r="K188" s="330"/>
      <c r="L188" s="82"/>
      <c r="M188" s="80"/>
      <c r="N188" s="82"/>
      <c r="O188" s="80"/>
      <c r="P188" s="82"/>
      <c r="Q188" s="80"/>
      <c r="R188" s="82"/>
      <c r="S188" s="80"/>
      <c r="T188" s="82"/>
      <c r="U188" s="80"/>
      <c r="V188" s="82"/>
      <c r="W188" s="80"/>
      <c r="X188" s="82"/>
      <c r="Y188" s="80"/>
      <c r="Z188" s="210">
        <f t="shared" si="2"/>
        <v>0</v>
      </c>
      <c r="AA188" s="60"/>
      <c r="AB188" s="60"/>
    </row>
    <row r="189" spans="1:28" x14ac:dyDescent="0.25">
      <c r="A189" s="443"/>
      <c r="B189" s="443"/>
      <c r="C189" s="443"/>
      <c r="D189" s="330"/>
      <c r="E189" s="330"/>
      <c r="F189" s="330"/>
      <c r="G189" s="330"/>
      <c r="H189" s="330"/>
      <c r="I189" s="330"/>
      <c r="J189" s="330"/>
      <c r="K189" s="330"/>
      <c r="L189" s="82"/>
      <c r="M189" s="80"/>
      <c r="N189" s="82"/>
      <c r="O189" s="80"/>
      <c r="P189" s="82"/>
      <c r="Q189" s="80"/>
      <c r="R189" s="82"/>
      <c r="S189" s="80"/>
      <c r="T189" s="82"/>
      <c r="U189" s="80"/>
      <c r="V189" s="82"/>
      <c r="W189" s="80"/>
      <c r="X189" s="82"/>
      <c r="Y189" s="80"/>
      <c r="Z189" s="210">
        <f t="shared" si="2"/>
        <v>0</v>
      </c>
      <c r="AA189" s="60"/>
      <c r="AB189" s="60"/>
    </row>
    <row r="190" spans="1:28" x14ac:dyDescent="0.25">
      <c r="A190" s="443"/>
      <c r="B190" s="443"/>
      <c r="C190" s="443"/>
      <c r="D190" s="330"/>
      <c r="E190" s="330"/>
      <c r="F190" s="330"/>
      <c r="G190" s="330"/>
      <c r="H190" s="330"/>
      <c r="I190" s="330"/>
      <c r="J190" s="330"/>
      <c r="K190" s="330"/>
      <c r="L190" s="82"/>
      <c r="M190" s="80"/>
      <c r="N190" s="82"/>
      <c r="O190" s="80"/>
      <c r="P190" s="82"/>
      <c r="Q190" s="80"/>
      <c r="R190" s="82"/>
      <c r="S190" s="80"/>
      <c r="T190" s="82"/>
      <c r="U190" s="80"/>
      <c r="V190" s="82"/>
      <c r="W190" s="80"/>
      <c r="X190" s="82"/>
      <c r="Y190" s="80"/>
      <c r="Z190" s="210">
        <f t="shared" si="2"/>
        <v>0</v>
      </c>
      <c r="AA190" s="60"/>
      <c r="AB190" s="60"/>
    </row>
    <row r="191" spans="1:28" x14ac:dyDescent="0.25">
      <c r="A191" s="443"/>
      <c r="B191" s="443"/>
      <c r="C191" s="443"/>
      <c r="D191" s="330"/>
      <c r="E191" s="330"/>
      <c r="F191" s="330"/>
      <c r="G191" s="330"/>
      <c r="H191" s="330"/>
      <c r="I191" s="330"/>
      <c r="J191" s="330"/>
      <c r="K191" s="330"/>
      <c r="L191" s="82"/>
      <c r="M191" s="80"/>
      <c r="N191" s="82"/>
      <c r="O191" s="80"/>
      <c r="P191" s="82"/>
      <c r="Q191" s="80"/>
      <c r="R191" s="82"/>
      <c r="S191" s="80"/>
      <c r="T191" s="82"/>
      <c r="U191" s="80"/>
      <c r="V191" s="82"/>
      <c r="W191" s="80"/>
      <c r="X191" s="82"/>
      <c r="Y191" s="80"/>
      <c r="Z191" s="210">
        <f t="shared" si="2"/>
        <v>0</v>
      </c>
      <c r="AA191" s="60"/>
      <c r="AB191" s="60"/>
    </row>
    <row r="192" spans="1:28" x14ac:dyDescent="0.25">
      <c r="A192" s="443"/>
      <c r="B192" s="443"/>
      <c r="C192" s="443"/>
      <c r="D192" s="330"/>
      <c r="E192" s="330"/>
      <c r="F192" s="330"/>
      <c r="G192" s="330"/>
      <c r="H192" s="330"/>
      <c r="I192" s="330"/>
      <c r="J192" s="330"/>
      <c r="K192" s="330"/>
      <c r="L192" s="82"/>
      <c r="M192" s="80"/>
      <c r="N192" s="82"/>
      <c r="O192" s="80"/>
      <c r="P192" s="82"/>
      <c r="Q192" s="80"/>
      <c r="R192" s="82"/>
      <c r="S192" s="80"/>
      <c r="T192" s="82"/>
      <c r="U192" s="80"/>
      <c r="V192" s="82"/>
      <c r="W192" s="80"/>
      <c r="X192" s="82"/>
      <c r="Y192" s="80"/>
      <c r="Z192" s="210">
        <f t="shared" si="2"/>
        <v>0</v>
      </c>
      <c r="AA192" s="60"/>
      <c r="AB192" s="60"/>
    </row>
    <row r="193" spans="1:28" x14ac:dyDescent="0.25">
      <c r="A193" s="443"/>
      <c r="B193" s="443"/>
      <c r="C193" s="443"/>
      <c r="D193" s="330"/>
      <c r="E193" s="330"/>
      <c r="F193" s="330"/>
      <c r="G193" s="330"/>
      <c r="H193" s="330"/>
      <c r="I193" s="330"/>
      <c r="J193" s="330"/>
      <c r="K193" s="330"/>
      <c r="L193" s="82"/>
      <c r="M193" s="80"/>
      <c r="N193" s="82"/>
      <c r="O193" s="80"/>
      <c r="P193" s="82"/>
      <c r="Q193" s="80"/>
      <c r="R193" s="82"/>
      <c r="S193" s="80"/>
      <c r="T193" s="82"/>
      <c r="U193" s="80"/>
      <c r="V193" s="82"/>
      <c r="W193" s="80"/>
      <c r="X193" s="82"/>
      <c r="Y193" s="80"/>
      <c r="Z193" s="210">
        <f t="shared" si="2"/>
        <v>0</v>
      </c>
      <c r="AA193" s="60"/>
      <c r="AB193" s="60"/>
    </row>
    <row r="194" spans="1:28" x14ac:dyDescent="0.25">
      <c r="A194" s="443"/>
      <c r="B194" s="443"/>
      <c r="C194" s="443"/>
      <c r="D194" s="330"/>
      <c r="E194" s="330"/>
      <c r="F194" s="330"/>
      <c r="G194" s="330"/>
      <c r="H194" s="330"/>
      <c r="I194" s="330"/>
      <c r="J194" s="330"/>
      <c r="K194" s="330"/>
      <c r="L194" s="82"/>
      <c r="M194" s="80"/>
      <c r="N194" s="82"/>
      <c r="O194" s="80"/>
      <c r="P194" s="82"/>
      <c r="Q194" s="80"/>
      <c r="R194" s="82"/>
      <c r="S194" s="80"/>
      <c r="T194" s="82"/>
      <c r="U194" s="80"/>
      <c r="V194" s="82"/>
      <c r="W194" s="80"/>
      <c r="X194" s="82"/>
      <c r="Y194" s="80"/>
      <c r="Z194" s="210">
        <f t="shared" si="2"/>
        <v>0</v>
      </c>
      <c r="AA194" s="60"/>
      <c r="AB194" s="60"/>
    </row>
    <row r="195" spans="1:28" x14ac:dyDescent="0.25">
      <c r="A195" s="443"/>
      <c r="B195" s="443"/>
      <c r="C195" s="443"/>
      <c r="D195" s="330"/>
      <c r="E195" s="330"/>
      <c r="F195" s="330"/>
      <c r="G195" s="330"/>
      <c r="H195" s="330"/>
      <c r="I195" s="330"/>
      <c r="J195" s="330"/>
      <c r="K195" s="330"/>
      <c r="L195" s="82"/>
      <c r="M195" s="80"/>
      <c r="N195" s="82"/>
      <c r="O195" s="80"/>
      <c r="P195" s="82"/>
      <c r="Q195" s="80"/>
      <c r="R195" s="82"/>
      <c r="S195" s="80"/>
      <c r="T195" s="82"/>
      <c r="U195" s="80"/>
      <c r="V195" s="82"/>
      <c r="W195" s="80"/>
      <c r="X195" s="82"/>
      <c r="Y195" s="80"/>
      <c r="Z195" s="210">
        <f t="shared" si="2"/>
        <v>0</v>
      </c>
      <c r="AA195" s="60"/>
      <c r="AB195" s="60"/>
    </row>
    <row r="196" spans="1:28" x14ac:dyDescent="0.25">
      <c r="A196" s="443"/>
      <c r="B196" s="443"/>
      <c r="C196" s="443"/>
      <c r="D196" s="330"/>
      <c r="E196" s="330"/>
      <c r="F196" s="330"/>
      <c r="G196" s="330"/>
      <c r="H196" s="330"/>
      <c r="I196" s="330"/>
      <c r="J196" s="330"/>
      <c r="K196" s="330"/>
      <c r="L196" s="82"/>
      <c r="M196" s="80"/>
      <c r="N196" s="82"/>
      <c r="O196" s="80"/>
      <c r="P196" s="82"/>
      <c r="Q196" s="80"/>
      <c r="R196" s="82"/>
      <c r="S196" s="80"/>
      <c r="T196" s="82"/>
      <c r="U196" s="80"/>
      <c r="V196" s="82"/>
      <c r="W196" s="80"/>
      <c r="X196" s="82"/>
      <c r="Y196" s="80"/>
      <c r="Z196" s="210">
        <f t="shared" si="2"/>
        <v>0</v>
      </c>
      <c r="AA196" s="60"/>
      <c r="AB196" s="60"/>
    </row>
    <row r="197" spans="1:28" x14ac:dyDescent="0.25">
      <c r="A197" s="443"/>
      <c r="B197" s="443"/>
      <c r="C197" s="443"/>
      <c r="D197" s="330"/>
      <c r="E197" s="330"/>
      <c r="F197" s="330"/>
      <c r="G197" s="330"/>
      <c r="H197" s="330"/>
      <c r="I197" s="330"/>
      <c r="J197" s="330"/>
      <c r="K197" s="330"/>
      <c r="L197" s="82"/>
      <c r="M197" s="80"/>
      <c r="N197" s="82"/>
      <c r="O197" s="80"/>
      <c r="P197" s="82"/>
      <c r="Q197" s="80"/>
      <c r="R197" s="82"/>
      <c r="S197" s="80"/>
      <c r="T197" s="82"/>
      <c r="U197" s="80"/>
      <c r="V197" s="82"/>
      <c r="W197" s="80"/>
      <c r="X197" s="82"/>
      <c r="Y197" s="80"/>
      <c r="Z197" s="210">
        <f t="shared" si="2"/>
        <v>0</v>
      </c>
      <c r="AA197" s="60"/>
      <c r="AB197" s="60"/>
    </row>
    <row r="198" spans="1:28" x14ac:dyDescent="0.25">
      <c r="A198" s="443"/>
      <c r="B198" s="443"/>
      <c r="C198" s="443"/>
      <c r="D198" s="330"/>
      <c r="E198" s="330"/>
      <c r="F198" s="330"/>
      <c r="G198" s="330"/>
      <c r="H198" s="330"/>
      <c r="I198" s="330"/>
      <c r="J198" s="330"/>
      <c r="K198" s="330"/>
      <c r="L198" s="82"/>
      <c r="M198" s="80"/>
      <c r="N198" s="82"/>
      <c r="O198" s="80"/>
      <c r="P198" s="82"/>
      <c r="Q198" s="80"/>
      <c r="R198" s="82"/>
      <c r="S198" s="80"/>
      <c r="T198" s="82"/>
      <c r="U198" s="80"/>
      <c r="V198" s="82"/>
      <c r="W198" s="80"/>
      <c r="X198" s="82"/>
      <c r="Y198" s="80"/>
      <c r="Z198" s="210">
        <f t="shared" si="2"/>
        <v>0</v>
      </c>
      <c r="AA198" s="60"/>
      <c r="AB198" s="60"/>
    </row>
    <row r="199" spans="1:28" x14ac:dyDescent="0.25">
      <c r="A199" s="443"/>
      <c r="B199" s="443"/>
      <c r="C199" s="443"/>
      <c r="D199" s="330"/>
      <c r="E199" s="330"/>
      <c r="F199" s="330"/>
      <c r="G199" s="330"/>
      <c r="H199" s="330"/>
      <c r="I199" s="330"/>
      <c r="J199" s="330"/>
      <c r="K199" s="330"/>
      <c r="L199" s="82"/>
      <c r="M199" s="80"/>
      <c r="N199" s="82"/>
      <c r="O199" s="80"/>
      <c r="P199" s="82"/>
      <c r="Q199" s="80"/>
      <c r="R199" s="82"/>
      <c r="S199" s="80"/>
      <c r="T199" s="82"/>
      <c r="U199" s="80"/>
      <c r="V199" s="82"/>
      <c r="W199" s="80"/>
      <c r="X199" s="82"/>
      <c r="Y199" s="80"/>
      <c r="Z199" s="210">
        <f t="shared" si="2"/>
        <v>0</v>
      </c>
      <c r="AA199" s="60"/>
      <c r="AB199" s="60"/>
    </row>
    <row r="200" spans="1:28" x14ac:dyDescent="0.25">
      <c r="A200" s="443"/>
      <c r="B200" s="443"/>
      <c r="C200" s="443"/>
      <c r="D200" s="330"/>
      <c r="E200" s="330"/>
      <c r="F200" s="330"/>
      <c r="G200" s="330"/>
      <c r="H200" s="330"/>
      <c r="I200" s="330"/>
      <c r="J200" s="330"/>
      <c r="K200" s="330"/>
      <c r="L200" s="82"/>
      <c r="M200" s="80"/>
      <c r="N200" s="82"/>
      <c r="O200" s="80"/>
      <c r="P200" s="82"/>
      <c r="Q200" s="80"/>
      <c r="R200" s="82"/>
      <c r="S200" s="80"/>
      <c r="T200" s="82"/>
      <c r="U200" s="80"/>
      <c r="V200" s="82"/>
      <c r="W200" s="80"/>
      <c r="X200" s="82"/>
      <c r="Y200" s="80"/>
      <c r="Z200" s="210">
        <f t="shared" si="2"/>
        <v>0</v>
      </c>
      <c r="AA200" s="60"/>
      <c r="AB200" s="60"/>
    </row>
    <row r="201" spans="1:28" x14ac:dyDescent="0.25">
      <c r="A201" s="443"/>
      <c r="B201" s="443"/>
      <c r="C201" s="443"/>
      <c r="D201" s="330"/>
      <c r="E201" s="330"/>
      <c r="F201" s="330"/>
      <c r="G201" s="330"/>
      <c r="H201" s="330"/>
      <c r="I201" s="330"/>
      <c r="J201" s="330"/>
      <c r="K201" s="330"/>
      <c r="L201" s="82"/>
      <c r="M201" s="80"/>
      <c r="N201" s="82"/>
      <c r="O201" s="80"/>
      <c r="P201" s="82"/>
      <c r="Q201" s="80"/>
      <c r="R201" s="82"/>
      <c r="S201" s="80"/>
      <c r="T201" s="82"/>
      <c r="U201" s="80"/>
      <c r="V201" s="82"/>
      <c r="W201" s="80"/>
      <c r="X201" s="82"/>
      <c r="Y201" s="80"/>
      <c r="Z201" s="210">
        <f t="shared" si="2"/>
        <v>0</v>
      </c>
      <c r="AA201" s="60"/>
      <c r="AB201" s="60"/>
    </row>
    <row r="202" spans="1:28" x14ac:dyDescent="0.25">
      <c r="A202" s="443"/>
      <c r="B202" s="443"/>
      <c r="C202" s="443"/>
      <c r="D202" s="330"/>
      <c r="E202" s="330"/>
      <c r="F202" s="330"/>
      <c r="G202" s="330"/>
      <c r="H202" s="330"/>
      <c r="I202" s="330"/>
      <c r="J202" s="330"/>
      <c r="K202" s="330"/>
      <c r="L202" s="82"/>
      <c r="M202" s="80"/>
      <c r="N202" s="82"/>
      <c r="O202" s="80"/>
      <c r="P202" s="82"/>
      <c r="Q202" s="80"/>
      <c r="R202" s="82"/>
      <c r="S202" s="80"/>
      <c r="T202" s="82"/>
      <c r="U202" s="80"/>
      <c r="V202" s="82"/>
      <c r="W202" s="80"/>
      <c r="X202" s="82"/>
      <c r="Y202" s="80"/>
      <c r="Z202" s="210">
        <f t="shared" si="2"/>
        <v>0</v>
      </c>
      <c r="AA202" s="60"/>
      <c r="AB202" s="60"/>
    </row>
    <row r="203" spans="1:28" x14ac:dyDescent="0.25">
      <c r="A203" s="443"/>
      <c r="B203" s="443"/>
      <c r="C203" s="443"/>
      <c r="D203" s="330"/>
      <c r="E203" s="330"/>
      <c r="F203" s="330"/>
      <c r="G203" s="330"/>
      <c r="H203" s="330"/>
      <c r="I203" s="330"/>
      <c r="J203" s="330"/>
      <c r="K203" s="330"/>
      <c r="L203" s="82"/>
      <c r="M203" s="80"/>
      <c r="N203" s="82"/>
      <c r="O203" s="80"/>
      <c r="P203" s="82"/>
      <c r="Q203" s="80"/>
      <c r="R203" s="82"/>
      <c r="S203" s="80"/>
      <c r="T203" s="82"/>
      <c r="U203" s="80"/>
      <c r="V203" s="82"/>
      <c r="W203" s="80"/>
      <c r="X203" s="82"/>
      <c r="Y203" s="80"/>
      <c r="Z203" s="210">
        <f t="shared" ref="Z203:Z266" si="3">SUM(L203:Y203)</f>
        <v>0</v>
      </c>
      <c r="AA203" s="60"/>
      <c r="AB203" s="60"/>
    </row>
    <row r="204" spans="1:28" x14ac:dyDescent="0.25">
      <c r="A204" s="443"/>
      <c r="B204" s="443"/>
      <c r="C204" s="443"/>
      <c r="D204" s="330"/>
      <c r="E204" s="330"/>
      <c r="F204" s="330"/>
      <c r="G204" s="330"/>
      <c r="H204" s="330"/>
      <c r="I204" s="330"/>
      <c r="J204" s="330"/>
      <c r="K204" s="330"/>
      <c r="L204" s="82"/>
      <c r="M204" s="80"/>
      <c r="N204" s="82"/>
      <c r="O204" s="80"/>
      <c r="P204" s="82"/>
      <c r="Q204" s="80"/>
      <c r="R204" s="82"/>
      <c r="S204" s="80"/>
      <c r="T204" s="82"/>
      <c r="U204" s="80"/>
      <c r="V204" s="82"/>
      <c r="W204" s="80"/>
      <c r="X204" s="82"/>
      <c r="Y204" s="80"/>
      <c r="Z204" s="210">
        <f t="shared" si="3"/>
        <v>0</v>
      </c>
      <c r="AA204" s="60"/>
      <c r="AB204" s="60"/>
    </row>
    <row r="205" spans="1:28" x14ac:dyDescent="0.25">
      <c r="A205" s="443"/>
      <c r="B205" s="443"/>
      <c r="C205" s="443"/>
      <c r="D205" s="330"/>
      <c r="E205" s="330"/>
      <c r="F205" s="330"/>
      <c r="G205" s="330"/>
      <c r="H205" s="330"/>
      <c r="I205" s="330"/>
      <c r="J205" s="330"/>
      <c r="K205" s="330"/>
      <c r="L205" s="82"/>
      <c r="M205" s="80"/>
      <c r="N205" s="82"/>
      <c r="O205" s="80"/>
      <c r="P205" s="82"/>
      <c r="Q205" s="80"/>
      <c r="R205" s="82"/>
      <c r="S205" s="80"/>
      <c r="T205" s="82"/>
      <c r="U205" s="80"/>
      <c r="V205" s="82"/>
      <c r="W205" s="80"/>
      <c r="X205" s="82"/>
      <c r="Y205" s="80"/>
      <c r="Z205" s="210">
        <f t="shared" si="3"/>
        <v>0</v>
      </c>
      <c r="AA205" s="60"/>
      <c r="AB205" s="60"/>
    </row>
    <row r="206" spans="1:28" x14ac:dyDescent="0.25">
      <c r="A206" s="443"/>
      <c r="B206" s="443"/>
      <c r="C206" s="443"/>
      <c r="D206" s="330"/>
      <c r="E206" s="330"/>
      <c r="F206" s="330"/>
      <c r="G206" s="330"/>
      <c r="H206" s="330"/>
      <c r="I206" s="330"/>
      <c r="J206" s="330"/>
      <c r="K206" s="330"/>
      <c r="L206" s="82"/>
      <c r="M206" s="80"/>
      <c r="N206" s="82"/>
      <c r="O206" s="80"/>
      <c r="P206" s="82"/>
      <c r="Q206" s="80"/>
      <c r="R206" s="82"/>
      <c r="S206" s="80"/>
      <c r="T206" s="82"/>
      <c r="U206" s="80"/>
      <c r="V206" s="82"/>
      <c r="W206" s="80"/>
      <c r="X206" s="82"/>
      <c r="Y206" s="80"/>
      <c r="Z206" s="210">
        <f t="shared" si="3"/>
        <v>0</v>
      </c>
      <c r="AA206" s="60"/>
      <c r="AB206" s="60"/>
    </row>
    <row r="207" spans="1:28" x14ac:dyDescent="0.25">
      <c r="A207" s="443"/>
      <c r="B207" s="443"/>
      <c r="C207" s="443"/>
      <c r="D207" s="330"/>
      <c r="E207" s="330"/>
      <c r="F207" s="330"/>
      <c r="G207" s="330"/>
      <c r="H207" s="330"/>
      <c r="I207" s="330"/>
      <c r="J207" s="330"/>
      <c r="K207" s="330"/>
      <c r="L207" s="82"/>
      <c r="M207" s="80"/>
      <c r="N207" s="82"/>
      <c r="O207" s="80"/>
      <c r="P207" s="82"/>
      <c r="Q207" s="80"/>
      <c r="R207" s="82"/>
      <c r="S207" s="80"/>
      <c r="T207" s="82"/>
      <c r="U207" s="80"/>
      <c r="V207" s="82"/>
      <c r="W207" s="80"/>
      <c r="X207" s="82"/>
      <c r="Y207" s="80"/>
      <c r="Z207" s="210">
        <f t="shared" si="3"/>
        <v>0</v>
      </c>
      <c r="AA207" s="60"/>
      <c r="AB207" s="60"/>
    </row>
    <row r="208" spans="1:28" x14ac:dyDescent="0.25">
      <c r="A208" s="443"/>
      <c r="B208" s="443"/>
      <c r="C208" s="443"/>
      <c r="D208" s="330"/>
      <c r="E208" s="330"/>
      <c r="F208" s="330"/>
      <c r="G208" s="330"/>
      <c r="H208" s="330"/>
      <c r="I208" s="330"/>
      <c r="J208" s="330"/>
      <c r="K208" s="330"/>
      <c r="L208" s="82"/>
      <c r="M208" s="80"/>
      <c r="N208" s="82"/>
      <c r="O208" s="80"/>
      <c r="P208" s="82"/>
      <c r="Q208" s="80"/>
      <c r="R208" s="82"/>
      <c r="S208" s="80"/>
      <c r="T208" s="82"/>
      <c r="U208" s="80"/>
      <c r="V208" s="82"/>
      <c r="W208" s="80"/>
      <c r="X208" s="82"/>
      <c r="Y208" s="80"/>
      <c r="Z208" s="210">
        <f t="shared" si="3"/>
        <v>0</v>
      </c>
      <c r="AA208" s="60"/>
      <c r="AB208" s="60"/>
    </row>
    <row r="209" spans="1:28" x14ac:dyDescent="0.25">
      <c r="A209" s="443"/>
      <c r="B209" s="443"/>
      <c r="C209" s="443"/>
      <c r="D209" s="330"/>
      <c r="E209" s="330"/>
      <c r="F209" s="330"/>
      <c r="G209" s="330"/>
      <c r="H209" s="330"/>
      <c r="I209" s="330"/>
      <c r="J209" s="330"/>
      <c r="K209" s="330"/>
      <c r="L209" s="82"/>
      <c r="M209" s="80"/>
      <c r="N209" s="82"/>
      <c r="O209" s="80"/>
      <c r="P209" s="82"/>
      <c r="Q209" s="80"/>
      <c r="R209" s="82"/>
      <c r="S209" s="80"/>
      <c r="T209" s="82"/>
      <c r="U209" s="80"/>
      <c r="V209" s="82"/>
      <c r="W209" s="80"/>
      <c r="X209" s="82"/>
      <c r="Y209" s="80"/>
      <c r="Z209" s="210">
        <f t="shared" si="3"/>
        <v>0</v>
      </c>
      <c r="AA209" s="60"/>
      <c r="AB209" s="60"/>
    </row>
    <row r="210" spans="1:28" x14ac:dyDescent="0.25">
      <c r="A210" s="443"/>
      <c r="B210" s="443"/>
      <c r="C210" s="443"/>
      <c r="D210" s="330"/>
      <c r="E210" s="330"/>
      <c r="F210" s="330"/>
      <c r="G210" s="330"/>
      <c r="H210" s="330"/>
      <c r="I210" s="330"/>
      <c r="J210" s="330"/>
      <c r="K210" s="330"/>
      <c r="L210" s="82"/>
      <c r="M210" s="80"/>
      <c r="N210" s="82"/>
      <c r="O210" s="80"/>
      <c r="P210" s="82"/>
      <c r="Q210" s="80"/>
      <c r="R210" s="82"/>
      <c r="S210" s="80"/>
      <c r="T210" s="82"/>
      <c r="U210" s="80"/>
      <c r="V210" s="82"/>
      <c r="W210" s="80"/>
      <c r="X210" s="82"/>
      <c r="Y210" s="80"/>
      <c r="Z210" s="210">
        <f t="shared" si="3"/>
        <v>0</v>
      </c>
      <c r="AA210" s="60"/>
      <c r="AB210" s="60"/>
    </row>
    <row r="211" spans="1:28" x14ac:dyDescent="0.25">
      <c r="A211" s="443"/>
      <c r="B211" s="443"/>
      <c r="C211" s="443"/>
      <c r="D211" s="330"/>
      <c r="E211" s="330"/>
      <c r="F211" s="330"/>
      <c r="G211" s="330"/>
      <c r="H211" s="330"/>
      <c r="I211" s="330"/>
      <c r="J211" s="330"/>
      <c r="K211" s="330"/>
      <c r="L211" s="82"/>
      <c r="M211" s="80"/>
      <c r="N211" s="82"/>
      <c r="O211" s="80"/>
      <c r="P211" s="82"/>
      <c r="Q211" s="80"/>
      <c r="R211" s="82"/>
      <c r="S211" s="80"/>
      <c r="T211" s="82"/>
      <c r="U211" s="80"/>
      <c r="V211" s="82"/>
      <c r="W211" s="80"/>
      <c r="X211" s="82"/>
      <c r="Y211" s="80"/>
      <c r="Z211" s="210">
        <f t="shared" si="3"/>
        <v>0</v>
      </c>
      <c r="AA211" s="60"/>
      <c r="AB211" s="60"/>
    </row>
    <row r="212" spans="1:28" x14ac:dyDescent="0.25">
      <c r="A212" s="443"/>
      <c r="B212" s="443"/>
      <c r="C212" s="443"/>
      <c r="D212" s="330"/>
      <c r="E212" s="330"/>
      <c r="F212" s="330"/>
      <c r="G212" s="330"/>
      <c r="H212" s="330"/>
      <c r="I212" s="330"/>
      <c r="J212" s="330"/>
      <c r="K212" s="330"/>
      <c r="L212" s="82"/>
      <c r="M212" s="80"/>
      <c r="N212" s="82"/>
      <c r="O212" s="80"/>
      <c r="P212" s="82"/>
      <c r="Q212" s="80"/>
      <c r="R212" s="82"/>
      <c r="S212" s="80"/>
      <c r="T212" s="82"/>
      <c r="U212" s="80"/>
      <c r="V212" s="82"/>
      <c r="W212" s="80"/>
      <c r="X212" s="82"/>
      <c r="Y212" s="80"/>
      <c r="Z212" s="210">
        <f t="shared" si="3"/>
        <v>0</v>
      </c>
      <c r="AA212" s="60"/>
      <c r="AB212" s="60"/>
    </row>
    <row r="213" spans="1:28" x14ac:dyDescent="0.25">
      <c r="A213" s="443"/>
      <c r="B213" s="443"/>
      <c r="C213" s="443"/>
      <c r="D213" s="330"/>
      <c r="E213" s="330"/>
      <c r="F213" s="330"/>
      <c r="G213" s="330"/>
      <c r="H213" s="330"/>
      <c r="I213" s="330"/>
      <c r="J213" s="330"/>
      <c r="K213" s="330"/>
      <c r="L213" s="82"/>
      <c r="M213" s="80"/>
      <c r="N213" s="82"/>
      <c r="O213" s="80"/>
      <c r="P213" s="82"/>
      <c r="Q213" s="80"/>
      <c r="R213" s="82"/>
      <c r="S213" s="80"/>
      <c r="T213" s="82"/>
      <c r="U213" s="80"/>
      <c r="V213" s="82"/>
      <c r="W213" s="80"/>
      <c r="X213" s="82"/>
      <c r="Y213" s="80"/>
      <c r="Z213" s="210">
        <f t="shared" si="3"/>
        <v>0</v>
      </c>
      <c r="AA213" s="60"/>
      <c r="AB213" s="60"/>
    </row>
    <row r="214" spans="1:28" x14ac:dyDescent="0.25">
      <c r="A214" s="443"/>
      <c r="B214" s="443"/>
      <c r="C214" s="443"/>
      <c r="D214" s="330"/>
      <c r="E214" s="330"/>
      <c r="F214" s="330"/>
      <c r="G214" s="330"/>
      <c r="H214" s="330"/>
      <c r="I214" s="330"/>
      <c r="J214" s="330"/>
      <c r="K214" s="330"/>
      <c r="L214" s="82"/>
      <c r="M214" s="80"/>
      <c r="N214" s="82"/>
      <c r="O214" s="80"/>
      <c r="P214" s="82"/>
      <c r="Q214" s="80"/>
      <c r="R214" s="82"/>
      <c r="S214" s="80"/>
      <c r="T214" s="82"/>
      <c r="U214" s="80"/>
      <c r="V214" s="82"/>
      <c r="W214" s="80"/>
      <c r="X214" s="82"/>
      <c r="Y214" s="80"/>
      <c r="Z214" s="210">
        <f t="shared" si="3"/>
        <v>0</v>
      </c>
      <c r="AA214" s="60"/>
      <c r="AB214" s="60"/>
    </row>
    <row r="215" spans="1:28" x14ac:dyDescent="0.25">
      <c r="A215" s="443"/>
      <c r="B215" s="443"/>
      <c r="C215" s="443"/>
      <c r="D215" s="330"/>
      <c r="E215" s="330"/>
      <c r="F215" s="330"/>
      <c r="G215" s="330"/>
      <c r="H215" s="330"/>
      <c r="I215" s="330"/>
      <c r="J215" s="330"/>
      <c r="K215" s="330"/>
      <c r="L215" s="82"/>
      <c r="M215" s="80"/>
      <c r="N215" s="82"/>
      <c r="O215" s="80"/>
      <c r="P215" s="82"/>
      <c r="Q215" s="80"/>
      <c r="R215" s="82"/>
      <c r="S215" s="80"/>
      <c r="T215" s="82"/>
      <c r="U215" s="80"/>
      <c r="V215" s="82"/>
      <c r="W215" s="80"/>
      <c r="X215" s="82"/>
      <c r="Y215" s="80"/>
      <c r="Z215" s="210">
        <f t="shared" si="3"/>
        <v>0</v>
      </c>
      <c r="AA215" s="60"/>
      <c r="AB215" s="60"/>
    </row>
    <row r="216" spans="1:28" x14ac:dyDescent="0.25">
      <c r="A216" s="443"/>
      <c r="B216" s="443"/>
      <c r="C216" s="443"/>
      <c r="D216" s="330"/>
      <c r="E216" s="330"/>
      <c r="F216" s="330"/>
      <c r="G216" s="330"/>
      <c r="H216" s="330"/>
      <c r="I216" s="330"/>
      <c r="J216" s="330"/>
      <c r="K216" s="330"/>
      <c r="L216" s="82"/>
      <c r="M216" s="80"/>
      <c r="N216" s="82"/>
      <c r="O216" s="80"/>
      <c r="P216" s="82"/>
      <c r="Q216" s="80"/>
      <c r="R216" s="82"/>
      <c r="S216" s="80"/>
      <c r="T216" s="82"/>
      <c r="U216" s="80"/>
      <c r="V216" s="82"/>
      <c r="W216" s="80"/>
      <c r="X216" s="82"/>
      <c r="Y216" s="80"/>
      <c r="Z216" s="210">
        <f t="shared" si="3"/>
        <v>0</v>
      </c>
      <c r="AA216" s="60"/>
      <c r="AB216" s="60"/>
    </row>
    <row r="217" spans="1:28" x14ac:dyDescent="0.25">
      <c r="A217" s="443"/>
      <c r="B217" s="443"/>
      <c r="C217" s="443"/>
      <c r="D217" s="330"/>
      <c r="E217" s="330"/>
      <c r="F217" s="330"/>
      <c r="G217" s="330"/>
      <c r="H217" s="330"/>
      <c r="I217" s="330"/>
      <c r="J217" s="330"/>
      <c r="K217" s="330"/>
      <c r="L217" s="82"/>
      <c r="M217" s="80"/>
      <c r="N217" s="82"/>
      <c r="O217" s="80"/>
      <c r="P217" s="82"/>
      <c r="Q217" s="80"/>
      <c r="R217" s="82"/>
      <c r="S217" s="80"/>
      <c r="T217" s="82"/>
      <c r="U217" s="80"/>
      <c r="V217" s="82"/>
      <c r="W217" s="80"/>
      <c r="X217" s="82"/>
      <c r="Y217" s="80"/>
      <c r="Z217" s="210">
        <f t="shared" si="3"/>
        <v>0</v>
      </c>
      <c r="AA217" s="60"/>
      <c r="AB217" s="60"/>
    </row>
    <row r="218" spans="1:28" x14ac:dyDescent="0.25">
      <c r="A218" s="443"/>
      <c r="B218" s="443"/>
      <c r="C218" s="443"/>
      <c r="D218" s="330"/>
      <c r="E218" s="330"/>
      <c r="F218" s="330"/>
      <c r="G218" s="330"/>
      <c r="H218" s="330"/>
      <c r="I218" s="330"/>
      <c r="J218" s="330"/>
      <c r="K218" s="330"/>
      <c r="L218" s="82"/>
      <c r="M218" s="80"/>
      <c r="N218" s="82"/>
      <c r="O218" s="80"/>
      <c r="P218" s="82"/>
      <c r="Q218" s="80"/>
      <c r="R218" s="82"/>
      <c r="S218" s="80"/>
      <c r="T218" s="82"/>
      <c r="U218" s="80"/>
      <c r="V218" s="82"/>
      <c r="W218" s="80"/>
      <c r="X218" s="82"/>
      <c r="Y218" s="80"/>
      <c r="Z218" s="210">
        <f t="shared" si="3"/>
        <v>0</v>
      </c>
      <c r="AA218" s="60"/>
      <c r="AB218" s="60"/>
    </row>
    <row r="219" spans="1:28" x14ac:dyDescent="0.25">
      <c r="A219" s="443"/>
      <c r="B219" s="443"/>
      <c r="C219" s="443"/>
      <c r="D219" s="330"/>
      <c r="E219" s="330"/>
      <c r="F219" s="330"/>
      <c r="G219" s="330"/>
      <c r="H219" s="330"/>
      <c r="I219" s="330"/>
      <c r="J219" s="330"/>
      <c r="K219" s="330"/>
      <c r="L219" s="82"/>
      <c r="M219" s="80"/>
      <c r="N219" s="82"/>
      <c r="O219" s="80"/>
      <c r="P219" s="82"/>
      <c r="Q219" s="80"/>
      <c r="R219" s="82"/>
      <c r="S219" s="80"/>
      <c r="T219" s="82"/>
      <c r="U219" s="80"/>
      <c r="V219" s="82"/>
      <c r="W219" s="80"/>
      <c r="X219" s="82"/>
      <c r="Y219" s="80"/>
      <c r="Z219" s="210">
        <f t="shared" si="3"/>
        <v>0</v>
      </c>
      <c r="AA219" s="60"/>
      <c r="AB219" s="60"/>
    </row>
    <row r="220" spans="1:28" x14ac:dyDescent="0.25">
      <c r="A220" s="443"/>
      <c r="B220" s="443"/>
      <c r="C220" s="443"/>
      <c r="D220" s="330"/>
      <c r="E220" s="330"/>
      <c r="F220" s="330"/>
      <c r="G220" s="330"/>
      <c r="H220" s="330"/>
      <c r="I220" s="330"/>
      <c r="J220" s="330"/>
      <c r="K220" s="330"/>
      <c r="L220" s="82"/>
      <c r="M220" s="80"/>
      <c r="N220" s="82"/>
      <c r="O220" s="80"/>
      <c r="P220" s="82"/>
      <c r="Q220" s="80"/>
      <c r="R220" s="82"/>
      <c r="S220" s="80"/>
      <c r="T220" s="82"/>
      <c r="U220" s="80"/>
      <c r="V220" s="82"/>
      <c r="W220" s="80"/>
      <c r="X220" s="82"/>
      <c r="Y220" s="80"/>
      <c r="Z220" s="210">
        <f t="shared" si="3"/>
        <v>0</v>
      </c>
      <c r="AA220" s="60"/>
      <c r="AB220" s="60"/>
    </row>
    <row r="221" spans="1:28" x14ac:dyDescent="0.25">
      <c r="A221" s="443"/>
      <c r="B221" s="443"/>
      <c r="C221" s="443"/>
      <c r="D221" s="330"/>
      <c r="E221" s="330"/>
      <c r="F221" s="330"/>
      <c r="G221" s="330"/>
      <c r="H221" s="330"/>
      <c r="I221" s="330"/>
      <c r="J221" s="330"/>
      <c r="K221" s="330"/>
      <c r="L221" s="82"/>
      <c r="M221" s="80"/>
      <c r="N221" s="82"/>
      <c r="O221" s="80"/>
      <c r="P221" s="82"/>
      <c r="Q221" s="80"/>
      <c r="R221" s="82"/>
      <c r="S221" s="80"/>
      <c r="T221" s="82"/>
      <c r="U221" s="80"/>
      <c r="V221" s="82"/>
      <c r="W221" s="80"/>
      <c r="X221" s="82"/>
      <c r="Y221" s="80"/>
      <c r="Z221" s="210">
        <f t="shared" si="3"/>
        <v>0</v>
      </c>
      <c r="AA221" s="60"/>
      <c r="AB221" s="60"/>
    </row>
    <row r="222" spans="1:28" x14ac:dyDescent="0.25">
      <c r="A222" s="443"/>
      <c r="B222" s="443"/>
      <c r="C222" s="443"/>
      <c r="D222" s="330"/>
      <c r="E222" s="330"/>
      <c r="F222" s="330"/>
      <c r="G222" s="330"/>
      <c r="H222" s="330"/>
      <c r="I222" s="330"/>
      <c r="J222" s="330"/>
      <c r="K222" s="330"/>
      <c r="L222" s="82"/>
      <c r="M222" s="80"/>
      <c r="N222" s="82"/>
      <c r="O222" s="80"/>
      <c r="P222" s="82"/>
      <c r="Q222" s="80"/>
      <c r="R222" s="82"/>
      <c r="S222" s="80"/>
      <c r="T222" s="82"/>
      <c r="U222" s="80"/>
      <c r="V222" s="82"/>
      <c r="W222" s="80"/>
      <c r="X222" s="82"/>
      <c r="Y222" s="80"/>
      <c r="Z222" s="210">
        <f t="shared" si="3"/>
        <v>0</v>
      </c>
      <c r="AA222" s="60"/>
      <c r="AB222" s="60"/>
    </row>
    <row r="223" spans="1:28" x14ac:dyDescent="0.25">
      <c r="A223" s="443"/>
      <c r="B223" s="443"/>
      <c r="C223" s="443"/>
      <c r="D223" s="330"/>
      <c r="E223" s="330"/>
      <c r="F223" s="330"/>
      <c r="G223" s="330"/>
      <c r="H223" s="330"/>
      <c r="I223" s="330"/>
      <c r="J223" s="330"/>
      <c r="K223" s="330"/>
      <c r="L223" s="82"/>
      <c r="M223" s="80"/>
      <c r="N223" s="82"/>
      <c r="O223" s="80"/>
      <c r="P223" s="82"/>
      <c r="Q223" s="80"/>
      <c r="R223" s="82"/>
      <c r="S223" s="80"/>
      <c r="T223" s="82"/>
      <c r="U223" s="80"/>
      <c r="V223" s="82"/>
      <c r="W223" s="80"/>
      <c r="X223" s="82"/>
      <c r="Y223" s="80"/>
      <c r="Z223" s="210">
        <f t="shared" si="3"/>
        <v>0</v>
      </c>
      <c r="AA223" s="60"/>
      <c r="AB223" s="60"/>
    </row>
    <row r="224" spans="1:28" x14ac:dyDescent="0.25">
      <c r="A224" s="443"/>
      <c r="B224" s="443"/>
      <c r="C224" s="443"/>
      <c r="D224" s="330"/>
      <c r="E224" s="330"/>
      <c r="F224" s="330"/>
      <c r="G224" s="330"/>
      <c r="H224" s="330"/>
      <c r="I224" s="330"/>
      <c r="J224" s="330"/>
      <c r="K224" s="330"/>
      <c r="L224" s="82"/>
      <c r="M224" s="80"/>
      <c r="N224" s="82"/>
      <c r="O224" s="80"/>
      <c r="P224" s="82"/>
      <c r="Q224" s="80"/>
      <c r="R224" s="82"/>
      <c r="S224" s="80"/>
      <c r="T224" s="82"/>
      <c r="U224" s="80"/>
      <c r="V224" s="82"/>
      <c r="W224" s="80"/>
      <c r="X224" s="82"/>
      <c r="Y224" s="80"/>
      <c r="Z224" s="210">
        <f t="shared" si="3"/>
        <v>0</v>
      </c>
      <c r="AA224" s="60"/>
      <c r="AB224" s="60"/>
    </row>
    <row r="225" spans="1:28" x14ac:dyDescent="0.25">
      <c r="A225" s="443"/>
      <c r="B225" s="443"/>
      <c r="C225" s="443"/>
      <c r="D225" s="330"/>
      <c r="E225" s="330"/>
      <c r="F225" s="330"/>
      <c r="G225" s="330"/>
      <c r="H225" s="330"/>
      <c r="I225" s="330"/>
      <c r="J225" s="330"/>
      <c r="K225" s="330"/>
      <c r="L225" s="82"/>
      <c r="M225" s="80"/>
      <c r="N225" s="82"/>
      <c r="O225" s="80"/>
      <c r="P225" s="82"/>
      <c r="Q225" s="80"/>
      <c r="R225" s="82"/>
      <c r="S225" s="80"/>
      <c r="T225" s="82"/>
      <c r="U225" s="80"/>
      <c r="V225" s="82"/>
      <c r="W225" s="80"/>
      <c r="X225" s="82"/>
      <c r="Y225" s="80"/>
      <c r="Z225" s="210">
        <f t="shared" si="3"/>
        <v>0</v>
      </c>
      <c r="AA225" s="60"/>
      <c r="AB225" s="60"/>
    </row>
    <row r="226" spans="1:28" x14ac:dyDescent="0.25">
      <c r="A226" s="443"/>
      <c r="B226" s="443"/>
      <c r="C226" s="443"/>
      <c r="D226" s="330"/>
      <c r="E226" s="330"/>
      <c r="F226" s="330"/>
      <c r="G226" s="330"/>
      <c r="H226" s="330"/>
      <c r="I226" s="330"/>
      <c r="J226" s="330"/>
      <c r="K226" s="330"/>
      <c r="L226" s="82"/>
      <c r="M226" s="80"/>
      <c r="N226" s="82"/>
      <c r="O226" s="80"/>
      <c r="P226" s="82"/>
      <c r="Q226" s="80"/>
      <c r="R226" s="82"/>
      <c r="S226" s="80"/>
      <c r="T226" s="82"/>
      <c r="U226" s="80"/>
      <c r="V226" s="82"/>
      <c r="W226" s="80"/>
      <c r="X226" s="82"/>
      <c r="Y226" s="80"/>
      <c r="Z226" s="210">
        <f t="shared" si="3"/>
        <v>0</v>
      </c>
      <c r="AA226" s="60"/>
      <c r="AB226" s="60"/>
    </row>
    <row r="227" spans="1:28" x14ac:dyDescent="0.25">
      <c r="A227" s="443"/>
      <c r="B227" s="443"/>
      <c r="C227" s="443"/>
      <c r="D227" s="330"/>
      <c r="E227" s="330"/>
      <c r="F227" s="330"/>
      <c r="G227" s="330"/>
      <c r="H227" s="330"/>
      <c r="I227" s="330"/>
      <c r="J227" s="330"/>
      <c r="K227" s="330"/>
      <c r="L227" s="82"/>
      <c r="M227" s="80"/>
      <c r="N227" s="82"/>
      <c r="O227" s="80"/>
      <c r="P227" s="82"/>
      <c r="Q227" s="80"/>
      <c r="R227" s="82"/>
      <c r="S227" s="80"/>
      <c r="T227" s="82"/>
      <c r="U227" s="80"/>
      <c r="V227" s="82"/>
      <c r="W227" s="80"/>
      <c r="X227" s="82"/>
      <c r="Y227" s="80"/>
      <c r="Z227" s="210">
        <f t="shared" si="3"/>
        <v>0</v>
      </c>
      <c r="AA227" s="60"/>
      <c r="AB227" s="60"/>
    </row>
    <row r="228" spans="1:28" x14ac:dyDescent="0.25">
      <c r="A228" s="443"/>
      <c r="B228" s="443"/>
      <c r="C228" s="443"/>
      <c r="D228" s="330"/>
      <c r="E228" s="330"/>
      <c r="F228" s="330"/>
      <c r="G228" s="330"/>
      <c r="H228" s="330"/>
      <c r="I228" s="330"/>
      <c r="J228" s="330"/>
      <c r="K228" s="330"/>
      <c r="L228" s="82"/>
      <c r="M228" s="80"/>
      <c r="N228" s="82"/>
      <c r="O228" s="80"/>
      <c r="P228" s="82"/>
      <c r="Q228" s="80"/>
      <c r="R228" s="82"/>
      <c r="S228" s="80"/>
      <c r="T228" s="82"/>
      <c r="U228" s="80"/>
      <c r="V228" s="82"/>
      <c r="W228" s="80"/>
      <c r="X228" s="82"/>
      <c r="Y228" s="80"/>
      <c r="Z228" s="210">
        <f t="shared" si="3"/>
        <v>0</v>
      </c>
      <c r="AA228" s="60"/>
      <c r="AB228" s="60"/>
    </row>
    <row r="229" spans="1:28" x14ac:dyDescent="0.25">
      <c r="A229" s="443"/>
      <c r="B229" s="443"/>
      <c r="C229" s="443"/>
      <c r="D229" s="330"/>
      <c r="E229" s="330"/>
      <c r="F229" s="330"/>
      <c r="G229" s="330"/>
      <c r="H229" s="330"/>
      <c r="I229" s="330"/>
      <c r="J229" s="330"/>
      <c r="K229" s="330"/>
      <c r="L229" s="82"/>
      <c r="M229" s="80"/>
      <c r="N229" s="82"/>
      <c r="O229" s="80"/>
      <c r="P229" s="82"/>
      <c r="Q229" s="80"/>
      <c r="R229" s="82"/>
      <c r="S229" s="80"/>
      <c r="T229" s="82"/>
      <c r="U229" s="80"/>
      <c r="V229" s="82"/>
      <c r="W229" s="80"/>
      <c r="X229" s="82"/>
      <c r="Y229" s="80"/>
      <c r="Z229" s="210">
        <f t="shared" si="3"/>
        <v>0</v>
      </c>
      <c r="AA229" s="60"/>
      <c r="AB229" s="60"/>
    </row>
    <row r="230" spans="1:28" x14ac:dyDescent="0.25">
      <c r="A230" s="443"/>
      <c r="B230" s="443"/>
      <c r="C230" s="443"/>
      <c r="D230" s="330"/>
      <c r="E230" s="330"/>
      <c r="F230" s="330"/>
      <c r="G230" s="330"/>
      <c r="H230" s="330"/>
      <c r="I230" s="330"/>
      <c r="J230" s="330"/>
      <c r="K230" s="330"/>
      <c r="L230" s="82"/>
      <c r="M230" s="80"/>
      <c r="N230" s="82"/>
      <c r="O230" s="80"/>
      <c r="P230" s="82"/>
      <c r="Q230" s="80"/>
      <c r="R230" s="82"/>
      <c r="S230" s="80"/>
      <c r="T230" s="82"/>
      <c r="U230" s="80"/>
      <c r="V230" s="82"/>
      <c r="W230" s="80"/>
      <c r="X230" s="82"/>
      <c r="Y230" s="80"/>
      <c r="Z230" s="210">
        <f t="shared" si="3"/>
        <v>0</v>
      </c>
      <c r="AA230" s="60"/>
      <c r="AB230" s="60"/>
    </row>
    <row r="231" spans="1:28" x14ac:dyDescent="0.25">
      <c r="A231" s="443"/>
      <c r="B231" s="443"/>
      <c r="C231" s="443"/>
      <c r="D231" s="330"/>
      <c r="E231" s="330"/>
      <c r="F231" s="330"/>
      <c r="G231" s="330"/>
      <c r="H231" s="330"/>
      <c r="I231" s="330"/>
      <c r="J231" s="330"/>
      <c r="K231" s="330"/>
      <c r="L231" s="82"/>
      <c r="M231" s="80"/>
      <c r="N231" s="82"/>
      <c r="O231" s="80"/>
      <c r="P231" s="82"/>
      <c r="Q231" s="80"/>
      <c r="R231" s="82"/>
      <c r="S231" s="80"/>
      <c r="T231" s="82"/>
      <c r="U231" s="80"/>
      <c r="V231" s="82"/>
      <c r="W231" s="80"/>
      <c r="X231" s="82"/>
      <c r="Y231" s="80"/>
      <c r="Z231" s="210">
        <f t="shared" si="3"/>
        <v>0</v>
      </c>
      <c r="AA231" s="60"/>
      <c r="AB231" s="60"/>
    </row>
    <row r="232" spans="1:28" x14ac:dyDescent="0.25">
      <c r="A232" s="443"/>
      <c r="B232" s="443"/>
      <c r="C232" s="443"/>
      <c r="D232" s="330"/>
      <c r="E232" s="330"/>
      <c r="F232" s="330"/>
      <c r="G232" s="330"/>
      <c r="H232" s="330"/>
      <c r="I232" s="330"/>
      <c r="J232" s="330"/>
      <c r="K232" s="330"/>
      <c r="L232" s="82"/>
      <c r="M232" s="80"/>
      <c r="N232" s="82"/>
      <c r="O232" s="80"/>
      <c r="P232" s="82"/>
      <c r="Q232" s="80"/>
      <c r="R232" s="82"/>
      <c r="S232" s="80"/>
      <c r="T232" s="82"/>
      <c r="U232" s="80"/>
      <c r="V232" s="82"/>
      <c r="W232" s="80"/>
      <c r="X232" s="82"/>
      <c r="Y232" s="80"/>
      <c r="Z232" s="210">
        <f t="shared" si="3"/>
        <v>0</v>
      </c>
      <c r="AA232" s="60"/>
      <c r="AB232" s="60"/>
    </row>
    <row r="233" spans="1:28" x14ac:dyDescent="0.25">
      <c r="A233" s="443"/>
      <c r="B233" s="443"/>
      <c r="C233" s="443"/>
      <c r="D233" s="330"/>
      <c r="E233" s="330"/>
      <c r="F233" s="330"/>
      <c r="G233" s="330"/>
      <c r="H233" s="330"/>
      <c r="I233" s="330"/>
      <c r="J233" s="330"/>
      <c r="K233" s="330"/>
      <c r="L233" s="82"/>
      <c r="M233" s="80"/>
      <c r="N233" s="82"/>
      <c r="O233" s="80"/>
      <c r="P233" s="82"/>
      <c r="Q233" s="80"/>
      <c r="R233" s="82"/>
      <c r="S233" s="80"/>
      <c r="T233" s="82"/>
      <c r="U233" s="80"/>
      <c r="V233" s="82"/>
      <c r="W233" s="80"/>
      <c r="X233" s="82"/>
      <c r="Y233" s="80"/>
      <c r="Z233" s="210">
        <f t="shared" si="3"/>
        <v>0</v>
      </c>
      <c r="AA233" s="60"/>
      <c r="AB233" s="60"/>
    </row>
    <row r="234" spans="1:28" x14ac:dyDescent="0.25">
      <c r="A234" s="443"/>
      <c r="B234" s="443"/>
      <c r="C234" s="443"/>
      <c r="D234" s="330"/>
      <c r="E234" s="330"/>
      <c r="F234" s="330"/>
      <c r="G234" s="330"/>
      <c r="H234" s="330"/>
      <c r="I234" s="330"/>
      <c r="J234" s="330"/>
      <c r="K234" s="330"/>
      <c r="L234" s="82"/>
      <c r="M234" s="80"/>
      <c r="N234" s="82"/>
      <c r="O234" s="80"/>
      <c r="P234" s="82"/>
      <c r="Q234" s="80"/>
      <c r="R234" s="82"/>
      <c r="S234" s="80"/>
      <c r="T234" s="82"/>
      <c r="U234" s="80"/>
      <c r="V234" s="82"/>
      <c r="W234" s="80"/>
      <c r="X234" s="82"/>
      <c r="Y234" s="80"/>
      <c r="Z234" s="210">
        <f t="shared" si="3"/>
        <v>0</v>
      </c>
      <c r="AA234" s="60"/>
      <c r="AB234" s="60"/>
    </row>
    <row r="235" spans="1:28" x14ac:dyDescent="0.25">
      <c r="A235" s="443"/>
      <c r="B235" s="443"/>
      <c r="C235" s="443"/>
      <c r="D235" s="330"/>
      <c r="E235" s="330"/>
      <c r="F235" s="330"/>
      <c r="G235" s="330"/>
      <c r="H235" s="330"/>
      <c r="I235" s="330"/>
      <c r="J235" s="330"/>
      <c r="K235" s="330"/>
      <c r="L235" s="82"/>
      <c r="M235" s="80"/>
      <c r="N235" s="82"/>
      <c r="O235" s="80"/>
      <c r="P235" s="82"/>
      <c r="Q235" s="80"/>
      <c r="R235" s="82"/>
      <c r="S235" s="80"/>
      <c r="T235" s="82"/>
      <c r="U235" s="80"/>
      <c r="V235" s="82"/>
      <c r="W235" s="80"/>
      <c r="X235" s="82"/>
      <c r="Y235" s="80"/>
      <c r="Z235" s="210">
        <f t="shared" si="3"/>
        <v>0</v>
      </c>
      <c r="AA235" s="60"/>
      <c r="AB235" s="60"/>
    </row>
    <row r="236" spans="1:28" x14ac:dyDescent="0.25">
      <c r="A236" s="443"/>
      <c r="B236" s="443"/>
      <c r="C236" s="443"/>
      <c r="D236" s="330"/>
      <c r="E236" s="330"/>
      <c r="F236" s="330"/>
      <c r="G236" s="330"/>
      <c r="H236" s="330"/>
      <c r="I236" s="330"/>
      <c r="J236" s="330"/>
      <c r="K236" s="330"/>
      <c r="L236" s="82"/>
      <c r="M236" s="80"/>
      <c r="N236" s="82"/>
      <c r="O236" s="80"/>
      <c r="P236" s="82"/>
      <c r="Q236" s="80"/>
      <c r="R236" s="82"/>
      <c r="S236" s="80"/>
      <c r="T236" s="82"/>
      <c r="U236" s="80"/>
      <c r="V236" s="82"/>
      <c r="W236" s="80"/>
      <c r="X236" s="82"/>
      <c r="Y236" s="80"/>
      <c r="Z236" s="210">
        <f t="shared" si="3"/>
        <v>0</v>
      </c>
      <c r="AA236" s="60"/>
      <c r="AB236" s="60"/>
    </row>
    <row r="237" spans="1:28" x14ac:dyDescent="0.25">
      <c r="A237" s="443"/>
      <c r="B237" s="443"/>
      <c r="C237" s="443"/>
      <c r="D237" s="330"/>
      <c r="E237" s="330"/>
      <c r="F237" s="330"/>
      <c r="G237" s="330"/>
      <c r="H237" s="330"/>
      <c r="I237" s="330"/>
      <c r="J237" s="330"/>
      <c r="K237" s="330"/>
      <c r="L237" s="82"/>
      <c r="M237" s="80"/>
      <c r="N237" s="82"/>
      <c r="O237" s="80"/>
      <c r="P237" s="82"/>
      <c r="Q237" s="80"/>
      <c r="R237" s="82"/>
      <c r="S237" s="80"/>
      <c r="T237" s="82"/>
      <c r="U237" s="80"/>
      <c r="V237" s="82"/>
      <c r="W237" s="80"/>
      <c r="X237" s="82"/>
      <c r="Y237" s="80"/>
      <c r="Z237" s="210">
        <f t="shared" si="3"/>
        <v>0</v>
      </c>
      <c r="AA237" s="60"/>
      <c r="AB237" s="60"/>
    </row>
    <row r="238" spans="1:28" x14ac:dyDescent="0.25">
      <c r="A238" s="443"/>
      <c r="B238" s="443"/>
      <c r="C238" s="443"/>
      <c r="D238" s="330"/>
      <c r="E238" s="330"/>
      <c r="F238" s="330"/>
      <c r="G238" s="330"/>
      <c r="H238" s="330"/>
      <c r="I238" s="330"/>
      <c r="J238" s="330"/>
      <c r="K238" s="330"/>
      <c r="L238" s="82"/>
      <c r="M238" s="80"/>
      <c r="N238" s="82"/>
      <c r="O238" s="80"/>
      <c r="P238" s="82"/>
      <c r="Q238" s="80"/>
      <c r="R238" s="82"/>
      <c r="S238" s="80"/>
      <c r="T238" s="82"/>
      <c r="U238" s="80"/>
      <c r="V238" s="82"/>
      <c r="W238" s="80"/>
      <c r="X238" s="82"/>
      <c r="Y238" s="80"/>
      <c r="Z238" s="210">
        <f t="shared" si="3"/>
        <v>0</v>
      </c>
      <c r="AA238" s="60"/>
      <c r="AB238" s="60"/>
    </row>
    <row r="239" spans="1:28" x14ac:dyDescent="0.25">
      <c r="A239" s="443"/>
      <c r="B239" s="443"/>
      <c r="C239" s="443"/>
      <c r="D239" s="330"/>
      <c r="E239" s="330"/>
      <c r="F239" s="330"/>
      <c r="G239" s="330"/>
      <c r="H239" s="330"/>
      <c r="I239" s="330"/>
      <c r="J239" s="330"/>
      <c r="K239" s="330"/>
      <c r="L239" s="82"/>
      <c r="M239" s="80"/>
      <c r="N239" s="82"/>
      <c r="O239" s="80"/>
      <c r="P239" s="82"/>
      <c r="Q239" s="80"/>
      <c r="R239" s="82"/>
      <c r="S239" s="80"/>
      <c r="T239" s="82"/>
      <c r="U239" s="80"/>
      <c r="V239" s="82"/>
      <c r="W239" s="80"/>
      <c r="X239" s="82"/>
      <c r="Y239" s="80"/>
      <c r="Z239" s="210">
        <f t="shared" si="3"/>
        <v>0</v>
      </c>
      <c r="AA239" s="60"/>
      <c r="AB239" s="60"/>
    </row>
    <row r="240" spans="1:28" x14ac:dyDescent="0.25">
      <c r="A240" s="443"/>
      <c r="B240" s="443"/>
      <c r="C240" s="443"/>
      <c r="D240" s="330"/>
      <c r="E240" s="330"/>
      <c r="F240" s="330"/>
      <c r="G240" s="330"/>
      <c r="H240" s="330"/>
      <c r="I240" s="330"/>
      <c r="J240" s="330"/>
      <c r="K240" s="330"/>
      <c r="L240" s="82"/>
      <c r="M240" s="80"/>
      <c r="N240" s="82"/>
      <c r="O240" s="80"/>
      <c r="P240" s="82"/>
      <c r="Q240" s="80"/>
      <c r="R240" s="82"/>
      <c r="S240" s="80"/>
      <c r="T240" s="82"/>
      <c r="U240" s="80"/>
      <c r="V240" s="82"/>
      <c r="W240" s="80"/>
      <c r="X240" s="82"/>
      <c r="Y240" s="80"/>
      <c r="Z240" s="210">
        <f t="shared" si="3"/>
        <v>0</v>
      </c>
      <c r="AA240" s="60"/>
      <c r="AB240" s="60"/>
    </row>
    <row r="241" spans="1:28" x14ac:dyDescent="0.25">
      <c r="A241" s="443"/>
      <c r="B241" s="443"/>
      <c r="C241" s="443"/>
      <c r="D241" s="330"/>
      <c r="E241" s="330"/>
      <c r="F241" s="330"/>
      <c r="G241" s="330"/>
      <c r="H241" s="330"/>
      <c r="I241" s="330"/>
      <c r="J241" s="330"/>
      <c r="K241" s="330"/>
      <c r="L241" s="82"/>
      <c r="M241" s="80"/>
      <c r="N241" s="82"/>
      <c r="O241" s="80"/>
      <c r="P241" s="82"/>
      <c r="Q241" s="80"/>
      <c r="R241" s="82"/>
      <c r="S241" s="80"/>
      <c r="T241" s="82"/>
      <c r="U241" s="80"/>
      <c r="V241" s="82"/>
      <c r="W241" s="80"/>
      <c r="X241" s="82"/>
      <c r="Y241" s="80"/>
      <c r="Z241" s="210">
        <f t="shared" si="3"/>
        <v>0</v>
      </c>
      <c r="AA241" s="60"/>
      <c r="AB241" s="60"/>
    </row>
    <row r="242" spans="1:28" x14ac:dyDescent="0.25">
      <c r="A242" s="443"/>
      <c r="B242" s="443"/>
      <c r="C242" s="443"/>
      <c r="D242" s="330"/>
      <c r="E242" s="330"/>
      <c r="F242" s="330"/>
      <c r="G242" s="330"/>
      <c r="H242" s="330"/>
      <c r="I242" s="330"/>
      <c r="J242" s="330"/>
      <c r="K242" s="330"/>
      <c r="L242" s="82"/>
      <c r="M242" s="80"/>
      <c r="N242" s="82"/>
      <c r="O242" s="80"/>
      <c r="P242" s="82"/>
      <c r="Q242" s="80"/>
      <c r="R242" s="82"/>
      <c r="S242" s="80"/>
      <c r="T242" s="82"/>
      <c r="U242" s="80"/>
      <c r="V242" s="82"/>
      <c r="W242" s="80"/>
      <c r="X242" s="82"/>
      <c r="Y242" s="80"/>
      <c r="Z242" s="210">
        <f t="shared" si="3"/>
        <v>0</v>
      </c>
      <c r="AA242" s="60"/>
      <c r="AB242" s="60"/>
    </row>
    <row r="243" spans="1:28" x14ac:dyDescent="0.25">
      <c r="A243" s="443"/>
      <c r="B243" s="443"/>
      <c r="C243" s="443"/>
      <c r="D243" s="330"/>
      <c r="E243" s="330"/>
      <c r="F243" s="330"/>
      <c r="G243" s="330"/>
      <c r="H243" s="330"/>
      <c r="I243" s="330"/>
      <c r="J243" s="330"/>
      <c r="K243" s="330"/>
      <c r="L243" s="82"/>
      <c r="M243" s="80"/>
      <c r="N243" s="82"/>
      <c r="O243" s="80"/>
      <c r="P243" s="82"/>
      <c r="Q243" s="80"/>
      <c r="R243" s="82"/>
      <c r="S243" s="80"/>
      <c r="T243" s="82"/>
      <c r="U243" s="80"/>
      <c r="V243" s="82"/>
      <c r="W243" s="80"/>
      <c r="X243" s="82"/>
      <c r="Y243" s="80"/>
      <c r="Z243" s="210">
        <f t="shared" si="3"/>
        <v>0</v>
      </c>
      <c r="AA243" s="60"/>
      <c r="AB243" s="60"/>
    </row>
    <row r="244" spans="1:28" x14ac:dyDescent="0.25">
      <c r="A244" s="443"/>
      <c r="B244" s="443"/>
      <c r="C244" s="443"/>
      <c r="D244" s="330"/>
      <c r="E244" s="330"/>
      <c r="F244" s="330"/>
      <c r="G244" s="330"/>
      <c r="H244" s="330"/>
      <c r="I244" s="330"/>
      <c r="J244" s="330"/>
      <c r="K244" s="330"/>
      <c r="L244" s="82"/>
      <c r="M244" s="80"/>
      <c r="N244" s="82"/>
      <c r="O244" s="80"/>
      <c r="P244" s="82"/>
      <c r="Q244" s="80"/>
      <c r="R244" s="82"/>
      <c r="S244" s="80"/>
      <c r="T244" s="82"/>
      <c r="U244" s="80"/>
      <c r="V244" s="82"/>
      <c r="W244" s="80"/>
      <c r="X244" s="82"/>
      <c r="Y244" s="80"/>
      <c r="Z244" s="210">
        <f t="shared" si="3"/>
        <v>0</v>
      </c>
      <c r="AA244" s="60"/>
      <c r="AB244" s="60"/>
    </row>
    <row r="245" spans="1:28" x14ac:dyDescent="0.25">
      <c r="A245" s="443"/>
      <c r="B245" s="443"/>
      <c r="C245" s="443"/>
      <c r="D245" s="330"/>
      <c r="E245" s="330"/>
      <c r="F245" s="330"/>
      <c r="G245" s="330"/>
      <c r="H245" s="330"/>
      <c r="I245" s="330"/>
      <c r="J245" s="330"/>
      <c r="K245" s="330"/>
      <c r="L245" s="82"/>
      <c r="M245" s="80"/>
      <c r="N245" s="82"/>
      <c r="O245" s="80"/>
      <c r="P245" s="82"/>
      <c r="Q245" s="80"/>
      <c r="R245" s="82"/>
      <c r="S245" s="80"/>
      <c r="T245" s="82"/>
      <c r="U245" s="80"/>
      <c r="V245" s="82"/>
      <c r="W245" s="80"/>
      <c r="X245" s="82"/>
      <c r="Y245" s="80"/>
      <c r="Z245" s="210">
        <f t="shared" si="3"/>
        <v>0</v>
      </c>
      <c r="AA245" s="60"/>
      <c r="AB245" s="60"/>
    </row>
    <row r="246" spans="1:28" x14ac:dyDescent="0.25">
      <c r="A246" s="443"/>
      <c r="B246" s="443"/>
      <c r="C246" s="443"/>
      <c r="D246" s="330"/>
      <c r="E246" s="330"/>
      <c r="F246" s="330"/>
      <c r="G246" s="330"/>
      <c r="H246" s="330"/>
      <c r="I246" s="330"/>
      <c r="J246" s="330"/>
      <c r="K246" s="330"/>
      <c r="L246" s="82"/>
      <c r="M246" s="80"/>
      <c r="N246" s="82"/>
      <c r="O246" s="80"/>
      <c r="P246" s="82"/>
      <c r="Q246" s="80"/>
      <c r="R246" s="82"/>
      <c r="S246" s="80"/>
      <c r="T246" s="82"/>
      <c r="U246" s="80"/>
      <c r="V246" s="82"/>
      <c r="W246" s="80"/>
      <c r="X246" s="82"/>
      <c r="Y246" s="80"/>
      <c r="Z246" s="210">
        <f t="shared" si="3"/>
        <v>0</v>
      </c>
      <c r="AA246" s="60"/>
      <c r="AB246" s="60"/>
    </row>
    <row r="247" spans="1:28" x14ac:dyDescent="0.25">
      <c r="A247" s="443"/>
      <c r="B247" s="443"/>
      <c r="C247" s="443"/>
      <c r="D247" s="330"/>
      <c r="E247" s="330"/>
      <c r="F247" s="330"/>
      <c r="G247" s="330"/>
      <c r="H247" s="330"/>
      <c r="I247" s="330"/>
      <c r="J247" s="330"/>
      <c r="K247" s="330"/>
      <c r="L247" s="82"/>
      <c r="M247" s="80"/>
      <c r="N247" s="82"/>
      <c r="O247" s="80"/>
      <c r="P247" s="82"/>
      <c r="Q247" s="80"/>
      <c r="R247" s="82"/>
      <c r="S247" s="80"/>
      <c r="T247" s="82"/>
      <c r="U247" s="80"/>
      <c r="V247" s="82"/>
      <c r="W247" s="80"/>
      <c r="X247" s="82"/>
      <c r="Y247" s="80"/>
      <c r="Z247" s="210">
        <f t="shared" si="3"/>
        <v>0</v>
      </c>
      <c r="AA247" s="60"/>
      <c r="AB247" s="60"/>
    </row>
    <row r="248" spans="1:28" x14ac:dyDescent="0.25">
      <c r="A248" s="443"/>
      <c r="B248" s="443"/>
      <c r="C248" s="443"/>
      <c r="D248" s="330"/>
      <c r="E248" s="330"/>
      <c r="F248" s="330"/>
      <c r="G248" s="330"/>
      <c r="H248" s="330"/>
      <c r="I248" s="330"/>
      <c r="J248" s="330"/>
      <c r="K248" s="330"/>
      <c r="L248" s="82"/>
      <c r="M248" s="80"/>
      <c r="N248" s="82"/>
      <c r="O248" s="80"/>
      <c r="P248" s="82"/>
      <c r="Q248" s="80"/>
      <c r="R248" s="82"/>
      <c r="S248" s="80"/>
      <c r="T248" s="82"/>
      <c r="U248" s="80"/>
      <c r="V248" s="82"/>
      <c r="W248" s="80"/>
      <c r="X248" s="82"/>
      <c r="Y248" s="80"/>
      <c r="Z248" s="210">
        <f t="shared" si="3"/>
        <v>0</v>
      </c>
      <c r="AA248" s="60"/>
      <c r="AB248" s="60"/>
    </row>
    <row r="249" spans="1:28" x14ac:dyDescent="0.25">
      <c r="A249" s="443"/>
      <c r="B249" s="443"/>
      <c r="C249" s="443"/>
      <c r="D249" s="330"/>
      <c r="E249" s="330"/>
      <c r="F249" s="330"/>
      <c r="G249" s="330"/>
      <c r="H249" s="330"/>
      <c r="I249" s="330"/>
      <c r="J249" s="330"/>
      <c r="K249" s="330"/>
      <c r="L249" s="82"/>
      <c r="M249" s="80"/>
      <c r="N249" s="82"/>
      <c r="O249" s="80"/>
      <c r="P249" s="82"/>
      <c r="Q249" s="80"/>
      <c r="R249" s="82"/>
      <c r="S249" s="80"/>
      <c r="T249" s="82"/>
      <c r="U249" s="80"/>
      <c r="V249" s="82"/>
      <c r="W249" s="80"/>
      <c r="X249" s="82"/>
      <c r="Y249" s="80"/>
      <c r="Z249" s="210">
        <f t="shared" si="3"/>
        <v>0</v>
      </c>
      <c r="AA249" s="60"/>
      <c r="AB249" s="60"/>
    </row>
    <row r="250" spans="1:28" x14ac:dyDescent="0.25">
      <c r="A250" s="443"/>
      <c r="B250" s="443"/>
      <c r="C250" s="443"/>
      <c r="D250" s="330"/>
      <c r="E250" s="330"/>
      <c r="F250" s="330"/>
      <c r="G250" s="330"/>
      <c r="H250" s="330"/>
      <c r="I250" s="330"/>
      <c r="J250" s="330"/>
      <c r="K250" s="330"/>
      <c r="L250" s="82"/>
      <c r="M250" s="80"/>
      <c r="N250" s="82"/>
      <c r="O250" s="80"/>
      <c r="P250" s="82"/>
      <c r="Q250" s="80"/>
      <c r="R250" s="82"/>
      <c r="S250" s="80"/>
      <c r="T250" s="82"/>
      <c r="U250" s="80"/>
      <c r="V250" s="82"/>
      <c r="W250" s="80"/>
      <c r="X250" s="82"/>
      <c r="Y250" s="80"/>
      <c r="Z250" s="210">
        <f t="shared" si="3"/>
        <v>0</v>
      </c>
      <c r="AA250" s="60"/>
      <c r="AB250" s="60"/>
    </row>
    <row r="251" spans="1:28" x14ac:dyDescent="0.25">
      <c r="A251" s="443"/>
      <c r="B251" s="443"/>
      <c r="C251" s="443"/>
      <c r="D251" s="330"/>
      <c r="E251" s="330"/>
      <c r="F251" s="330"/>
      <c r="G251" s="330"/>
      <c r="H251" s="330"/>
      <c r="I251" s="330"/>
      <c r="J251" s="330"/>
      <c r="K251" s="330"/>
      <c r="L251" s="82"/>
      <c r="M251" s="80"/>
      <c r="N251" s="82"/>
      <c r="O251" s="80"/>
      <c r="P251" s="82"/>
      <c r="Q251" s="80"/>
      <c r="R251" s="82"/>
      <c r="S251" s="80"/>
      <c r="T251" s="82"/>
      <c r="U251" s="80"/>
      <c r="V251" s="82"/>
      <c r="W251" s="80"/>
      <c r="X251" s="82"/>
      <c r="Y251" s="80"/>
      <c r="Z251" s="210">
        <f t="shared" si="3"/>
        <v>0</v>
      </c>
      <c r="AA251" s="60"/>
      <c r="AB251" s="60"/>
    </row>
    <row r="252" spans="1:28" x14ac:dyDescent="0.25">
      <c r="A252" s="443"/>
      <c r="B252" s="443"/>
      <c r="C252" s="443"/>
      <c r="D252" s="330"/>
      <c r="E252" s="330"/>
      <c r="F252" s="330"/>
      <c r="G252" s="330"/>
      <c r="H252" s="330"/>
      <c r="I252" s="330"/>
      <c r="J252" s="330"/>
      <c r="K252" s="330"/>
      <c r="L252" s="82"/>
      <c r="M252" s="80"/>
      <c r="N252" s="82"/>
      <c r="O252" s="80"/>
      <c r="P252" s="82"/>
      <c r="Q252" s="80"/>
      <c r="R252" s="82"/>
      <c r="S252" s="80"/>
      <c r="T252" s="82"/>
      <c r="U252" s="80"/>
      <c r="V252" s="82"/>
      <c r="W252" s="80"/>
      <c r="X252" s="82"/>
      <c r="Y252" s="80"/>
      <c r="Z252" s="210">
        <f t="shared" si="3"/>
        <v>0</v>
      </c>
      <c r="AA252" s="60"/>
      <c r="AB252" s="60"/>
    </row>
    <row r="253" spans="1:28" x14ac:dyDescent="0.25">
      <c r="A253" s="443"/>
      <c r="B253" s="443"/>
      <c r="C253" s="443"/>
      <c r="D253" s="330"/>
      <c r="E253" s="330"/>
      <c r="F253" s="330"/>
      <c r="G253" s="330"/>
      <c r="H253" s="330"/>
      <c r="I253" s="330"/>
      <c r="J253" s="330"/>
      <c r="K253" s="330"/>
      <c r="L253" s="82"/>
      <c r="M253" s="80"/>
      <c r="N253" s="82"/>
      <c r="O253" s="80"/>
      <c r="P253" s="82"/>
      <c r="Q253" s="80"/>
      <c r="R253" s="82"/>
      <c r="S253" s="80"/>
      <c r="T253" s="82"/>
      <c r="U253" s="80"/>
      <c r="V253" s="82"/>
      <c r="W253" s="80"/>
      <c r="X253" s="82"/>
      <c r="Y253" s="80"/>
      <c r="Z253" s="210">
        <f t="shared" si="3"/>
        <v>0</v>
      </c>
      <c r="AA253" s="60"/>
      <c r="AB253" s="60"/>
    </row>
    <row r="254" spans="1:28" x14ac:dyDescent="0.25">
      <c r="A254" s="443"/>
      <c r="B254" s="443"/>
      <c r="C254" s="443"/>
      <c r="D254" s="330"/>
      <c r="E254" s="330"/>
      <c r="F254" s="330"/>
      <c r="G254" s="330"/>
      <c r="H254" s="330"/>
      <c r="I254" s="330"/>
      <c r="J254" s="330"/>
      <c r="K254" s="330"/>
      <c r="L254" s="82"/>
      <c r="M254" s="80"/>
      <c r="N254" s="82"/>
      <c r="O254" s="80"/>
      <c r="P254" s="82"/>
      <c r="Q254" s="80"/>
      <c r="R254" s="82"/>
      <c r="S254" s="80"/>
      <c r="T254" s="82"/>
      <c r="U254" s="80"/>
      <c r="V254" s="82"/>
      <c r="W254" s="80"/>
      <c r="X254" s="82"/>
      <c r="Y254" s="80"/>
      <c r="Z254" s="210">
        <f t="shared" si="3"/>
        <v>0</v>
      </c>
      <c r="AA254" s="60"/>
      <c r="AB254" s="60"/>
    </row>
    <row r="255" spans="1:28" x14ac:dyDescent="0.25">
      <c r="A255" s="443"/>
      <c r="B255" s="443"/>
      <c r="C255" s="443"/>
      <c r="D255" s="330"/>
      <c r="E255" s="330"/>
      <c r="F255" s="330"/>
      <c r="G255" s="330"/>
      <c r="H255" s="330"/>
      <c r="I255" s="330"/>
      <c r="J255" s="330"/>
      <c r="K255" s="330"/>
      <c r="L255" s="82"/>
      <c r="M255" s="80"/>
      <c r="N255" s="82"/>
      <c r="O255" s="80"/>
      <c r="P255" s="82"/>
      <c r="Q255" s="80"/>
      <c r="R255" s="82"/>
      <c r="S255" s="80"/>
      <c r="T255" s="82"/>
      <c r="U255" s="80"/>
      <c r="V255" s="82"/>
      <c r="W255" s="80"/>
      <c r="X255" s="82"/>
      <c r="Y255" s="80"/>
      <c r="Z255" s="210">
        <f t="shared" si="3"/>
        <v>0</v>
      </c>
      <c r="AA255" s="60"/>
      <c r="AB255" s="60"/>
    </row>
    <row r="256" spans="1:28" x14ac:dyDescent="0.25">
      <c r="A256" s="443"/>
      <c r="B256" s="443"/>
      <c r="C256" s="443"/>
      <c r="D256" s="330"/>
      <c r="E256" s="330"/>
      <c r="F256" s="330"/>
      <c r="G256" s="330"/>
      <c r="H256" s="330"/>
      <c r="I256" s="330"/>
      <c r="J256" s="330"/>
      <c r="K256" s="330"/>
      <c r="L256" s="82"/>
      <c r="M256" s="80"/>
      <c r="N256" s="82"/>
      <c r="O256" s="80"/>
      <c r="P256" s="82"/>
      <c r="Q256" s="80"/>
      <c r="R256" s="82"/>
      <c r="S256" s="80"/>
      <c r="T256" s="82"/>
      <c r="U256" s="80"/>
      <c r="V256" s="82"/>
      <c r="W256" s="80"/>
      <c r="X256" s="82"/>
      <c r="Y256" s="80"/>
      <c r="Z256" s="210">
        <f t="shared" si="3"/>
        <v>0</v>
      </c>
      <c r="AA256" s="60"/>
      <c r="AB256" s="60"/>
    </row>
    <row r="257" spans="1:28" x14ac:dyDescent="0.25">
      <c r="A257" s="443"/>
      <c r="B257" s="443"/>
      <c r="C257" s="443"/>
      <c r="D257" s="330"/>
      <c r="E257" s="330"/>
      <c r="F257" s="330"/>
      <c r="G257" s="330"/>
      <c r="H257" s="330"/>
      <c r="I257" s="330"/>
      <c r="J257" s="330"/>
      <c r="K257" s="330"/>
      <c r="L257" s="82"/>
      <c r="M257" s="80"/>
      <c r="N257" s="82"/>
      <c r="O257" s="80"/>
      <c r="P257" s="82"/>
      <c r="Q257" s="80"/>
      <c r="R257" s="82"/>
      <c r="S257" s="80"/>
      <c r="T257" s="82"/>
      <c r="U257" s="80"/>
      <c r="V257" s="82"/>
      <c r="W257" s="80"/>
      <c r="X257" s="82"/>
      <c r="Y257" s="80"/>
      <c r="Z257" s="210">
        <f t="shared" si="3"/>
        <v>0</v>
      </c>
      <c r="AA257" s="60"/>
      <c r="AB257" s="60"/>
    </row>
    <row r="258" spans="1:28" x14ac:dyDescent="0.25">
      <c r="A258" s="443"/>
      <c r="B258" s="443"/>
      <c r="C258" s="443"/>
      <c r="D258" s="330"/>
      <c r="E258" s="330"/>
      <c r="F258" s="330"/>
      <c r="G258" s="330"/>
      <c r="H258" s="330"/>
      <c r="I258" s="330"/>
      <c r="J258" s="330"/>
      <c r="K258" s="330"/>
      <c r="L258" s="82"/>
      <c r="M258" s="80"/>
      <c r="N258" s="82"/>
      <c r="O258" s="80"/>
      <c r="P258" s="82"/>
      <c r="Q258" s="80"/>
      <c r="R258" s="82"/>
      <c r="S258" s="80"/>
      <c r="T258" s="82"/>
      <c r="U258" s="80"/>
      <c r="V258" s="82"/>
      <c r="W258" s="80"/>
      <c r="X258" s="82"/>
      <c r="Y258" s="80"/>
      <c r="Z258" s="210">
        <f t="shared" si="3"/>
        <v>0</v>
      </c>
      <c r="AA258" s="60"/>
      <c r="AB258" s="60"/>
    </row>
    <row r="259" spans="1:28" x14ac:dyDescent="0.25">
      <c r="A259" s="443"/>
      <c r="B259" s="443"/>
      <c r="C259" s="443"/>
      <c r="D259" s="330"/>
      <c r="E259" s="330"/>
      <c r="F259" s="330"/>
      <c r="G259" s="330"/>
      <c r="H259" s="330"/>
      <c r="I259" s="330"/>
      <c r="J259" s="330"/>
      <c r="K259" s="330"/>
      <c r="L259" s="82"/>
      <c r="M259" s="80"/>
      <c r="N259" s="82"/>
      <c r="O259" s="80"/>
      <c r="P259" s="82"/>
      <c r="Q259" s="80"/>
      <c r="R259" s="82"/>
      <c r="S259" s="80"/>
      <c r="T259" s="82"/>
      <c r="U259" s="80"/>
      <c r="V259" s="82"/>
      <c r="W259" s="80"/>
      <c r="X259" s="82"/>
      <c r="Y259" s="80"/>
      <c r="Z259" s="210">
        <f t="shared" si="3"/>
        <v>0</v>
      </c>
      <c r="AA259" s="60"/>
      <c r="AB259" s="60"/>
    </row>
    <row r="260" spans="1:28" x14ac:dyDescent="0.25">
      <c r="A260" s="443"/>
      <c r="B260" s="443"/>
      <c r="C260" s="443"/>
      <c r="D260" s="330"/>
      <c r="E260" s="330"/>
      <c r="F260" s="330"/>
      <c r="G260" s="330"/>
      <c r="H260" s="330"/>
      <c r="I260" s="330"/>
      <c r="J260" s="330"/>
      <c r="K260" s="330"/>
      <c r="L260" s="82"/>
      <c r="M260" s="80"/>
      <c r="N260" s="82"/>
      <c r="O260" s="80"/>
      <c r="P260" s="82"/>
      <c r="Q260" s="80"/>
      <c r="R260" s="82"/>
      <c r="S260" s="80"/>
      <c r="T260" s="82"/>
      <c r="U260" s="80"/>
      <c r="V260" s="82"/>
      <c r="W260" s="80"/>
      <c r="X260" s="82"/>
      <c r="Y260" s="80"/>
      <c r="Z260" s="210">
        <f t="shared" si="3"/>
        <v>0</v>
      </c>
      <c r="AA260" s="60"/>
      <c r="AB260" s="60"/>
    </row>
    <row r="261" spans="1:28" x14ac:dyDescent="0.25">
      <c r="A261" s="443"/>
      <c r="B261" s="443"/>
      <c r="C261" s="443"/>
      <c r="D261" s="330"/>
      <c r="E261" s="330"/>
      <c r="F261" s="330"/>
      <c r="G261" s="330"/>
      <c r="H261" s="330"/>
      <c r="I261" s="330"/>
      <c r="J261" s="330"/>
      <c r="K261" s="330"/>
      <c r="L261" s="82"/>
      <c r="M261" s="80"/>
      <c r="N261" s="82"/>
      <c r="O261" s="80"/>
      <c r="P261" s="82"/>
      <c r="Q261" s="80"/>
      <c r="R261" s="82"/>
      <c r="S261" s="80"/>
      <c r="T261" s="82"/>
      <c r="U261" s="80"/>
      <c r="V261" s="82"/>
      <c r="W261" s="80"/>
      <c r="X261" s="82"/>
      <c r="Y261" s="80"/>
      <c r="Z261" s="210">
        <f t="shared" si="3"/>
        <v>0</v>
      </c>
      <c r="AA261" s="60"/>
      <c r="AB261" s="60"/>
    </row>
    <row r="262" spans="1:28" x14ac:dyDescent="0.25">
      <c r="A262" s="443"/>
      <c r="B262" s="443"/>
      <c r="C262" s="443"/>
      <c r="D262" s="330"/>
      <c r="E262" s="330"/>
      <c r="F262" s="330"/>
      <c r="G262" s="330"/>
      <c r="H262" s="330"/>
      <c r="I262" s="330"/>
      <c r="J262" s="330"/>
      <c r="K262" s="330"/>
      <c r="L262" s="82"/>
      <c r="M262" s="80"/>
      <c r="N262" s="82"/>
      <c r="O262" s="80"/>
      <c r="P262" s="82"/>
      <c r="Q262" s="80"/>
      <c r="R262" s="82"/>
      <c r="S262" s="80"/>
      <c r="T262" s="82"/>
      <c r="U262" s="80"/>
      <c r="V262" s="82"/>
      <c r="W262" s="80"/>
      <c r="X262" s="82"/>
      <c r="Y262" s="80"/>
      <c r="Z262" s="210">
        <f t="shared" si="3"/>
        <v>0</v>
      </c>
      <c r="AA262" s="60"/>
      <c r="AB262" s="60"/>
    </row>
    <row r="263" spans="1:28" x14ac:dyDescent="0.25">
      <c r="A263" s="443"/>
      <c r="B263" s="443"/>
      <c r="C263" s="443"/>
      <c r="D263" s="330"/>
      <c r="E263" s="330"/>
      <c r="F263" s="330"/>
      <c r="G263" s="330"/>
      <c r="H263" s="330"/>
      <c r="I263" s="330"/>
      <c r="J263" s="330"/>
      <c r="K263" s="330"/>
      <c r="L263" s="82"/>
      <c r="M263" s="80"/>
      <c r="N263" s="82"/>
      <c r="O263" s="80"/>
      <c r="P263" s="82"/>
      <c r="Q263" s="80"/>
      <c r="R263" s="82"/>
      <c r="S263" s="80"/>
      <c r="T263" s="82"/>
      <c r="U263" s="80"/>
      <c r="V263" s="82"/>
      <c r="W263" s="80"/>
      <c r="X263" s="82"/>
      <c r="Y263" s="80"/>
      <c r="Z263" s="210">
        <f t="shared" si="3"/>
        <v>0</v>
      </c>
      <c r="AA263" s="60"/>
      <c r="AB263" s="60"/>
    </row>
    <row r="264" spans="1:28" x14ac:dyDescent="0.25">
      <c r="A264" s="443"/>
      <c r="B264" s="443"/>
      <c r="C264" s="443"/>
      <c r="D264" s="330"/>
      <c r="E264" s="330"/>
      <c r="F264" s="330"/>
      <c r="G264" s="330"/>
      <c r="H264" s="330"/>
      <c r="I264" s="330"/>
      <c r="J264" s="330"/>
      <c r="K264" s="330"/>
      <c r="L264" s="82"/>
      <c r="M264" s="80"/>
      <c r="N264" s="82"/>
      <c r="O264" s="80"/>
      <c r="P264" s="82"/>
      <c r="Q264" s="80"/>
      <c r="R264" s="82"/>
      <c r="S264" s="80"/>
      <c r="T264" s="82"/>
      <c r="U264" s="80"/>
      <c r="V264" s="82"/>
      <c r="W264" s="80"/>
      <c r="X264" s="82"/>
      <c r="Y264" s="80"/>
      <c r="Z264" s="210">
        <f t="shared" si="3"/>
        <v>0</v>
      </c>
      <c r="AA264" s="60"/>
      <c r="AB264" s="60"/>
    </row>
    <row r="265" spans="1:28" x14ac:dyDescent="0.25">
      <c r="A265" s="443"/>
      <c r="B265" s="443"/>
      <c r="C265" s="443"/>
      <c r="D265" s="330"/>
      <c r="E265" s="330"/>
      <c r="F265" s="330"/>
      <c r="G265" s="330"/>
      <c r="H265" s="330"/>
      <c r="I265" s="330"/>
      <c r="J265" s="330"/>
      <c r="K265" s="330"/>
      <c r="L265" s="82"/>
      <c r="M265" s="80"/>
      <c r="N265" s="82"/>
      <c r="O265" s="80"/>
      <c r="P265" s="82"/>
      <c r="Q265" s="80"/>
      <c r="R265" s="82"/>
      <c r="S265" s="80"/>
      <c r="T265" s="82"/>
      <c r="U265" s="80"/>
      <c r="V265" s="82"/>
      <c r="W265" s="80"/>
      <c r="X265" s="82"/>
      <c r="Y265" s="80"/>
      <c r="Z265" s="210">
        <f t="shared" si="3"/>
        <v>0</v>
      </c>
      <c r="AA265" s="60"/>
      <c r="AB265" s="60"/>
    </row>
    <row r="266" spans="1:28" x14ac:dyDescent="0.25">
      <c r="A266" s="443"/>
      <c r="B266" s="443"/>
      <c r="C266" s="443"/>
      <c r="D266" s="330"/>
      <c r="E266" s="330"/>
      <c r="F266" s="330"/>
      <c r="G266" s="330"/>
      <c r="H266" s="330"/>
      <c r="I266" s="330"/>
      <c r="J266" s="330"/>
      <c r="K266" s="330"/>
      <c r="L266" s="82"/>
      <c r="M266" s="80"/>
      <c r="N266" s="82"/>
      <c r="O266" s="80"/>
      <c r="P266" s="82"/>
      <c r="Q266" s="80"/>
      <c r="R266" s="82"/>
      <c r="S266" s="80"/>
      <c r="T266" s="82"/>
      <c r="U266" s="80"/>
      <c r="V266" s="82"/>
      <c r="W266" s="80"/>
      <c r="X266" s="82"/>
      <c r="Y266" s="80"/>
      <c r="Z266" s="210">
        <f t="shared" si="3"/>
        <v>0</v>
      </c>
      <c r="AA266" s="60"/>
      <c r="AB266" s="60"/>
    </row>
    <row r="267" spans="1:28" x14ac:dyDescent="0.25">
      <c r="A267" s="443"/>
      <c r="B267" s="443"/>
      <c r="C267" s="443"/>
      <c r="D267" s="330"/>
      <c r="E267" s="330"/>
      <c r="F267" s="330"/>
      <c r="G267" s="330"/>
      <c r="H267" s="330"/>
      <c r="I267" s="330"/>
      <c r="J267" s="330"/>
      <c r="K267" s="330"/>
      <c r="L267" s="82"/>
      <c r="M267" s="80"/>
      <c r="N267" s="82"/>
      <c r="O267" s="80"/>
      <c r="P267" s="82"/>
      <c r="Q267" s="80"/>
      <c r="R267" s="82"/>
      <c r="S267" s="80"/>
      <c r="T267" s="82"/>
      <c r="U267" s="80"/>
      <c r="V267" s="82"/>
      <c r="W267" s="80"/>
      <c r="X267" s="82"/>
      <c r="Y267" s="80"/>
      <c r="Z267" s="210">
        <f t="shared" ref="Z267:Z330" si="4">SUM(L267:Y267)</f>
        <v>0</v>
      </c>
      <c r="AA267" s="60"/>
      <c r="AB267" s="60"/>
    </row>
    <row r="268" spans="1:28" x14ac:dyDescent="0.25">
      <c r="A268" s="443"/>
      <c r="B268" s="443"/>
      <c r="C268" s="443"/>
      <c r="D268" s="330"/>
      <c r="E268" s="330"/>
      <c r="F268" s="330"/>
      <c r="G268" s="330"/>
      <c r="H268" s="330"/>
      <c r="I268" s="330"/>
      <c r="J268" s="330"/>
      <c r="K268" s="330"/>
      <c r="L268" s="82"/>
      <c r="M268" s="80"/>
      <c r="N268" s="82"/>
      <c r="O268" s="80"/>
      <c r="P268" s="82"/>
      <c r="Q268" s="80"/>
      <c r="R268" s="82"/>
      <c r="S268" s="80"/>
      <c r="T268" s="82"/>
      <c r="U268" s="80"/>
      <c r="V268" s="82"/>
      <c r="W268" s="80"/>
      <c r="X268" s="82"/>
      <c r="Y268" s="80"/>
      <c r="Z268" s="210">
        <f t="shared" si="4"/>
        <v>0</v>
      </c>
      <c r="AA268" s="60"/>
      <c r="AB268" s="60"/>
    </row>
    <row r="269" spans="1:28" x14ac:dyDescent="0.25">
      <c r="A269" s="443"/>
      <c r="B269" s="443"/>
      <c r="C269" s="443"/>
      <c r="D269" s="330"/>
      <c r="E269" s="330"/>
      <c r="F269" s="330"/>
      <c r="G269" s="330"/>
      <c r="H269" s="330"/>
      <c r="I269" s="330"/>
      <c r="J269" s="330"/>
      <c r="K269" s="330"/>
      <c r="L269" s="82"/>
      <c r="M269" s="80"/>
      <c r="N269" s="82"/>
      <c r="O269" s="80"/>
      <c r="P269" s="82"/>
      <c r="Q269" s="80"/>
      <c r="R269" s="82"/>
      <c r="S269" s="80"/>
      <c r="T269" s="82"/>
      <c r="U269" s="80"/>
      <c r="V269" s="82"/>
      <c r="W269" s="80"/>
      <c r="X269" s="82"/>
      <c r="Y269" s="80"/>
      <c r="Z269" s="210">
        <f t="shared" si="4"/>
        <v>0</v>
      </c>
      <c r="AA269" s="60"/>
      <c r="AB269" s="60"/>
    </row>
    <row r="270" spans="1:28" x14ac:dyDescent="0.25">
      <c r="A270" s="443"/>
      <c r="B270" s="443"/>
      <c r="C270" s="443"/>
      <c r="D270" s="330"/>
      <c r="E270" s="330"/>
      <c r="F270" s="330"/>
      <c r="G270" s="330"/>
      <c r="H270" s="330"/>
      <c r="I270" s="330"/>
      <c r="J270" s="330"/>
      <c r="K270" s="330"/>
      <c r="L270" s="82"/>
      <c r="M270" s="80"/>
      <c r="N270" s="82"/>
      <c r="O270" s="80"/>
      <c r="P270" s="82"/>
      <c r="Q270" s="80"/>
      <c r="R270" s="82"/>
      <c r="S270" s="80"/>
      <c r="T270" s="82"/>
      <c r="U270" s="80"/>
      <c r="V270" s="82"/>
      <c r="W270" s="80"/>
      <c r="X270" s="82"/>
      <c r="Y270" s="80"/>
      <c r="Z270" s="210">
        <f t="shared" si="4"/>
        <v>0</v>
      </c>
      <c r="AA270" s="60"/>
      <c r="AB270" s="60"/>
    </row>
    <row r="271" spans="1:28" x14ac:dyDescent="0.25">
      <c r="A271" s="443"/>
      <c r="B271" s="443"/>
      <c r="C271" s="443"/>
      <c r="D271" s="330"/>
      <c r="E271" s="330"/>
      <c r="F271" s="330"/>
      <c r="G271" s="330"/>
      <c r="H271" s="330"/>
      <c r="I271" s="330"/>
      <c r="J271" s="330"/>
      <c r="K271" s="330"/>
      <c r="L271" s="82"/>
      <c r="M271" s="80"/>
      <c r="N271" s="82"/>
      <c r="O271" s="80"/>
      <c r="P271" s="82"/>
      <c r="Q271" s="80"/>
      <c r="R271" s="82"/>
      <c r="S271" s="80"/>
      <c r="T271" s="82"/>
      <c r="U271" s="80"/>
      <c r="V271" s="82"/>
      <c r="W271" s="80"/>
      <c r="X271" s="82"/>
      <c r="Y271" s="80"/>
      <c r="Z271" s="210">
        <f t="shared" si="4"/>
        <v>0</v>
      </c>
      <c r="AA271" s="60"/>
      <c r="AB271" s="60"/>
    </row>
    <row r="272" spans="1:28" x14ac:dyDescent="0.25">
      <c r="A272" s="443"/>
      <c r="B272" s="443"/>
      <c r="C272" s="443"/>
      <c r="D272" s="330"/>
      <c r="E272" s="330"/>
      <c r="F272" s="330"/>
      <c r="G272" s="330"/>
      <c r="H272" s="330"/>
      <c r="I272" s="330"/>
      <c r="J272" s="330"/>
      <c r="K272" s="330"/>
      <c r="L272" s="82"/>
      <c r="M272" s="80"/>
      <c r="N272" s="82"/>
      <c r="O272" s="80"/>
      <c r="P272" s="82"/>
      <c r="Q272" s="80"/>
      <c r="R272" s="82"/>
      <c r="S272" s="80"/>
      <c r="T272" s="82"/>
      <c r="U272" s="80"/>
      <c r="V272" s="82"/>
      <c r="W272" s="80"/>
      <c r="X272" s="82"/>
      <c r="Y272" s="80"/>
      <c r="Z272" s="210">
        <f t="shared" si="4"/>
        <v>0</v>
      </c>
      <c r="AA272" s="60"/>
      <c r="AB272" s="60"/>
    </row>
    <row r="273" spans="1:28" x14ac:dyDescent="0.25">
      <c r="A273" s="443"/>
      <c r="B273" s="443"/>
      <c r="C273" s="443"/>
      <c r="D273" s="330"/>
      <c r="E273" s="330"/>
      <c r="F273" s="330"/>
      <c r="G273" s="330"/>
      <c r="H273" s="330"/>
      <c r="I273" s="330"/>
      <c r="J273" s="330"/>
      <c r="K273" s="330"/>
      <c r="L273" s="82"/>
      <c r="M273" s="80"/>
      <c r="N273" s="82"/>
      <c r="O273" s="80"/>
      <c r="P273" s="82"/>
      <c r="Q273" s="80"/>
      <c r="R273" s="82"/>
      <c r="S273" s="80"/>
      <c r="T273" s="82"/>
      <c r="U273" s="80"/>
      <c r="V273" s="82"/>
      <c r="W273" s="80"/>
      <c r="X273" s="82"/>
      <c r="Y273" s="80"/>
      <c r="Z273" s="210">
        <f t="shared" si="4"/>
        <v>0</v>
      </c>
      <c r="AA273" s="60"/>
      <c r="AB273" s="60"/>
    </row>
    <row r="274" spans="1:28" x14ac:dyDescent="0.25">
      <c r="A274" s="443"/>
      <c r="B274" s="443"/>
      <c r="C274" s="443"/>
      <c r="D274" s="330"/>
      <c r="E274" s="330"/>
      <c r="F274" s="330"/>
      <c r="G274" s="330"/>
      <c r="H274" s="330"/>
      <c r="I274" s="330"/>
      <c r="J274" s="330"/>
      <c r="K274" s="330"/>
      <c r="L274" s="82"/>
      <c r="M274" s="80"/>
      <c r="N274" s="82"/>
      <c r="O274" s="80"/>
      <c r="P274" s="82"/>
      <c r="Q274" s="80"/>
      <c r="R274" s="82"/>
      <c r="S274" s="80"/>
      <c r="T274" s="82"/>
      <c r="U274" s="80"/>
      <c r="V274" s="82"/>
      <c r="W274" s="80"/>
      <c r="X274" s="82"/>
      <c r="Y274" s="80"/>
      <c r="Z274" s="210">
        <f t="shared" si="4"/>
        <v>0</v>
      </c>
      <c r="AA274" s="60"/>
      <c r="AB274" s="60"/>
    </row>
    <row r="275" spans="1:28" x14ac:dyDescent="0.25">
      <c r="A275" s="443"/>
      <c r="B275" s="443"/>
      <c r="C275" s="443"/>
      <c r="D275" s="330"/>
      <c r="E275" s="330"/>
      <c r="F275" s="330"/>
      <c r="G275" s="330"/>
      <c r="H275" s="330"/>
      <c r="I275" s="330"/>
      <c r="J275" s="330"/>
      <c r="K275" s="330"/>
      <c r="L275" s="82"/>
      <c r="M275" s="80"/>
      <c r="N275" s="82"/>
      <c r="O275" s="80"/>
      <c r="P275" s="82"/>
      <c r="Q275" s="80"/>
      <c r="R275" s="82"/>
      <c r="S275" s="80"/>
      <c r="T275" s="82"/>
      <c r="U275" s="80"/>
      <c r="V275" s="82"/>
      <c r="W275" s="80"/>
      <c r="X275" s="82"/>
      <c r="Y275" s="80"/>
      <c r="Z275" s="210">
        <f t="shared" si="4"/>
        <v>0</v>
      </c>
      <c r="AA275" s="60"/>
      <c r="AB275" s="60"/>
    </row>
    <row r="276" spans="1:28" x14ac:dyDescent="0.25">
      <c r="A276" s="443"/>
      <c r="B276" s="443"/>
      <c r="C276" s="443"/>
      <c r="D276" s="330"/>
      <c r="E276" s="330"/>
      <c r="F276" s="330"/>
      <c r="G276" s="330"/>
      <c r="H276" s="330"/>
      <c r="I276" s="330"/>
      <c r="J276" s="330"/>
      <c r="K276" s="330"/>
      <c r="L276" s="82"/>
      <c r="M276" s="80"/>
      <c r="N276" s="82"/>
      <c r="O276" s="80"/>
      <c r="P276" s="82"/>
      <c r="Q276" s="80"/>
      <c r="R276" s="82"/>
      <c r="S276" s="80"/>
      <c r="T276" s="82"/>
      <c r="U276" s="80"/>
      <c r="V276" s="82"/>
      <c r="W276" s="80"/>
      <c r="X276" s="82"/>
      <c r="Y276" s="80"/>
      <c r="Z276" s="210">
        <f t="shared" si="4"/>
        <v>0</v>
      </c>
      <c r="AA276" s="60"/>
      <c r="AB276" s="60"/>
    </row>
    <row r="277" spans="1:28" x14ac:dyDescent="0.25">
      <c r="A277" s="443"/>
      <c r="B277" s="443"/>
      <c r="C277" s="443"/>
      <c r="D277" s="330"/>
      <c r="E277" s="330"/>
      <c r="F277" s="330"/>
      <c r="G277" s="330"/>
      <c r="H277" s="330"/>
      <c r="I277" s="330"/>
      <c r="J277" s="330"/>
      <c r="K277" s="330"/>
      <c r="L277" s="82"/>
      <c r="M277" s="80"/>
      <c r="N277" s="82"/>
      <c r="O277" s="80"/>
      <c r="P277" s="82"/>
      <c r="Q277" s="80"/>
      <c r="R277" s="82"/>
      <c r="S277" s="80"/>
      <c r="T277" s="82"/>
      <c r="U277" s="80"/>
      <c r="V277" s="82"/>
      <c r="W277" s="80"/>
      <c r="X277" s="82"/>
      <c r="Y277" s="80"/>
      <c r="Z277" s="210">
        <f t="shared" si="4"/>
        <v>0</v>
      </c>
      <c r="AA277" s="60"/>
      <c r="AB277" s="60"/>
    </row>
    <row r="278" spans="1:28" x14ac:dyDescent="0.25">
      <c r="A278" s="443"/>
      <c r="B278" s="443"/>
      <c r="C278" s="443"/>
      <c r="D278" s="330"/>
      <c r="E278" s="330"/>
      <c r="F278" s="330"/>
      <c r="G278" s="330"/>
      <c r="H278" s="330"/>
      <c r="I278" s="330"/>
      <c r="J278" s="330"/>
      <c r="K278" s="330"/>
      <c r="L278" s="82"/>
      <c r="M278" s="80"/>
      <c r="N278" s="82"/>
      <c r="O278" s="80"/>
      <c r="P278" s="82"/>
      <c r="Q278" s="80"/>
      <c r="R278" s="82"/>
      <c r="S278" s="80"/>
      <c r="T278" s="82"/>
      <c r="U278" s="80"/>
      <c r="V278" s="82"/>
      <c r="W278" s="80"/>
      <c r="X278" s="82"/>
      <c r="Y278" s="80"/>
      <c r="Z278" s="210">
        <f t="shared" si="4"/>
        <v>0</v>
      </c>
      <c r="AA278" s="60"/>
      <c r="AB278" s="60"/>
    </row>
    <row r="279" spans="1:28" x14ac:dyDescent="0.25">
      <c r="A279" s="443"/>
      <c r="B279" s="443"/>
      <c r="C279" s="443"/>
      <c r="D279" s="330"/>
      <c r="E279" s="330"/>
      <c r="F279" s="330"/>
      <c r="G279" s="330"/>
      <c r="H279" s="330"/>
      <c r="I279" s="330"/>
      <c r="J279" s="330"/>
      <c r="K279" s="330"/>
      <c r="L279" s="82"/>
      <c r="M279" s="80"/>
      <c r="N279" s="82"/>
      <c r="O279" s="80"/>
      <c r="P279" s="82"/>
      <c r="Q279" s="80"/>
      <c r="R279" s="82"/>
      <c r="S279" s="80"/>
      <c r="T279" s="82"/>
      <c r="U279" s="80"/>
      <c r="V279" s="82"/>
      <c r="W279" s="80"/>
      <c r="X279" s="82"/>
      <c r="Y279" s="80"/>
      <c r="Z279" s="210">
        <f t="shared" si="4"/>
        <v>0</v>
      </c>
      <c r="AA279" s="60"/>
      <c r="AB279" s="60"/>
    </row>
    <row r="280" spans="1:28" x14ac:dyDescent="0.25">
      <c r="A280" s="443"/>
      <c r="B280" s="443"/>
      <c r="C280" s="443"/>
      <c r="D280" s="330"/>
      <c r="E280" s="330"/>
      <c r="F280" s="330"/>
      <c r="G280" s="330"/>
      <c r="H280" s="330"/>
      <c r="I280" s="330"/>
      <c r="J280" s="330"/>
      <c r="K280" s="330"/>
      <c r="L280" s="82"/>
      <c r="M280" s="80"/>
      <c r="N280" s="82"/>
      <c r="O280" s="80"/>
      <c r="P280" s="82"/>
      <c r="Q280" s="80"/>
      <c r="R280" s="82"/>
      <c r="S280" s="80"/>
      <c r="T280" s="82"/>
      <c r="U280" s="80"/>
      <c r="V280" s="82"/>
      <c r="W280" s="80"/>
      <c r="X280" s="82"/>
      <c r="Y280" s="80"/>
      <c r="Z280" s="210">
        <f t="shared" si="4"/>
        <v>0</v>
      </c>
      <c r="AA280" s="60"/>
      <c r="AB280" s="60"/>
    </row>
    <row r="281" spans="1:28" x14ac:dyDescent="0.25">
      <c r="A281" s="443"/>
      <c r="B281" s="443"/>
      <c r="C281" s="443"/>
      <c r="D281" s="330"/>
      <c r="E281" s="330"/>
      <c r="F281" s="330"/>
      <c r="G281" s="330"/>
      <c r="H281" s="330"/>
      <c r="I281" s="330"/>
      <c r="J281" s="330"/>
      <c r="K281" s="330"/>
      <c r="L281" s="82"/>
      <c r="M281" s="80"/>
      <c r="N281" s="82"/>
      <c r="O281" s="80"/>
      <c r="P281" s="82"/>
      <c r="Q281" s="80"/>
      <c r="R281" s="82"/>
      <c r="S281" s="80"/>
      <c r="T281" s="82"/>
      <c r="U281" s="80"/>
      <c r="V281" s="82"/>
      <c r="W281" s="80"/>
      <c r="X281" s="82"/>
      <c r="Y281" s="80"/>
      <c r="Z281" s="210">
        <f t="shared" si="4"/>
        <v>0</v>
      </c>
      <c r="AA281" s="60"/>
      <c r="AB281" s="60"/>
    </row>
    <row r="282" spans="1:28" x14ac:dyDescent="0.25">
      <c r="A282" s="443"/>
      <c r="B282" s="443"/>
      <c r="C282" s="443"/>
      <c r="D282" s="330"/>
      <c r="E282" s="330"/>
      <c r="F282" s="330"/>
      <c r="G282" s="330"/>
      <c r="H282" s="330"/>
      <c r="I282" s="330"/>
      <c r="J282" s="330"/>
      <c r="K282" s="330"/>
      <c r="L282" s="82"/>
      <c r="M282" s="80"/>
      <c r="N282" s="82"/>
      <c r="O282" s="80"/>
      <c r="P282" s="82"/>
      <c r="Q282" s="80"/>
      <c r="R282" s="82"/>
      <c r="S282" s="80"/>
      <c r="T282" s="82"/>
      <c r="U282" s="80"/>
      <c r="V282" s="82"/>
      <c r="W282" s="80"/>
      <c r="X282" s="82"/>
      <c r="Y282" s="80"/>
      <c r="Z282" s="210">
        <f t="shared" si="4"/>
        <v>0</v>
      </c>
      <c r="AA282" s="60"/>
      <c r="AB282" s="60"/>
    </row>
    <row r="283" spans="1:28" x14ac:dyDescent="0.25">
      <c r="A283" s="443"/>
      <c r="B283" s="443"/>
      <c r="C283" s="443"/>
      <c r="D283" s="330"/>
      <c r="E283" s="330"/>
      <c r="F283" s="330"/>
      <c r="G283" s="330"/>
      <c r="H283" s="330"/>
      <c r="I283" s="330"/>
      <c r="J283" s="330"/>
      <c r="K283" s="330"/>
      <c r="L283" s="82"/>
      <c r="M283" s="80"/>
      <c r="N283" s="82"/>
      <c r="O283" s="80"/>
      <c r="P283" s="82"/>
      <c r="Q283" s="80"/>
      <c r="R283" s="82"/>
      <c r="S283" s="80"/>
      <c r="T283" s="82"/>
      <c r="U283" s="80"/>
      <c r="V283" s="82"/>
      <c r="W283" s="80"/>
      <c r="X283" s="82"/>
      <c r="Y283" s="80"/>
      <c r="Z283" s="210">
        <f t="shared" si="4"/>
        <v>0</v>
      </c>
      <c r="AA283" s="60"/>
      <c r="AB283" s="60"/>
    </row>
    <row r="284" spans="1:28" x14ac:dyDescent="0.25">
      <c r="A284" s="443"/>
      <c r="B284" s="443"/>
      <c r="C284" s="443"/>
      <c r="D284" s="330"/>
      <c r="E284" s="330"/>
      <c r="F284" s="330"/>
      <c r="G284" s="330"/>
      <c r="H284" s="330"/>
      <c r="I284" s="330"/>
      <c r="J284" s="330"/>
      <c r="K284" s="330"/>
      <c r="L284" s="82"/>
      <c r="M284" s="80"/>
      <c r="N284" s="82"/>
      <c r="O284" s="80"/>
      <c r="P284" s="82"/>
      <c r="Q284" s="80"/>
      <c r="R284" s="82"/>
      <c r="S284" s="80"/>
      <c r="T284" s="82"/>
      <c r="U284" s="80"/>
      <c r="V284" s="82"/>
      <c r="W284" s="80"/>
      <c r="X284" s="82"/>
      <c r="Y284" s="80"/>
      <c r="Z284" s="210">
        <f t="shared" si="4"/>
        <v>0</v>
      </c>
      <c r="AA284" s="60"/>
      <c r="AB284" s="60"/>
    </row>
    <row r="285" spans="1:28" x14ac:dyDescent="0.25">
      <c r="A285" s="443"/>
      <c r="B285" s="443"/>
      <c r="C285" s="443"/>
      <c r="D285" s="330"/>
      <c r="E285" s="330"/>
      <c r="F285" s="330"/>
      <c r="G285" s="330"/>
      <c r="H285" s="330"/>
      <c r="I285" s="330"/>
      <c r="J285" s="330"/>
      <c r="K285" s="330"/>
      <c r="L285" s="82"/>
      <c r="M285" s="80"/>
      <c r="N285" s="82"/>
      <c r="O285" s="80"/>
      <c r="P285" s="82"/>
      <c r="Q285" s="80"/>
      <c r="R285" s="82"/>
      <c r="S285" s="80"/>
      <c r="T285" s="82"/>
      <c r="U285" s="80"/>
      <c r="V285" s="82"/>
      <c r="W285" s="80"/>
      <c r="X285" s="82"/>
      <c r="Y285" s="80"/>
      <c r="Z285" s="210">
        <f t="shared" si="4"/>
        <v>0</v>
      </c>
      <c r="AA285" s="60"/>
      <c r="AB285" s="60"/>
    </row>
    <row r="286" spans="1:28" x14ac:dyDescent="0.25">
      <c r="A286" s="443"/>
      <c r="B286" s="443"/>
      <c r="C286" s="443"/>
      <c r="D286" s="330"/>
      <c r="E286" s="330"/>
      <c r="F286" s="330"/>
      <c r="G286" s="330"/>
      <c r="H286" s="330"/>
      <c r="I286" s="330"/>
      <c r="J286" s="330"/>
      <c r="K286" s="330"/>
      <c r="L286" s="82"/>
      <c r="M286" s="80"/>
      <c r="N286" s="82"/>
      <c r="O286" s="80"/>
      <c r="P286" s="82"/>
      <c r="Q286" s="80"/>
      <c r="R286" s="82"/>
      <c r="S286" s="80"/>
      <c r="T286" s="82"/>
      <c r="U286" s="80"/>
      <c r="V286" s="82"/>
      <c r="W286" s="80"/>
      <c r="X286" s="82"/>
      <c r="Y286" s="80"/>
      <c r="Z286" s="210">
        <f t="shared" si="4"/>
        <v>0</v>
      </c>
      <c r="AA286" s="60"/>
      <c r="AB286" s="60"/>
    </row>
    <row r="287" spans="1:28" x14ac:dyDescent="0.25">
      <c r="A287" s="443"/>
      <c r="B287" s="443"/>
      <c r="C287" s="443"/>
      <c r="D287" s="330"/>
      <c r="E287" s="330"/>
      <c r="F287" s="330"/>
      <c r="G287" s="330"/>
      <c r="H287" s="330"/>
      <c r="I287" s="330"/>
      <c r="J287" s="330"/>
      <c r="K287" s="330"/>
      <c r="L287" s="82"/>
      <c r="M287" s="80"/>
      <c r="N287" s="82"/>
      <c r="O287" s="80"/>
      <c r="P287" s="82"/>
      <c r="Q287" s="80"/>
      <c r="R287" s="82"/>
      <c r="S287" s="80"/>
      <c r="T287" s="82"/>
      <c r="U287" s="80"/>
      <c r="V287" s="82"/>
      <c r="W287" s="80"/>
      <c r="X287" s="82"/>
      <c r="Y287" s="80"/>
      <c r="Z287" s="210">
        <f t="shared" si="4"/>
        <v>0</v>
      </c>
      <c r="AA287" s="60"/>
      <c r="AB287" s="60"/>
    </row>
    <row r="288" spans="1:28" x14ac:dyDescent="0.25">
      <c r="A288" s="443"/>
      <c r="B288" s="443"/>
      <c r="C288" s="443"/>
      <c r="D288" s="330"/>
      <c r="E288" s="330"/>
      <c r="F288" s="330"/>
      <c r="G288" s="330"/>
      <c r="H288" s="330"/>
      <c r="I288" s="330"/>
      <c r="J288" s="330"/>
      <c r="K288" s="330"/>
      <c r="L288" s="82"/>
      <c r="M288" s="80"/>
      <c r="N288" s="82"/>
      <c r="O288" s="80"/>
      <c r="P288" s="82"/>
      <c r="Q288" s="80"/>
      <c r="R288" s="82"/>
      <c r="S288" s="80"/>
      <c r="T288" s="82"/>
      <c r="U288" s="80"/>
      <c r="V288" s="82"/>
      <c r="W288" s="80"/>
      <c r="X288" s="82"/>
      <c r="Y288" s="80"/>
      <c r="Z288" s="210">
        <f t="shared" si="4"/>
        <v>0</v>
      </c>
      <c r="AA288" s="60"/>
      <c r="AB288" s="60"/>
    </row>
    <row r="289" spans="1:28" x14ac:dyDescent="0.25">
      <c r="A289" s="443"/>
      <c r="B289" s="443"/>
      <c r="C289" s="443"/>
      <c r="D289" s="330"/>
      <c r="E289" s="330"/>
      <c r="F289" s="330"/>
      <c r="G289" s="330"/>
      <c r="H289" s="330"/>
      <c r="I289" s="330"/>
      <c r="J289" s="330"/>
      <c r="K289" s="330"/>
      <c r="L289" s="82"/>
      <c r="M289" s="80"/>
      <c r="N289" s="82"/>
      <c r="O289" s="80"/>
      <c r="P289" s="82"/>
      <c r="Q289" s="80"/>
      <c r="R289" s="82"/>
      <c r="S289" s="80"/>
      <c r="T289" s="82"/>
      <c r="U289" s="80"/>
      <c r="V289" s="82"/>
      <c r="W289" s="80"/>
      <c r="X289" s="82"/>
      <c r="Y289" s="80"/>
      <c r="Z289" s="210">
        <f t="shared" si="4"/>
        <v>0</v>
      </c>
      <c r="AA289" s="60"/>
      <c r="AB289" s="60"/>
    </row>
    <row r="290" spans="1:28" x14ac:dyDescent="0.25">
      <c r="A290" s="443"/>
      <c r="B290" s="443"/>
      <c r="C290" s="443"/>
      <c r="D290" s="330"/>
      <c r="E290" s="330"/>
      <c r="F290" s="330"/>
      <c r="G290" s="330"/>
      <c r="H290" s="330"/>
      <c r="I290" s="330"/>
      <c r="J290" s="330"/>
      <c r="K290" s="330"/>
      <c r="L290" s="82"/>
      <c r="M290" s="80"/>
      <c r="N290" s="82"/>
      <c r="O290" s="80"/>
      <c r="P290" s="82"/>
      <c r="Q290" s="80"/>
      <c r="R290" s="82"/>
      <c r="S290" s="80"/>
      <c r="T290" s="82"/>
      <c r="U290" s="80"/>
      <c r="V290" s="82"/>
      <c r="W290" s="80"/>
      <c r="X290" s="82"/>
      <c r="Y290" s="80"/>
      <c r="Z290" s="210">
        <f t="shared" si="4"/>
        <v>0</v>
      </c>
      <c r="AA290" s="60"/>
      <c r="AB290" s="60"/>
    </row>
    <row r="291" spans="1:28" x14ac:dyDescent="0.25">
      <c r="A291" s="443"/>
      <c r="B291" s="443"/>
      <c r="C291" s="443"/>
      <c r="D291" s="330"/>
      <c r="E291" s="330"/>
      <c r="F291" s="330"/>
      <c r="G291" s="330"/>
      <c r="H291" s="330"/>
      <c r="I291" s="330"/>
      <c r="J291" s="330"/>
      <c r="K291" s="330"/>
      <c r="L291" s="82"/>
      <c r="M291" s="80"/>
      <c r="N291" s="82"/>
      <c r="O291" s="80"/>
      <c r="P291" s="82"/>
      <c r="Q291" s="80"/>
      <c r="R291" s="82"/>
      <c r="S291" s="80"/>
      <c r="T291" s="82"/>
      <c r="U291" s="80"/>
      <c r="V291" s="82"/>
      <c r="W291" s="80"/>
      <c r="X291" s="82"/>
      <c r="Y291" s="80"/>
      <c r="Z291" s="210">
        <f t="shared" si="4"/>
        <v>0</v>
      </c>
      <c r="AA291" s="60"/>
      <c r="AB291" s="60"/>
    </row>
    <row r="292" spans="1:28" x14ac:dyDescent="0.25">
      <c r="A292" s="443"/>
      <c r="B292" s="443"/>
      <c r="C292" s="443"/>
      <c r="D292" s="330"/>
      <c r="E292" s="330"/>
      <c r="F292" s="330"/>
      <c r="G292" s="330"/>
      <c r="H292" s="330"/>
      <c r="I292" s="330"/>
      <c r="J292" s="330"/>
      <c r="K292" s="330"/>
      <c r="L292" s="82"/>
      <c r="M292" s="80"/>
      <c r="N292" s="82"/>
      <c r="O292" s="80"/>
      <c r="P292" s="82"/>
      <c r="Q292" s="80"/>
      <c r="R292" s="82"/>
      <c r="S292" s="80"/>
      <c r="T292" s="82"/>
      <c r="U292" s="80"/>
      <c r="V292" s="82"/>
      <c r="W292" s="80"/>
      <c r="X292" s="82"/>
      <c r="Y292" s="80"/>
      <c r="Z292" s="210">
        <f t="shared" si="4"/>
        <v>0</v>
      </c>
      <c r="AA292" s="60"/>
      <c r="AB292" s="60"/>
    </row>
    <row r="293" spans="1:28" x14ac:dyDescent="0.25">
      <c r="A293" s="443"/>
      <c r="B293" s="443"/>
      <c r="C293" s="443"/>
      <c r="D293" s="330"/>
      <c r="E293" s="330"/>
      <c r="F293" s="330"/>
      <c r="G293" s="330"/>
      <c r="H293" s="330"/>
      <c r="I293" s="330"/>
      <c r="J293" s="330"/>
      <c r="K293" s="330"/>
      <c r="L293" s="82"/>
      <c r="M293" s="80"/>
      <c r="N293" s="82"/>
      <c r="O293" s="80"/>
      <c r="P293" s="82"/>
      <c r="Q293" s="80"/>
      <c r="R293" s="82"/>
      <c r="S293" s="80"/>
      <c r="T293" s="82"/>
      <c r="U293" s="80"/>
      <c r="V293" s="82"/>
      <c r="W293" s="80"/>
      <c r="X293" s="82"/>
      <c r="Y293" s="80"/>
      <c r="Z293" s="210">
        <f t="shared" si="4"/>
        <v>0</v>
      </c>
      <c r="AA293" s="60"/>
      <c r="AB293" s="60"/>
    </row>
    <row r="294" spans="1:28" x14ac:dyDescent="0.25">
      <c r="A294" s="443"/>
      <c r="B294" s="443"/>
      <c r="C294" s="443"/>
      <c r="D294" s="330"/>
      <c r="E294" s="330"/>
      <c r="F294" s="330"/>
      <c r="G294" s="330"/>
      <c r="H294" s="330"/>
      <c r="I294" s="330"/>
      <c r="J294" s="330"/>
      <c r="K294" s="330"/>
      <c r="L294" s="82"/>
      <c r="M294" s="80"/>
      <c r="N294" s="82"/>
      <c r="O294" s="80"/>
      <c r="P294" s="82"/>
      <c r="Q294" s="80"/>
      <c r="R294" s="82"/>
      <c r="S294" s="80"/>
      <c r="T294" s="82"/>
      <c r="U294" s="80"/>
      <c r="V294" s="82"/>
      <c r="W294" s="80"/>
      <c r="X294" s="82"/>
      <c r="Y294" s="80"/>
      <c r="Z294" s="210">
        <f t="shared" si="4"/>
        <v>0</v>
      </c>
      <c r="AA294" s="60"/>
      <c r="AB294" s="60"/>
    </row>
    <row r="295" spans="1:28" x14ac:dyDescent="0.25">
      <c r="A295" s="443"/>
      <c r="B295" s="443"/>
      <c r="C295" s="443"/>
      <c r="D295" s="330"/>
      <c r="E295" s="330"/>
      <c r="F295" s="330"/>
      <c r="G295" s="330"/>
      <c r="H295" s="330"/>
      <c r="I295" s="330"/>
      <c r="J295" s="330"/>
      <c r="K295" s="330"/>
      <c r="L295" s="82"/>
      <c r="M295" s="80"/>
      <c r="N295" s="82"/>
      <c r="O295" s="80"/>
      <c r="P295" s="82"/>
      <c r="Q295" s="80"/>
      <c r="R295" s="82"/>
      <c r="S295" s="80"/>
      <c r="T295" s="82"/>
      <c r="U295" s="80"/>
      <c r="V295" s="82"/>
      <c r="W295" s="80"/>
      <c r="X295" s="82"/>
      <c r="Y295" s="80"/>
      <c r="Z295" s="210">
        <f t="shared" si="4"/>
        <v>0</v>
      </c>
      <c r="AA295" s="60"/>
      <c r="AB295" s="60"/>
    </row>
    <row r="296" spans="1:28" x14ac:dyDescent="0.25">
      <c r="A296" s="443"/>
      <c r="B296" s="443"/>
      <c r="C296" s="443"/>
      <c r="D296" s="330"/>
      <c r="E296" s="330"/>
      <c r="F296" s="330"/>
      <c r="G296" s="330"/>
      <c r="H296" s="330"/>
      <c r="I296" s="330"/>
      <c r="J296" s="330"/>
      <c r="K296" s="330"/>
      <c r="L296" s="82"/>
      <c r="M296" s="80"/>
      <c r="N296" s="82"/>
      <c r="O296" s="80"/>
      <c r="P296" s="82"/>
      <c r="Q296" s="80"/>
      <c r="R296" s="82"/>
      <c r="S296" s="80"/>
      <c r="T296" s="82"/>
      <c r="U296" s="80"/>
      <c r="V296" s="82"/>
      <c r="W296" s="80"/>
      <c r="X296" s="82"/>
      <c r="Y296" s="80"/>
      <c r="Z296" s="210">
        <f t="shared" si="4"/>
        <v>0</v>
      </c>
      <c r="AA296" s="60"/>
      <c r="AB296" s="60"/>
    </row>
    <row r="297" spans="1:28" x14ac:dyDescent="0.25">
      <c r="A297" s="443"/>
      <c r="B297" s="443"/>
      <c r="C297" s="443"/>
      <c r="D297" s="330"/>
      <c r="E297" s="330"/>
      <c r="F297" s="330"/>
      <c r="G297" s="330"/>
      <c r="H297" s="330"/>
      <c r="I297" s="330"/>
      <c r="J297" s="330"/>
      <c r="K297" s="330"/>
      <c r="L297" s="82"/>
      <c r="M297" s="80"/>
      <c r="N297" s="82"/>
      <c r="O297" s="80"/>
      <c r="P297" s="82"/>
      <c r="Q297" s="80"/>
      <c r="R297" s="82"/>
      <c r="S297" s="80"/>
      <c r="T297" s="82"/>
      <c r="U297" s="80"/>
      <c r="V297" s="82"/>
      <c r="W297" s="80"/>
      <c r="X297" s="82"/>
      <c r="Y297" s="80"/>
      <c r="Z297" s="210">
        <f t="shared" si="4"/>
        <v>0</v>
      </c>
      <c r="AA297" s="60"/>
      <c r="AB297" s="60"/>
    </row>
    <row r="298" spans="1:28" x14ac:dyDescent="0.25">
      <c r="A298" s="443"/>
      <c r="B298" s="443"/>
      <c r="C298" s="443"/>
      <c r="D298" s="330"/>
      <c r="E298" s="330"/>
      <c r="F298" s="330"/>
      <c r="G298" s="330"/>
      <c r="H298" s="330"/>
      <c r="I298" s="330"/>
      <c r="J298" s="330"/>
      <c r="K298" s="330"/>
      <c r="L298" s="82"/>
      <c r="M298" s="80"/>
      <c r="N298" s="82"/>
      <c r="O298" s="80"/>
      <c r="P298" s="82"/>
      <c r="Q298" s="80"/>
      <c r="R298" s="82"/>
      <c r="S298" s="80"/>
      <c r="T298" s="82"/>
      <c r="U298" s="80"/>
      <c r="V298" s="82"/>
      <c r="W298" s="80"/>
      <c r="X298" s="82"/>
      <c r="Y298" s="80"/>
      <c r="Z298" s="210">
        <f t="shared" si="4"/>
        <v>0</v>
      </c>
      <c r="AA298" s="60"/>
      <c r="AB298" s="60"/>
    </row>
    <row r="299" spans="1:28" x14ac:dyDescent="0.25">
      <c r="A299" s="443"/>
      <c r="B299" s="443"/>
      <c r="C299" s="443"/>
      <c r="D299" s="330"/>
      <c r="E299" s="330"/>
      <c r="F299" s="330"/>
      <c r="G299" s="330"/>
      <c r="H299" s="330"/>
      <c r="I299" s="330"/>
      <c r="J299" s="330"/>
      <c r="K299" s="330"/>
      <c r="L299" s="82"/>
      <c r="M299" s="80"/>
      <c r="N299" s="82"/>
      <c r="O299" s="80"/>
      <c r="P299" s="82"/>
      <c r="Q299" s="80"/>
      <c r="R299" s="82"/>
      <c r="S299" s="80"/>
      <c r="T299" s="82"/>
      <c r="U299" s="80"/>
      <c r="V299" s="82"/>
      <c r="W299" s="80"/>
      <c r="X299" s="82"/>
      <c r="Y299" s="80"/>
      <c r="Z299" s="210">
        <f t="shared" si="4"/>
        <v>0</v>
      </c>
      <c r="AA299" s="60"/>
      <c r="AB299" s="60"/>
    </row>
    <row r="300" spans="1:28" x14ac:dyDescent="0.25">
      <c r="A300" s="443"/>
      <c r="B300" s="443"/>
      <c r="C300" s="443"/>
      <c r="D300" s="330"/>
      <c r="E300" s="330"/>
      <c r="F300" s="330"/>
      <c r="G300" s="330"/>
      <c r="H300" s="330"/>
      <c r="I300" s="330"/>
      <c r="J300" s="330"/>
      <c r="K300" s="330"/>
      <c r="L300" s="82"/>
      <c r="M300" s="80"/>
      <c r="N300" s="82"/>
      <c r="O300" s="80"/>
      <c r="P300" s="82"/>
      <c r="Q300" s="80"/>
      <c r="R300" s="82"/>
      <c r="S300" s="80"/>
      <c r="T300" s="82"/>
      <c r="U300" s="80"/>
      <c r="V300" s="82"/>
      <c r="W300" s="80"/>
      <c r="X300" s="82"/>
      <c r="Y300" s="80"/>
      <c r="Z300" s="210">
        <f t="shared" si="4"/>
        <v>0</v>
      </c>
      <c r="AA300" s="60"/>
      <c r="AB300" s="60"/>
    </row>
    <row r="301" spans="1:28" x14ac:dyDescent="0.25">
      <c r="A301" s="443"/>
      <c r="B301" s="443"/>
      <c r="C301" s="443"/>
      <c r="D301" s="330"/>
      <c r="E301" s="330"/>
      <c r="F301" s="330"/>
      <c r="G301" s="330"/>
      <c r="H301" s="330"/>
      <c r="I301" s="330"/>
      <c r="J301" s="330"/>
      <c r="K301" s="330"/>
      <c r="L301" s="82"/>
      <c r="M301" s="80"/>
      <c r="N301" s="82"/>
      <c r="O301" s="80"/>
      <c r="P301" s="82"/>
      <c r="Q301" s="80"/>
      <c r="R301" s="82"/>
      <c r="S301" s="80"/>
      <c r="T301" s="82"/>
      <c r="U301" s="80"/>
      <c r="V301" s="82"/>
      <c r="W301" s="80"/>
      <c r="X301" s="82"/>
      <c r="Y301" s="80"/>
      <c r="Z301" s="210">
        <f t="shared" si="4"/>
        <v>0</v>
      </c>
      <c r="AA301" s="60"/>
      <c r="AB301" s="60"/>
    </row>
    <row r="302" spans="1:28" x14ac:dyDescent="0.25">
      <c r="A302" s="443"/>
      <c r="B302" s="443"/>
      <c r="C302" s="443"/>
      <c r="D302" s="330"/>
      <c r="E302" s="330"/>
      <c r="F302" s="330"/>
      <c r="G302" s="330"/>
      <c r="H302" s="330"/>
      <c r="I302" s="330"/>
      <c r="J302" s="330"/>
      <c r="K302" s="330"/>
      <c r="L302" s="82"/>
      <c r="M302" s="80"/>
      <c r="N302" s="82"/>
      <c r="O302" s="80"/>
      <c r="P302" s="82"/>
      <c r="Q302" s="80"/>
      <c r="R302" s="82"/>
      <c r="S302" s="80"/>
      <c r="T302" s="82"/>
      <c r="U302" s="80"/>
      <c r="V302" s="82"/>
      <c r="W302" s="80"/>
      <c r="X302" s="82"/>
      <c r="Y302" s="80"/>
      <c r="Z302" s="210">
        <f t="shared" si="4"/>
        <v>0</v>
      </c>
      <c r="AA302" s="60"/>
      <c r="AB302" s="60"/>
    </row>
    <row r="303" spans="1:28" x14ac:dyDescent="0.25">
      <c r="A303" s="443"/>
      <c r="B303" s="443"/>
      <c r="C303" s="443"/>
      <c r="D303" s="330"/>
      <c r="E303" s="330"/>
      <c r="F303" s="330"/>
      <c r="G303" s="330"/>
      <c r="H303" s="330"/>
      <c r="I303" s="330"/>
      <c r="J303" s="330"/>
      <c r="K303" s="330"/>
      <c r="L303" s="82"/>
      <c r="M303" s="80"/>
      <c r="N303" s="82"/>
      <c r="O303" s="80"/>
      <c r="P303" s="82"/>
      <c r="Q303" s="80"/>
      <c r="R303" s="82"/>
      <c r="S303" s="80"/>
      <c r="T303" s="82"/>
      <c r="U303" s="80"/>
      <c r="V303" s="82"/>
      <c r="W303" s="80"/>
      <c r="X303" s="82"/>
      <c r="Y303" s="80"/>
      <c r="Z303" s="210">
        <f t="shared" si="4"/>
        <v>0</v>
      </c>
      <c r="AA303" s="60"/>
      <c r="AB303" s="60"/>
    </row>
    <row r="304" spans="1:28" x14ac:dyDescent="0.25">
      <c r="A304" s="443"/>
      <c r="B304" s="443"/>
      <c r="C304" s="443"/>
      <c r="D304" s="330"/>
      <c r="E304" s="330"/>
      <c r="F304" s="330"/>
      <c r="G304" s="330"/>
      <c r="H304" s="330"/>
      <c r="I304" s="330"/>
      <c r="J304" s="330"/>
      <c r="K304" s="330"/>
      <c r="L304" s="82"/>
      <c r="M304" s="80"/>
      <c r="N304" s="82"/>
      <c r="O304" s="80"/>
      <c r="P304" s="82"/>
      <c r="Q304" s="80"/>
      <c r="R304" s="82"/>
      <c r="S304" s="80"/>
      <c r="T304" s="82"/>
      <c r="U304" s="80"/>
      <c r="V304" s="82"/>
      <c r="W304" s="80"/>
      <c r="X304" s="82"/>
      <c r="Y304" s="80"/>
      <c r="Z304" s="210">
        <f t="shared" si="4"/>
        <v>0</v>
      </c>
      <c r="AA304" s="60"/>
      <c r="AB304" s="60"/>
    </row>
    <row r="305" spans="1:28" x14ac:dyDescent="0.25">
      <c r="A305" s="443"/>
      <c r="B305" s="443"/>
      <c r="C305" s="443"/>
      <c r="D305" s="330"/>
      <c r="E305" s="330"/>
      <c r="F305" s="330"/>
      <c r="G305" s="330"/>
      <c r="H305" s="330"/>
      <c r="I305" s="330"/>
      <c r="J305" s="330"/>
      <c r="K305" s="330"/>
      <c r="L305" s="82"/>
      <c r="M305" s="80"/>
      <c r="N305" s="82"/>
      <c r="O305" s="80"/>
      <c r="P305" s="82"/>
      <c r="Q305" s="80"/>
      <c r="R305" s="82"/>
      <c r="S305" s="80"/>
      <c r="T305" s="82"/>
      <c r="U305" s="80"/>
      <c r="V305" s="82"/>
      <c r="W305" s="80"/>
      <c r="X305" s="82"/>
      <c r="Y305" s="80"/>
      <c r="Z305" s="210">
        <f t="shared" si="4"/>
        <v>0</v>
      </c>
      <c r="AA305" s="60"/>
      <c r="AB305" s="60"/>
    </row>
    <row r="306" spans="1:28" x14ac:dyDescent="0.25">
      <c r="A306" s="443"/>
      <c r="B306" s="443"/>
      <c r="C306" s="443"/>
      <c r="D306" s="330"/>
      <c r="E306" s="330"/>
      <c r="F306" s="330"/>
      <c r="G306" s="330"/>
      <c r="H306" s="330"/>
      <c r="I306" s="330"/>
      <c r="J306" s="330"/>
      <c r="K306" s="330"/>
      <c r="L306" s="82"/>
      <c r="M306" s="80"/>
      <c r="N306" s="82"/>
      <c r="O306" s="80"/>
      <c r="P306" s="82"/>
      <c r="Q306" s="80"/>
      <c r="R306" s="82"/>
      <c r="S306" s="80"/>
      <c r="T306" s="82"/>
      <c r="U306" s="80"/>
      <c r="V306" s="82"/>
      <c r="W306" s="80"/>
      <c r="X306" s="82"/>
      <c r="Y306" s="80"/>
      <c r="Z306" s="210">
        <f t="shared" si="4"/>
        <v>0</v>
      </c>
      <c r="AA306" s="60"/>
      <c r="AB306" s="60"/>
    </row>
    <row r="307" spans="1:28" x14ac:dyDescent="0.25">
      <c r="A307" s="443"/>
      <c r="B307" s="443"/>
      <c r="C307" s="443"/>
      <c r="D307" s="330"/>
      <c r="E307" s="330"/>
      <c r="F307" s="330"/>
      <c r="G307" s="330"/>
      <c r="H307" s="330"/>
      <c r="I307" s="330"/>
      <c r="J307" s="330"/>
      <c r="K307" s="330"/>
      <c r="L307" s="82"/>
      <c r="M307" s="80"/>
      <c r="N307" s="82"/>
      <c r="O307" s="80"/>
      <c r="P307" s="82"/>
      <c r="Q307" s="80"/>
      <c r="R307" s="82"/>
      <c r="S307" s="80"/>
      <c r="T307" s="82"/>
      <c r="U307" s="80"/>
      <c r="V307" s="82"/>
      <c r="W307" s="80"/>
      <c r="X307" s="82"/>
      <c r="Y307" s="80"/>
      <c r="Z307" s="210">
        <f t="shared" si="4"/>
        <v>0</v>
      </c>
      <c r="AA307" s="60"/>
      <c r="AB307" s="60"/>
    </row>
    <row r="308" spans="1:28" x14ac:dyDescent="0.25">
      <c r="A308" s="443"/>
      <c r="B308" s="443"/>
      <c r="C308" s="443"/>
      <c r="D308" s="330"/>
      <c r="E308" s="330"/>
      <c r="F308" s="330"/>
      <c r="G308" s="330"/>
      <c r="H308" s="330"/>
      <c r="I308" s="330"/>
      <c r="J308" s="330"/>
      <c r="K308" s="330"/>
      <c r="L308" s="82"/>
      <c r="M308" s="80"/>
      <c r="N308" s="82"/>
      <c r="O308" s="80"/>
      <c r="P308" s="82"/>
      <c r="Q308" s="80"/>
      <c r="R308" s="82"/>
      <c r="S308" s="80"/>
      <c r="T308" s="82"/>
      <c r="U308" s="80"/>
      <c r="V308" s="82"/>
      <c r="W308" s="80"/>
      <c r="X308" s="82"/>
      <c r="Y308" s="80"/>
      <c r="Z308" s="210">
        <f t="shared" si="4"/>
        <v>0</v>
      </c>
      <c r="AA308" s="60"/>
      <c r="AB308" s="60"/>
    </row>
    <row r="309" spans="1:28" x14ac:dyDescent="0.25">
      <c r="A309" s="443"/>
      <c r="B309" s="443"/>
      <c r="C309" s="443"/>
      <c r="D309" s="330"/>
      <c r="E309" s="330"/>
      <c r="F309" s="330"/>
      <c r="G309" s="330"/>
      <c r="H309" s="330"/>
      <c r="I309" s="330"/>
      <c r="J309" s="330"/>
      <c r="K309" s="330"/>
      <c r="L309" s="82"/>
      <c r="M309" s="80"/>
      <c r="N309" s="82"/>
      <c r="O309" s="80"/>
      <c r="P309" s="82"/>
      <c r="Q309" s="80"/>
      <c r="R309" s="82"/>
      <c r="S309" s="80"/>
      <c r="T309" s="82"/>
      <c r="U309" s="80"/>
      <c r="V309" s="82"/>
      <c r="W309" s="80"/>
      <c r="X309" s="82"/>
      <c r="Y309" s="80"/>
      <c r="Z309" s="210">
        <f t="shared" si="4"/>
        <v>0</v>
      </c>
      <c r="AA309" s="60"/>
      <c r="AB309" s="60"/>
    </row>
    <row r="310" spans="1:28" x14ac:dyDescent="0.25">
      <c r="A310" s="443"/>
      <c r="B310" s="443"/>
      <c r="C310" s="443"/>
      <c r="D310" s="330"/>
      <c r="E310" s="330"/>
      <c r="F310" s="330"/>
      <c r="G310" s="330"/>
      <c r="H310" s="330"/>
      <c r="I310" s="330"/>
      <c r="J310" s="330"/>
      <c r="K310" s="330"/>
      <c r="L310" s="82"/>
      <c r="M310" s="80"/>
      <c r="N310" s="82"/>
      <c r="O310" s="80"/>
      <c r="P310" s="82"/>
      <c r="Q310" s="80"/>
      <c r="R310" s="82"/>
      <c r="S310" s="80"/>
      <c r="T310" s="82"/>
      <c r="U310" s="80"/>
      <c r="V310" s="82"/>
      <c r="W310" s="80"/>
      <c r="X310" s="82"/>
      <c r="Y310" s="80"/>
      <c r="Z310" s="210">
        <f t="shared" si="4"/>
        <v>0</v>
      </c>
      <c r="AA310" s="60"/>
      <c r="AB310" s="60"/>
    </row>
    <row r="311" spans="1:28" x14ac:dyDescent="0.25">
      <c r="A311" s="443"/>
      <c r="B311" s="443"/>
      <c r="C311" s="443"/>
      <c r="D311" s="330"/>
      <c r="E311" s="330"/>
      <c r="F311" s="330"/>
      <c r="G311" s="330"/>
      <c r="H311" s="330"/>
      <c r="I311" s="330"/>
      <c r="J311" s="330"/>
      <c r="K311" s="330"/>
      <c r="L311" s="82"/>
      <c r="M311" s="80"/>
      <c r="N311" s="82"/>
      <c r="O311" s="80"/>
      <c r="P311" s="82"/>
      <c r="Q311" s="80"/>
      <c r="R311" s="82"/>
      <c r="S311" s="80"/>
      <c r="T311" s="82"/>
      <c r="U311" s="80"/>
      <c r="V311" s="82"/>
      <c r="W311" s="80"/>
      <c r="X311" s="82"/>
      <c r="Y311" s="80"/>
      <c r="Z311" s="210">
        <f t="shared" si="4"/>
        <v>0</v>
      </c>
      <c r="AA311" s="60"/>
      <c r="AB311" s="60"/>
    </row>
    <row r="312" spans="1:28" x14ac:dyDescent="0.25">
      <c r="A312" s="443"/>
      <c r="B312" s="443"/>
      <c r="C312" s="443"/>
      <c r="D312" s="330"/>
      <c r="E312" s="330"/>
      <c r="F312" s="330"/>
      <c r="G312" s="330"/>
      <c r="H312" s="330"/>
      <c r="I312" s="330"/>
      <c r="J312" s="330"/>
      <c r="K312" s="330"/>
      <c r="L312" s="82"/>
      <c r="M312" s="80"/>
      <c r="N312" s="82"/>
      <c r="O312" s="80"/>
      <c r="P312" s="82"/>
      <c r="Q312" s="80"/>
      <c r="R312" s="82"/>
      <c r="S312" s="80"/>
      <c r="T312" s="82"/>
      <c r="U312" s="80"/>
      <c r="V312" s="82"/>
      <c r="W312" s="80"/>
      <c r="X312" s="82"/>
      <c r="Y312" s="80"/>
      <c r="Z312" s="210">
        <f t="shared" si="4"/>
        <v>0</v>
      </c>
      <c r="AA312" s="60"/>
      <c r="AB312" s="60"/>
    </row>
    <row r="313" spans="1:28" x14ac:dyDescent="0.25">
      <c r="A313" s="443"/>
      <c r="B313" s="443"/>
      <c r="C313" s="443"/>
      <c r="D313" s="330"/>
      <c r="E313" s="330"/>
      <c r="F313" s="330"/>
      <c r="G313" s="330"/>
      <c r="H313" s="330"/>
      <c r="I313" s="330"/>
      <c r="J313" s="330"/>
      <c r="K313" s="330"/>
      <c r="L313" s="82"/>
      <c r="M313" s="80"/>
      <c r="N313" s="82"/>
      <c r="O313" s="80"/>
      <c r="P313" s="82"/>
      <c r="Q313" s="80"/>
      <c r="R313" s="82"/>
      <c r="S313" s="80"/>
      <c r="T313" s="82"/>
      <c r="U313" s="80"/>
      <c r="V313" s="82"/>
      <c r="W313" s="80"/>
      <c r="X313" s="82"/>
      <c r="Y313" s="80"/>
      <c r="Z313" s="210">
        <f t="shared" si="4"/>
        <v>0</v>
      </c>
      <c r="AA313" s="60"/>
      <c r="AB313" s="60"/>
    </row>
    <row r="314" spans="1:28" x14ac:dyDescent="0.25">
      <c r="A314" s="443"/>
      <c r="B314" s="443"/>
      <c r="C314" s="443"/>
      <c r="D314" s="330"/>
      <c r="E314" s="330"/>
      <c r="F314" s="330"/>
      <c r="G314" s="330"/>
      <c r="H314" s="330"/>
      <c r="I314" s="330"/>
      <c r="J314" s="330"/>
      <c r="K314" s="330"/>
      <c r="L314" s="82"/>
      <c r="M314" s="80"/>
      <c r="N314" s="82"/>
      <c r="O314" s="80"/>
      <c r="P314" s="82"/>
      <c r="Q314" s="80"/>
      <c r="R314" s="82"/>
      <c r="S314" s="80"/>
      <c r="T314" s="82"/>
      <c r="U314" s="80"/>
      <c r="V314" s="82"/>
      <c r="W314" s="80"/>
      <c r="X314" s="82"/>
      <c r="Y314" s="80"/>
      <c r="Z314" s="210">
        <f t="shared" si="4"/>
        <v>0</v>
      </c>
      <c r="AA314" s="60"/>
      <c r="AB314" s="60"/>
    </row>
    <row r="315" spans="1:28" x14ac:dyDescent="0.25">
      <c r="A315" s="443"/>
      <c r="B315" s="443"/>
      <c r="C315" s="443"/>
      <c r="D315" s="330"/>
      <c r="E315" s="330"/>
      <c r="F315" s="330"/>
      <c r="G315" s="330"/>
      <c r="H315" s="330"/>
      <c r="I315" s="330"/>
      <c r="J315" s="330"/>
      <c r="K315" s="330"/>
      <c r="L315" s="82"/>
      <c r="M315" s="80"/>
      <c r="N315" s="82"/>
      <c r="O315" s="80"/>
      <c r="P315" s="82"/>
      <c r="Q315" s="80"/>
      <c r="R315" s="82"/>
      <c r="S315" s="80"/>
      <c r="T315" s="82"/>
      <c r="U315" s="80"/>
      <c r="V315" s="82"/>
      <c r="W315" s="80"/>
      <c r="X315" s="82"/>
      <c r="Y315" s="80"/>
      <c r="Z315" s="210">
        <f t="shared" si="4"/>
        <v>0</v>
      </c>
      <c r="AA315" s="60"/>
      <c r="AB315" s="60"/>
    </row>
    <row r="316" spans="1:28" x14ac:dyDescent="0.25">
      <c r="A316" s="443"/>
      <c r="B316" s="443"/>
      <c r="C316" s="443"/>
      <c r="D316" s="330"/>
      <c r="E316" s="330"/>
      <c r="F316" s="330"/>
      <c r="G316" s="330"/>
      <c r="H316" s="330"/>
      <c r="I316" s="330"/>
      <c r="J316" s="330"/>
      <c r="K316" s="330"/>
      <c r="L316" s="82"/>
      <c r="M316" s="80"/>
      <c r="N316" s="82"/>
      <c r="O316" s="80"/>
      <c r="P316" s="82"/>
      <c r="Q316" s="80"/>
      <c r="R316" s="82"/>
      <c r="S316" s="80"/>
      <c r="T316" s="82"/>
      <c r="U316" s="80"/>
      <c r="V316" s="82"/>
      <c r="W316" s="80"/>
      <c r="X316" s="82"/>
      <c r="Y316" s="80"/>
      <c r="Z316" s="210">
        <f t="shared" si="4"/>
        <v>0</v>
      </c>
      <c r="AA316" s="60"/>
      <c r="AB316" s="60"/>
    </row>
    <row r="317" spans="1:28" x14ac:dyDescent="0.25">
      <c r="A317" s="443"/>
      <c r="B317" s="443"/>
      <c r="C317" s="443"/>
      <c r="D317" s="330"/>
      <c r="E317" s="330"/>
      <c r="F317" s="330"/>
      <c r="G317" s="330"/>
      <c r="H317" s="330"/>
      <c r="I317" s="330"/>
      <c r="J317" s="330"/>
      <c r="K317" s="330"/>
      <c r="L317" s="82"/>
      <c r="M317" s="80"/>
      <c r="N317" s="82"/>
      <c r="O317" s="80"/>
      <c r="P317" s="82"/>
      <c r="Q317" s="80"/>
      <c r="R317" s="82"/>
      <c r="S317" s="80"/>
      <c r="T317" s="82"/>
      <c r="U317" s="80"/>
      <c r="V317" s="82"/>
      <c r="W317" s="80"/>
      <c r="X317" s="82"/>
      <c r="Y317" s="80"/>
      <c r="Z317" s="210">
        <f t="shared" si="4"/>
        <v>0</v>
      </c>
      <c r="AA317" s="60"/>
      <c r="AB317" s="60"/>
    </row>
    <row r="318" spans="1:28" x14ac:dyDescent="0.25">
      <c r="A318" s="443"/>
      <c r="B318" s="443"/>
      <c r="C318" s="443"/>
      <c r="D318" s="330"/>
      <c r="E318" s="330"/>
      <c r="F318" s="330"/>
      <c r="G318" s="330"/>
      <c r="H318" s="330"/>
      <c r="I318" s="330"/>
      <c r="J318" s="330"/>
      <c r="K318" s="330"/>
      <c r="L318" s="82"/>
      <c r="M318" s="80"/>
      <c r="N318" s="82"/>
      <c r="O318" s="80"/>
      <c r="P318" s="82"/>
      <c r="Q318" s="80"/>
      <c r="R318" s="82"/>
      <c r="S318" s="80"/>
      <c r="T318" s="82"/>
      <c r="U318" s="80"/>
      <c r="V318" s="82"/>
      <c r="W318" s="80"/>
      <c r="X318" s="82"/>
      <c r="Y318" s="80"/>
      <c r="Z318" s="210">
        <f t="shared" si="4"/>
        <v>0</v>
      </c>
      <c r="AA318" s="60"/>
      <c r="AB318" s="60"/>
    </row>
    <row r="319" spans="1:28" x14ac:dyDescent="0.25">
      <c r="A319" s="443"/>
      <c r="B319" s="443"/>
      <c r="C319" s="443"/>
      <c r="D319" s="330"/>
      <c r="E319" s="330"/>
      <c r="F319" s="330"/>
      <c r="G319" s="330"/>
      <c r="H319" s="330"/>
      <c r="I319" s="330"/>
      <c r="J319" s="330"/>
      <c r="K319" s="330"/>
      <c r="L319" s="82"/>
      <c r="M319" s="80"/>
      <c r="N319" s="82"/>
      <c r="O319" s="80"/>
      <c r="P319" s="82"/>
      <c r="Q319" s="80"/>
      <c r="R319" s="82"/>
      <c r="S319" s="80"/>
      <c r="T319" s="82"/>
      <c r="U319" s="80"/>
      <c r="V319" s="82"/>
      <c r="W319" s="80"/>
      <c r="X319" s="82"/>
      <c r="Y319" s="80"/>
      <c r="Z319" s="210">
        <f t="shared" si="4"/>
        <v>0</v>
      </c>
      <c r="AA319" s="60"/>
      <c r="AB319" s="60"/>
    </row>
    <row r="320" spans="1:28" x14ac:dyDescent="0.25">
      <c r="A320" s="443"/>
      <c r="B320" s="443"/>
      <c r="C320" s="443"/>
      <c r="D320" s="330"/>
      <c r="E320" s="330"/>
      <c r="F320" s="330"/>
      <c r="G320" s="330"/>
      <c r="H320" s="330"/>
      <c r="I320" s="330"/>
      <c r="J320" s="330"/>
      <c r="K320" s="330"/>
      <c r="L320" s="82"/>
      <c r="M320" s="80"/>
      <c r="N320" s="82"/>
      <c r="O320" s="80"/>
      <c r="P320" s="82"/>
      <c r="Q320" s="80"/>
      <c r="R320" s="82"/>
      <c r="S320" s="80"/>
      <c r="T320" s="82"/>
      <c r="U320" s="80"/>
      <c r="V320" s="82"/>
      <c r="W320" s="80"/>
      <c r="X320" s="82"/>
      <c r="Y320" s="80"/>
      <c r="Z320" s="210">
        <f t="shared" si="4"/>
        <v>0</v>
      </c>
      <c r="AA320" s="60"/>
      <c r="AB320" s="60"/>
    </row>
    <row r="321" spans="1:28" x14ac:dyDescent="0.25">
      <c r="A321" s="443"/>
      <c r="B321" s="443"/>
      <c r="C321" s="443"/>
      <c r="D321" s="330"/>
      <c r="E321" s="330"/>
      <c r="F321" s="330"/>
      <c r="G321" s="330"/>
      <c r="H321" s="330"/>
      <c r="I321" s="330"/>
      <c r="J321" s="330"/>
      <c r="K321" s="330"/>
      <c r="L321" s="82"/>
      <c r="M321" s="80"/>
      <c r="N321" s="82"/>
      <c r="O321" s="80"/>
      <c r="P321" s="82"/>
      <c r="Q321" s="80"/>
      <c r="R321" s="82"/>
      <c r="S321" s="80"/>
      <c r="T321" s="82"/>
      <c r="U321" s="80"/>
      <c r="V321" s="82"/>
      <c r="W321" s="80"/>
      <c r="X321" s="82"/>
      <c r="Y321" s="80"/>
      <c r="Z321" s="210">
        <f t="shared" si="4"/>
        <v>0</v>
      </c>
      <c r="AA321" s="60"/>
      <c r="AB321" s="60"/>
    </row>
    <row r="322" spans="1:28" x14ac:dyDescent="0.25">
      <c r="A322" s="443"/>
      <c r="B322" s="443"/>
      <c r="C322" s="443"/>
      <c r="D322" s="330"/>
      <c r="E322" s="330"/>
      <c r="F322" s="330"/>
      <c r="G322" s="330"/>
      <c r="H322" s="330"/>
      <c r="I322" s="330"/>
      <c r="J322" s="330"/>
      <c r="K322" s="330"/>
      <c r="L322" s="82"/>
      <c r="M322" s="80"/>
      <c r="N322" s="82"/>
      <c r="O322" s="80"/>
      <c r="P322" s="82"/>
      <c r="Q322" s="80"/>
      <c r="R322" s="82"/>
      <c r="S322" s="80"/>
      <c r="T322" s="82"/>
      <c r="U322" s="80"/>
      <c r="V322" s="82"/>
      <c r="W322" s="80"/>
      <c r="X322" s="82"/>
      <c r="Y322" s="80"/>
      <c r="Z322" s="210">
        <f t="shared" si="4"/>
        <v>0</v>
      </c>
      <c r="AA322" s="60"/>
      <c r="AB322" s="60"/>
    </row>
    <row r="323" spans="1:28" x14ac:dyDescent="0.25">
      <c r="A323" s="443"/>
      <c r="B323" s="443"/>
      <c r="C323" s="443"/>
      <c r="D323" s="330"/>
      <c r="E323" s="330"/>
      <c r="F323" s="330"/>
      <c r="G323" s="330"/>
      <c r="H323" s="330"/>
      <c r="I323" s="330"/>
      <c r="J323" s="330"/>
      <c r="K323" s="330"/>
      <c r="L323" s="82"/>
      <c r="M323" s="80"/>
      <c r="N323" s="82"/>
      <c r="O323" s="80"/>
      <c r="P323" s="82"/>
      <c r="Q323" s="80"/>
      <c r="R323" s="82"/>
      <c r="S323" s="80"/>
      <c r="T323" s="82"/>
      <c r="U323" s="80"/>
      <c r="V323" s="82"/>
      <c r="W323" s="80"/>
      <c r="X323" s="82"/>
      <c r="Y323" s="80"/>
      <c r="Z323" s="210">
        <f t="shared" si="4"/>
        <v>0</v>
      </c>
      <c r="AA323" s="60"/>
      <c r="AB323" s="60"/>
    </row>
    <row r="324" spans="1:28" x14ac:dyDescent="0.25">
      <c r="A324" s="443"/>
      <c r="B324" s="443"/>
      <c r="C324" s="443"/>
      <c r="D324" s="330"/>
      <c r="E324" s="330"/>
      <c r="F324" s="330"/>
      <c r="G324" s="330"/>
      <c r="H324" s="330"/>
      <c r="I324" s="330"/>
      <c r="J324" s="330"/>
      <c r="K324" s="330"/>
      <c r="L324" s="82"/>
      <c r="M324" s="80"/>
      <c r="N324" s="82"/>
      <c r="O324" s="80"/>
      <c r="P324" s="82"/>
      <c r="Q324" s="80"/>
      <c r="R324" s="82"/>
      <c r="S324" s="80"/>
      <c r="T324" s="82"/>
      <c r="U324" s="80"/>
      <c r="V324" s="82"/>
      <c r="W324" s="80"/>
      <c r="X324" s="82"/>
      <c r="Y324" s="80"/>
      <c r="Z324" s="210">
        <f t="shared" si="4"/>
        <v>0</v>
      </c>
      <c r="AA324" s="60"/>
      <c r="AB324" s="60"/>
    </row>
    <row r="325" spans="1:28" x14ac:dyDescent="0.25">
      <c r="A325" s="443"/>
      <c r="B325" s="443"/>
      <c r="C325" s="443"/>
      <c r="D325" s="330"/>
      <c r="E325" s="330"/>
      <c r="F325" s="330"/>
      <c r="G325" s="330"/>
      <c r="H325" s="330"/>
      <c r="I325" s="330"/>
      <c r="J325" s="330"/>
      <c r="K325" s="330"/>
      <c r="L325" s="82"/>
      <c r="M325" s="80"/>
      <c r="N325" s="82"/>
      <c r="O325" s="80"/>
      <c r="P325" s="82"/>
      <c r="Q325" s="80"/>
      <c r="R325" s="82"/>
      <c r="S325" s="80"/>
      <c r="T325" s="82"/>
      <c r="U325" s="80"/>
      <c r="V325" s="82"/>
      <c r="W325" s="80"/>
      <c r="X325" s="82"/>
      <c r="Y325" s="80"/>
      <c r="Z325" s="210">
        <f t="shared" si="4"/>
        <v>0</v>
      </c>
      <c r="AA325" s="60"/>
      <c r="AB325" s="60"/>
    </row>
    <row r="326" spans="1:28" x14ac:dyDescent="0.25">
      <c r="A326" s="443"/>
      <c r="B326" s="443"/>
      <c r="C326" s="443"/>
      <c r="D326" s="330"/>
      <c r="E326" s="330"/>
      <c r="F326" s="330"/>
      <c r="G326" s="330"/>
      <c r="H326" s="330"/>
      <c r="I326" s="330"/>
      <c r="J326" s="330"/>
      <c r="K326" s="330"/>
      <c r="L326" s="82"/>
      <c r="M326" s="80"/>
      <c r="N326" s="82"/>
      <c r="O326" s="80"/>
      <c r="P326" s="82"/>
      <c r="Q326" s="80"/>
      <c r="R326" s="82"/>
      <c r="S326" s="80"/>
      <c r="T326" s="82"/>
      <c r="U326" s="80"/>
      <c r="V326" s="82"/>
      <c r="W326" s="80"/>
      <c r="X326" s="82"/>
      <c r="Y326" s="80"/>
      <c r="Z326" s="210">
        <f t="shared" si="4"/>
        <v>0</v>
      </c>
      <c r="AA326" s="60"/>
      <c r="AB326" s="60"/>
    </row>
    <row r="327" spans="1:28" x14ac:dyDescent="0.25">
      <c r="A327" s="443"/>
      <c r="B327" s="443"/>
      <c r="C327" s="443"/>
      <c r="D327" s="330"/>
      <c r="E327" s="330"/>
      <c r="F327" s="330"/>
      <c r="G327" s="330"/>
      <c r="H327" s="330"/>
      <c r="I327" s="330"/>
      <c r="J327" s="330"/>
      <c r="K327" s="330"/>
      <c r="L327" s="82"/>
      <c r="M327" s="80"/>
      <c r="N327" s="82"/>
      <c r="O327" s="80"/>
      <c r="P327" s="82"/>
      <c r="Q327" s="80"/>
      <c r="R327" s="82"/>
      <c r="S327" s="80"/>
      <c r="T327" s="82"/>
      <c r="U327" s="80"/>
      <c r="V327" s="82"/>
      <c r="W327" s="80"/>
      <c r="X327" s="82"/>
      <c r="Y327" s="80"/>
      <c r="Z327" s="210">
        <f t="shared" si="4"/>
        <v>0</v>
      </c>
      <c r="AA327" s="60"/>
      <c r="AB327" s="60"/>
    </row>
    <row r="328" spans="1:28" x14ac:dyDescent="0.25">
      <c r="A328" s="443"/>
      <c r="B328" s="443"/>
      <c r="C328" s="443"/>
      <c r="D328" s="330"/>
      <c r="E328" s="330"/>
      <c r="F328" s="330"/>
      <c r="G328" s="330"/>
      <c r="H328" s="330"/>
      <c r="I328" s="330"/>
      <c r="J328" s="330"/>
      <c r="K328" s="330"/>
      <c r="L328" s="82"/>
      <c r="M328" s="80"/>
      <c r="N328" s="82"/>
      <c r="O328" s="80"/>
      <c r="P328" s="82"/>
      <c r="Q328" s="80"/>
      <c r="R328" s="82"/>
      <c r="S328" s="80"/>
      <c r="T328" s="82"/>
      <c r="U328" s="80"/>
      <c r="V328" s="82"/>
      <c r="W328" s="80"/>
      <c r="X328" s="82"/>
      <c r="Y328" s="80"/>
      <c r="Z328" s="210">
        <f t="shared" si="4"/>
        <v>0</v>
      </c>
      <c r="AA328" s="60"/>
      <c r="AB328" s="60"/>
    </row>
    <row r="329" spans="1:28" x14ac:dyDescent="0.25">
      <c r="A329" s="443"/>
      <c r="B329" s="443"/>
      <c r="C329" s="443"/>
      <c r="D329" s="330"/>
      <c r="E329" s="330"/>
      <c r="F329" s="330"/>
      <c r="G329" s="330"/>
      <c r="H329" s="330"/>
      <c r="I329" s="330"/>
      <c r="J329" s="330"/>
      <c r="K329" s="330"/>
      <c r="L329" s="82"/>
      <c r="M329" s="80"/>
      <c r="N329" s="82"/>
      <c r="O329" s="80"/>
      <c r="P329" s="82"/>
      <c r="Q329" s="80"/>
      <c r="R329" s="82"/>
      <c r="S329" s="80"/>
      <c r="T329" s="82"/>
      <c r="U329" s="80"/>
      <c r="V329" s="82"/>
      <c r="W329" s="80"/>
      <c r="X329" s="82"/>
      <c r="Y329" s="80"/>
      <c r="Z329" s="210">
        <f t="shared" si="4"/>
        <v>0</v>
      </c>
      <c r="AA329" s="60"/>
      <c r="AB329" s="60"/>
    </row>
    <row r="330" spans="1:28" x14ac:dyDescent="0.25">
      <c r="A330" s="443"/>
      <c r="B330" s="443"/>
      <c r="C330" s="443"/>
      <c r="D330" s="330"/>
      <c r="E330" s="330"/>
      <c r="F330" s="330"/>
      <c r="G330" s="330"/>
      <c r="H330" s="330"/>
      <c r="I330" s="330"/>
      <c r="J330" s="330"/>
      <c r="K330" s="330"/>
      <c r="L330" s="82"/>
      <c r="M330" s="80"/>
      <c r="N330" s="82"/>
      <c r="O330" s="80"/>
      <c r="P330" s="82"/>
      <c r="Q330" s="80"/>
      <c r="R330" s="82"/>
      <c r="S330" s="80"/>
      <c r="T330" s="82"/>
      <c r="U330" s="80"/>
      <c r="V330" s="82"/>
      <c r="W330" s="80"/>
      <c r="X330" s="82"/>
      <c r="Y330" s="80"/>
      <c r="Z330" s="210">
        <f t="shared" si="4"/>
        <v>0</v>
      </c>
      <c r="AA330" s="60"/>
      <c r="AB330" s="60"/>
    </row>
    <row r="331" spans="1:28" x14ac:dyDescent="0.25">
      <c r="A331" s="443"/>
      <c r="B331" s="443"/>
      <c r="C331" s="443"/>
      <c r="D331" s="330"/>
      <c r="E331" s="330"/>
      <c r="F331" s="330"/>
      <c r="G331" s="330"/>
      <c r="H331" s="330"/>
      <c r="I331" s="330"/>
      <c r="J331" s="330"/>
      <c r="K331" s="330"/>
      <c r="L331" s="82"/>
      <c r="M331" s="80"/>
      <c r="N331" s="82"/>
      <c r="O331" s="80"/>
      <c r="P331" s="82"/>
      <c r="Q331" s="80"/>
      <c r="R331" s="82"/>
      <c r="S331" s="80"/>
      <c r="T331" s="82"/>
      <c r="U331" s="80"/>
      <c r="V331" s="82"/>
      <c r="W331" s="80"/>
      <c r="X331" s="82"/>
      <c r="Y331" s="80"/>
      <c r="Z331" s="210">
        <f t="shared" ref="Z331:Z394" si="5">SUM(L331:Y331)</f>
        <v>0</v>
      </c>
      <c r="AA331" s="60"/>
      <c r="AB331" s="60"/>
    </row>
    <row r="332" spans="1:28" x14ac:dyDescent="0.25">
      <c r="A332" s="443"/>
      <c r="B332" s="443"/>
      <c r="C332" s="443"/>
      <c r="D332" s="330"/>
      <c r="E332" s="330"/>
      <c r="F332" s="330"/>
      <c r="G332" s="330"/>
      <c r="H332" s="330"/>
      <c r="I332" s="330"/>
      <c r="J332" s="330"/>
      <c r="K332" s="330"/>
      <c r="L332" s="82"/>
      <c r="M332" s="80"/>
      <c r="N332" s="82"/>
      <c r="O332" s="80"/>
      <c r="P332" s="82"/>
      <c r="Q332" s="80"/>
      <c r="R332" s="82"/>
      <c r="S332" s="80"/>
      <c r="T332" s="82"/>
      <c r="U332" s="80"/>
      <c r="V332" s="82"/>
      <c r="W332" s="80"/>
      <c r="X332" s="82"/>
      <c r="Y332" s="80"/>
      <c r="Z332" s="210">
        <f t="shared" si="5"/>
        <v>0</v>
      </c>
      <c r="AA332" s="60"/>
      <c r="AB332" s="60"/>
    </row>
    <row r="333" spans="1:28" x14ac:dyDescent="0.25">
      <c r="A333" s="443"/>
      <c r="B333" s="443"/>
      <c r="C333" s="443"/>
      <c r="D333" s="330"/>
      <c r="E333" s="330"/>
      <c r="F333" s="330"/>
      <c r="G333" s="330"/>
      <c r="H333" s="330"/>
      <c r="I333" s="330"/>
      <c r="J333" s="330"/>
      <c r="K333" s="330"/>
      <c r="L333" s="82"/>
      <c r="M333" s="80"/>
      <c r="N333" s="82"/>
      <c r="O333" s="80"/>
      <c r="P333" s="82"/>
      <c r="Q333" s="80"/>
      <c r="R333" s="82"/>
      <c r="S333" s="80"/>
      <c r="T333" s="82"/>
      <c r="U333" s="80"/>
      <c r="V333" s="82"/>
      <c r="W333" s="80"/>
      <c r="X333" s="82"/>
      <c r="Y333" s="80"/>
      <c r="Z333" s="210">
        <f t="shared" si="5"/>
        <v>0</v>
      </c>
      <c r="AA333" s="60"/>
      <c r="AB333" s="60"/>
    </row>
    <row r="334" spans="1:28" x14ac:dyDescent="0.25">
      <c r="A334" s="443"/>
      <c r="B334" s="443"/>
      <c r="C334" s="443"/>
      <c r="D334" s="330"/>
      <c r="E334" s="330"/>
      <c r="F334" s="330"/>
      <c r="G334" s="330"/>
      <c r="H334" s="330"/>
      <c r="I334" s="330"/>
      <c r="J334" s="330"/>
      <c r="K334" s="330"/>
      <c r="L334" s="82"/>
      <c r="M334" s="80"/>
      <c r="N334" s="82"/>
      <c r="O334" s="80"/>
      <c r="P334" s="82"/>
      <c r="Q334" s="80"/>
      <c r="R334" s="82"/>
      <c r="S334" s="80"/>
      <c r="T334" s="82"/>
      <c r="U334" s="80"/>
      <c r="V334" s="82"/>
      <c r="W334" s="80"/>
      <c r="X334" s="82"/>
      <c r="Y334" s="80"/>
      <c r="Z334" s="210">
        <f t="shared" si="5"/>
        <v>0</v>
      </c>
      <c r="AA334" s="60"/>
      <c r="AB334" s="60"/>
    </row>
    <row r="335" spans="1:28" x14ac:dyDescent="0.25">
      <c r="A335" s="443"/>
      <c r="B335" s="443"/>
      <c r="C335" s="443"/>
      <c r="D335" s="330"/>
      <c r="E335" s="330"/>
      <c r="F335" s="330"/>
      <c r="G335" s="330"/>
      <c r="H335" s="330"/>
      <c r="I335" s="330"/>
      <c r="J335" s="330"/>
      <c r="K335" s="330"/>
      <c r="L335" s="82"/>
      <c r="M335" s="80"/>
      <c r="N335" s="82"/>
      <c r="O335" s="80"/>
      <c r="P335" s="82"/>
      <c r="Q335" s="80"/>
      <c r="R335" s="82"/>
      <c r="S335" s="80"/>
      <c r="T335" s="82"/>
      <c r="U335" s="80"/>
      <c r="V335" s="82"/>
      <c r="W335" s="80"/>
      <c r="X335" s="82"/>
      <c r="Y335" s="80"/>
      <c r="Z335" s="210">
        <f t="shared" si="5"/>
        <v>0</v>
      </c>
      <c r="AA335" s="60"/>
      <c r="AB335" s="60"/>
    </row>
    <row r="336" spans="1:28" x14ac:dyDescent="0.25">
      <c r="A336" s="443"/>
      <c r="B336" s="443"/>
      <c r="C336" s="443"/>
      <c r="D336" s="330"/>
      <c r="E336" s="330"/>
      <c r="F336" s="330"/>
      <c r="G336" s="330"/>
      <c r="H336" s="330"/>
      <c r="I336" s="330"/>
      <c r="J336" s="330"/>
      <c r="K336" s="330"/>
      <c r="L336" s="82"/>
      <c r="M336" s="80"/>
      <c r="N336" s="82"/>
      <c r="O336" s="80"/>
      <c r="P336" s="82"/>
      <c r="Q336" s="80"/>
      <c r="R336" s="82"/>
      <c r="S336" s="80"/>
      <c r="T336" s="82"/>
      <c r="U336" s="80"/>
      <c r="V336" s="82"/>
      <c r="W336" s="80"/>
      <c r="X336" s="82"/>
      <c r="Y336" s="80"/>
      <c r="Z336" s="210">
        <f t="shared" si="5"/>
        <v>0</v>
      </c>
      <c r="AA336" s="60"/>
      <c r="AB336" s="60"/>
    </row>
    <row r="337" spans="1:28" x14ac:dyDescent="0.25">
      <c r="A337" s="443"/>
      <c r="B337" s="443"/>
      <c r="C337" s="443"/>
      <c r="D337" s="330"/>
      <c r="E337" s="330"/>
      <c r="F337" s="330"/>
      <c r="G337" s="330"/>
      <c r="H337" s="330"/>
      <c r="I337" s="330"/>
      <c r="J337" s="330"/>
      <c r="K337" s="330"/>
      <c r="L337" s="82"/>
      <c r="M337" s="80"/>
      <c r="N337" s="82"/>
      <c r="O337" s="80"/>
      <c r="P337" s="82"/>
      <c r="Q337" s="80"/>
      <c r="R337" s="82"/>
      <c r="S337" s="80"/>
      <c r="T337" s="82"/>
      <c r="U337" s="80"/>
      <c r="V337" s="82"/>
      <c r="W337" s="80"/>
      <c r="X337" s="82"/>
      <c r="Y337" s="80"/>
      <c r="Z337" s="210">
        <f t="shared" si="5"/>
        <v>0</v>
      </c>
      <c r="AA337" s="60"/>
      <c r="AB337" s="60"/>
    </row>
    <row r="338" spans="1:28" x14ac:dyDescent="0.25">
      <c r="A338" s="443"/>
      <c r="B338" s="443"/>
      <c r="C338" s="443"/>
      <c r="D338" s="330"/>
      <c r="E338" s="330"/>
      <c r="F338" s="330"/>
      <c r="G338" s="330"/>
      <c r="H338" s="330"/>
      <c r="I338" s="330"/>
      <c r="J338" s="330"/>
      <c r="K338" s="330"/>
      <c r="L338" s="82"/>
      <c r="M338" s="80"/>
      <c r="N338" s="82"/>
      <c r="O338" s="80"/>
      <c r="P338" s="82"/>
      <c r="Q338" s="80"/>
      <c r="R338" s="82"/>
      <c r="S338" s="80"/>
      <c r="T338" s="82"/>
      <c r="U338" s="80"/>
      <c r="V338" s="82"/>
      <c r="W338" s="80"/>
      <c r="X338" s="82"/>
      <c r="Y338" s="80"/>
      <c r="Z338" s="210">
        <f t="shared" si="5"/>
        <v>0</v>
      </c>
      <c r="AA338" s="60"/>
      <c r="AB338" s="60"/>
    </row>
    <row r="339" spans="1:28" x14ac:dyDescent="0.25">
      <c r="A339" s="443"/>
      <c r="B339" s="443"/>
      <c r="C339" s="443"/>
      <c r="D339" s="330"/>
      <c r="E339" s="330"/>
      <c r="F339" s="330"/>
      <c r="G339" s="330"/>
      <c r="H339" s="330"/>
      <c r="I339" s="330"/>
      <c r="J339" s="330"/>
      <c r="K339" s="330"/>
      <c r="L339" s="82"/>
      <c r="M339" s="80"/>
      <c r="N339" s="82"/>
      <c r="O339" s="80"/>
      <c r="P339" s="82"/>
      <c r="Q339" s="80"/>
      <c r="R339" s="82"/>
      <c r="S339" s="80"/>
      <c r="T339" s="82"/>
      <c r="U339" s="80"/>
      <c r="V339" s="82"/>
      <c r="W339" s="80"/>
      <c r="X339" s="82"/>
      <c r="Y339" s="80"/>
      <c r="Z339" s="210">
        <f t="shared" si="5"/>
        <v>0</v>
      </c>
      <c r="AA339" s="60"/>
      <c r="AB339" s="60"/>
    </row>
    <row r="340" spans="1:28" x14ac:dyDescent="0.25">
      <c r="A340" s="443"/>
      <c r="B340" s="443"/>
      <c r="C340" s="443"/>
      <c r="D340" s="330"/>
      <c r="E340" s="330"/>
      <c r="F340" s="330"/>
      <c r="G340" s="330"/>
      <c r="H340" s="330"/>
      <c r="I340" s="330"/>
      <c r="J340" s="330"/>
      <c r="K340" s="330"/>
      <c r="L340" s="82"/>
      <c r="M340" s="80"/>
      <c r="N340" s="82"/>
      <c r="O340" s="80"/>
      <c r="P340" s="82"/>
      <c r="Q340" s="80"/>
      <c r="R340" s="82"/>
      <c r="S340" s="80"/>
      <c r="T340" s="82"/>
      <c r="U340" s="80"/>
      <c r="V340" s="82"/>
      <c r="W340" s="80"/>
      <c r="X340" s="82"/>
      <c r="Y340" s="80"/>
      <c r="Z340" s="210">
        <f t="shared" si="5"/>
        <v>0</v>
      </c>
      <c r="AA340" s="60"/>
      <c r="AB340" s="60"/>
    </row>
    <row r="341" spans="1:28" x14ac:dyDescent="0.25">
      <c r="A341" s="443"/>
      <c r="B341" s="443"/>
      <c r="C341" s="443"/>
      <c r="D341" s="330"/>
      <c r="E341" s="330"/>
      <c r="F341" s="330"/>
      <c r="G341" s="330"/>
      <c r="H341" s="330"/>
      <c r="I341" s="330"/>
      <c r="J341" s="330"/>
      <c r="K341" s="330"/>
      <c r="L341" s="82"/>
      <c r="M341" s="80"/>
      <c r="N341" s="82"/>
      <c r="O341" s="80"/>
      <c r="P341" s="82"/>
      <c r="Q341" s="80"/>
      <c r="R341" s="82"/>
      <c r="S341" s="80"/>
      <c r="T341" s="82"/>
      <c r="U341" s="80"/>
      <c r="V341" s="82"/>
      <c r="W341" s="80"/>
      <c r="X341" s="82"/>
      <c r="Y341" s="80"/>
      <c r="Z341" s="210">
        <f t="shared" si="5"/>
        <v>0</v>
      </c>
      <c r="AA341" s="60"/>
      <c r="AB341" s="60"/>
    </row>
    <row r="342" spans="1:28" x14ac:dyDescent="0.25">
      <c r="A342" s="443"/>
      <c r="B342" s="443"/>
      <c r="C342" s="443"/>
      <c r="D342" s="330"/>
      <c r="E342" s="330"/>
      <c r="F342" s="330"/>
      <c r="G342" s="330"/>
      <c r="H342" s="330"/>
      <c r="I342" s="330"/>
      <c r="J342" s="330"/>
      <c r="K342" s="330"/>
      <c r="L342" s="82"/>
      <c r="M342" s="80"/>
      <c r="N342" s="82"/>
      <c r="O342" s="80"/>
      <c r="P342" s="82"/>
      <c r="Q342" s="80"/>
      <c r="R342" s="82"/>
      <c r="S342" s="80"/>
      <c r="T342" s="82"/>
      <c r="U342" s="80"/>
      <c r="V342" s="82"/>
      <c r="W342" s="80"/>
      <c r="X342" s="82"/>
      <c r="Y342" s="80"/>
      <c r="Z342" s="210">
        <f t="shared" si="5"/>
        <v>0</v>
      </c>
      <c r="AA342" s="60"/>
      <c r="AB342" s="60"/>
    </row>
    <row r="343" spans="1:28" x14ac:dyDescent="0.25">
      <c r="A343" s="443"/>
      <c r="B343" s="443"/>
      <c r="C343" s="443"/>
      <c r="D343" s="330"/>
      <c r="E343" s="330"/>
      <c r="F343" s="330"/>
      <c r="G343" s="330"/>
      <c r="H343" s="330"/>
      <c r="I343" s="330"/>
      <c r="J343" s="330"/>
      <c r="K343" s="330"/>
      <c r="L343" s="82"/>
      <c r="M343" s="80"/>
      <c r="N343" s="82"/>
      <c r="O343" s="80"/>
      <c r="P343" s="82"/>
      <c r="Q343" s="80"/>
      <c r="R343" s="82"/>
      <c r="S343" s="80"/>
      <c r="T343" s="82"/>
      <c r="U343" s="80"/>
      <c r="V343" s="82"/>
      <c r="W343" s="80"/>
      <c r="X343" s="82"/>
      <c r="Y343" s="80"/>
      <c r="Z343" s="210">
        <f t="shared" si="5"/>
        <v>0</v>
      </c>
      <c r="AA343" s="60"/>
      <c r="AB343" s="60"/>
    </row>
    <row r="344" spans="1:28" x14ac:dyDescent="0.25">
      <c r="A344" s="443"/>
      <c r="B344" s="443"/>
      <c r="C344" s="443"/>
      <c r="D344" s="330"/>
      <c r="E344" s="330"/>
      <c r="F344" s="330"/>
      <c r="G344" s="330"/>
      <c r="H344" s="330"/>
      <c r="I344" s="330"/>
      <c r="J344" s="330"/>
      <c r="K344" s="330"/>
      <c r="L344" s="82"/>
      <c r="M344" s="80"/>
      <c r="N344" s="82"/>
      <c r="O344" s="80"/>
      <c r="P344" s="82"/>
      <c r="Q344" s="80"/>
      <c r="R344" s="82"/>
      <c r="S344" s="80"/>
      <c r="T344" s="82"/>
      <c r="U344" s="80"/>
      <c r="V344" s="82"/>
      <c r="W344" s="80"/>
      <c r="X344" s="82"/>
      <c r="Y344" s="80"/>
      <c r="Z344" s="210">
        <f t="shared" si="5"/>
        <v>0</v>
      </c>
      <c r="AA344" s="60"/>
      <c r="AB344" s="60"/>
    </row>
    <row r="345" spans="1:28" x14ac:dyDescent="0.25">
      <c r="A345" s="443"/>
      <c r="B345" s="443"/>
      <c r="C345" s="443"/>
      <c r="D345" s="330"/>
      <c r="E345" s="330"/>
      <c r="F345" s="330"/>
      <c r="G345" s="330"/>
      <c r="H345" s="330"/>
      <c r="I345" s="330"/>
      <c r="J345" s="330"/>
      <c r="K345" s="330"/>
      <c r="L345" s="82"/>
      <c r="M345" s="80"/>
      <c r="N345" s="82"/>
      <c r="O345" s="80"/>
      <c r="P345" s="82"/>
      <c r="Q345" s="80"/>
      <c r="R345" s="82"/>
      <c r="S345" s="80"/>
      <c r="T345" s="82"/>
      <c r="U345" s="80"/>
      <c r="V345" s="82"/>
      <c r="W345" s="80"/>
      <c r="X345" s="82"/>
      <c r="Y345" s="80"/>
      <c r="Z345" s="210">
        <f t="shared" si="5"/>
        <v>0</v>
      </c>
      <c r="AA345" s="60"/>
      <c r="AB345" s="60"/>
    </row>
    <row r="346" spans="1:28" x14ac:dyDescent="0.25">
      <c r="A346" s="443"/>
      <c r="B346" s="443"/>
      <c r="C346" s="443"/>
      <c r="D346" s="330"/>
      <c r="E346" s="330"/>
      <c r="F346" s="330"/>
      <c r="G346" s="330"/>
      <c r="H346" s="330"/>
      <c r="I346" s="330"/>
      <c r="J346" s="330"/>
      <c r="K346" s="330"/>
      <c r="L346" s="82"/>
      <c r="M346" s="80"/>
      <c r="N346" s="82"/>
      <c r="O346" s="80"/>
      <c r="P346" s="82"/>
      <c r="Q346" s="80"/>
      <c r="R346" s="82"/>
      <c r="S346" s="80"/>
      <c r="T346" s="82"/>
      <c r="U346" s="80"/>
      <c r="V346" s="82"/>
      <c r="W346" s="80"/>
      <c r="X346" s="82"/>
      <c r="Y346" s="80"/>
      <c r="Z346" s="210">
        <f t="shared" si="5"/>
        <v>0</v>
      </c>
      <c r="AA346" s="60"/>
      <c r="AB346" s="60"/>
    </row>
    <row r="347" spans="1:28" x14ac:dyDescent="0.25">
      <c r="A347" s="443"/>
      <c r="B347" s="443"/>
      <c r="C347" s="443"/>
      <c r="D347" s="330"/>
      <c r="E347" s="330"/>
      <c r="F347" s="330"/>
      <c r="G347" s="330"/>
      <c r="H347" s="330"/>
      <c r="I347" s="330"/>
      <c r="J347" s="330"/>
      <c r="K347" s="330"/>
      <c r="L347" s="82"/>
      <c r="M347" s="80"/>
      <c r="N347" s="82"/>
      <c r="O347" s="80"/>
      <c r="P347" s="82"/>
      <c r="Q347" s="80"/>
      <c r="R347" s="82"/>
      <c r="S347" s="80"/>
      <c r="T347" s="82"/>
      <c r="U347" s="80"/>
      <c r="V347" s="82"/>
      <c r="W347" s="80"/>
      <c r="X347" s="82"/>
      <c r="Y347" s="80"/>
      <c r="Z347" s="210">
        <f t="shared" si="5"/>
        <v>0</v>
      </c>
      <c r="AA347" s="60"/>
      <c r="AB347" s="60"/>
    </row>
    <row r="348" spans="1:28" x14ac:dyDescent="0.25">
      <c r="A348" s="443"/>
      <c r="B348" s="443"/>
      <c r="C348" s="443"/>
      <c r="D348" s="330"/>
      <c r="E348" s="330"/>
      <c r="F348" s="330"/>
      <c r="G348" s="330"/>
      <c r="H348" s="330"/>
      <c r="I348" s="330"/>
      <c r="J348" s="330"/>
      <c r="K348" s="330"/>
      <c r="L348" s="82"/>
      <c r="M348" s="80"/>
      <c r="N348" s="82"/>
      <c r="O348" s="80"/>
      <c r="P348" s="82"/>
      <c r="Q348" s="80"/>
      <c r="R348" s="82"/>
      <c r="S348" s="80"/>
      <c r="T348" s="82"/>
      <c r="U348" s="80"/>
      <c r="V348" s="82"/>
      <c r="W348" s="80"/>
      <c r="X348" s="82"/>
      <c r="Y348" s="80"/>
      <c r="Z348" s="210">
        <f t="shared" si="5"/>
        <v>0</v>
      </c>
      <c r="AA348" s="60"/>
      <c r="AB348" s="60"/>
    </row>
    <row r="349" spans="1:28" x14ac:dyDescent="0.25">
      <c r="A349" s="443"/>
      <c r="B349" s="443"/>
      <c r="C349" s="443"/>
      <c r="D349" s="330"/>
      <c r="E349" s="330"/>
      <c r="F349" s="330"/>
      <c r="G349" s="330"/>
      <c r="H349" s="330"/>
      <c r="I349" s="330"/>
      <c r="J349" s="330"/>
      <c r="K349" s="330"/>
      <c r="L349" s="82"/>
      <c r="M349" s="80"/>
      <c r="N349" s="82"/>
      <c r="O349" s="80"/>
      <c r="P349" s="82"/>
      <c r="Q349" s="80"/>
      <c r="R349" s="82"/>
      <c r="S349" s="80"/>
      <c r="T349" s="82"/>
      <c r="U349" s="80"/>
      <c r="V349" s="82"/>
      <c r="W349" s="80"/>
      <c r="X349" s="82"/>
      <c r="Y349" s="80"/>
      <c r="Z349" s="210">
        <f t="shared" si="5"/>
        <v>0</v>
      </c>
      <c r="AA349" s="60"/>
      <c r="AB349" s="60"/>
    </row>
    <row r="350" spans="1:28" x14ac:dyDescent="0.25">
      <c r="A350" s="443"/>
      <c r="B350" s="443"/>
      <c r="C350" s="443"/>
      <c r="D350" s="330"/>
      <c r="E350" s="330"/>
      <c r="F350" s="330"/>
      <c r="G350" s="330"/>
      <c r="H350" s="330"/>
      <c r="I350" s="330"/>
      <c r="J350" s="330"/>
      <c r="K350" s="330"/>
      <c r="L350" s="82"/>
      <c r="M350" s="80"/>
      <c r="N350" s="82"/>
      <c r="O350" s="80"/>
      <c r="P350" s="82"/>
      <c r="Q350" s="80"/>
      <c r="R350" s="82"/>
      <c r="S350" s="80"/>
      <c r="T350" s="82"/>
      <c r="U350" s="80"/>
      <c r="V350" s="82"/>
      <c r="W350" s="80"/>
      <c r="X350" s="82"/>
      <c r="Y350" s="80"/>
      <c r="Z350" s="210">
        <f t="shared" si="5"/>
        <v>0</v>
      </c>
      <c r="AA350" s="60"/>
      <c r="AB350" s="60"/>
    </row>
    <row r="351" spans="1:28" x14ac:dyDescent="0.25">
      <c r="A351" s="443"/>
      <c r="B351" s="443"/>
      <c r="C351" s="443"/>
      <c r="D351" s="330"/>
      <c r="E351" s="330"/>
      <c r="F351" s="330"/>
      <c r="G351" s="330"/>
      <c r="H351" s="330"/>
      <c r="I351" s="330"/>
      <c r="J351" s="330"/>
      <c r="K351" s="330"/>
      <c r="L351" s="82"/>
      <c r="M351" s="80"/>
      <c r="N351" s="82"/>
      <c r="O351" s="80"/>
      <c r="P351" s="82"/>
      <c r="Q351" s="80"/>
      <c r="R351" s="82"/>
      <c r="S351" s="80"/>
      <c r="T351" s="82"/>
      <c r="U351" s="80"/>
      <c r="V351" s="82"/>
      <c r="W351" s="80"/>
      <c r="X351" s="82"/>
      <c r="Y351" s="80"/>
      <c r="Z351" s="210">
        <f t="shared" si="5"/>
        <v>0</v>
      </c>
      <c r="AA351" s="60"/>
      <c r="AB351" s="60"/>
    </row>
    <row r="352" spans="1:28" x14ac:dyDescent="0.25">
      <c r="A352" s="443"/>
      <c r="B352" s="443"/>
      <c r="C352" s="443"/>
      <c r="D352" s="330"/>
      <c r="E352" s="330"/>
      <c r="F352" s="330"/>
      <c r="G352" s="330"/>
      <c r="H352" s="330"/>
      <c r="I352" s="330"/>
      <c r="J352" s="330"/>
      <c r="K352" s="330"/>
      <c r="L352" s="82"/>
      <c r="M352" s="80"/>
      <c r="N352" s="82"/>
      <c r="O352" s="80"/>
      <c r="P352" s="82"/>
      <c r="Q352" s="80"/>
      <c r="R352" s="82"/>
      <c r="S352" s="80"/>
      <c r="T352" s="82"/>
      <c r="U352" s="80"/>
      <c r="V352" s="82"/>
      <c r="W352" s="80"/>
      <c r="X352" s="82"/>
      <c r="Y352" s="80"/>
      <c r="Z352" s="210">
        <f t="shared" si="5"/>
        <v>0</v>
      </c>
      <c r="AA352" s="60"/>
      <c r="AB352" s="60"/>
    </row>
    <row r="353" spans="1:28" x14ac:dyDescent="0.25">
      <c r="A353" s="443"/>
      <c r="B353" s="443"/>
      <c r="C353" s="443"/>
      <c r="D353" s="330"/>
      <c r="E353" s="330"/>
      <c r="F353" s="330"/>
      <c r="G353" s="330"/>
      <c r="H353" s="330"/>
      <c r="I353" s="330"/>
      <c r="J353" s="330"/>
      <c r="K353" s="330"/>
      <c r="L353" s="82"/>
      <c r="M353" s="80"/>
      <c r="N353" s="82"/>
      <c r="O353" s="80"/>
      <c r="P353" s="82"/>
      <c r="Q353" s="80"/>
      <c r="R353" s="82"/>
      <c r="S353" s="80"/>
      <c r="T353" s="82"/>
      <c r="U353" s="80"/>
      <c r="V353" s="82"/>
      <c r="W353" s="80"/>
      <c r="X353" s="82"/>
      <c r="Y353" s="80"/>
      <c r="Z353" s="210">
        <f t="shared" si="5"/>
        <v>0</v>
      </c>
      <c r="AA353" s="60"/>
      <c r="AB353" s="60"/>
    </row>
    <row r="354" spans="1:28" x14ac:dyDescent="0.25">
      <c r="A354" s="443"/>
      <c r="B354" s="443"/>
      <c r="C354" s="443"/>
      <c r="D354" s="330"/>
      <c r="E354" s="330"/>
      <c r="F354" s="330"/>
      <c r="G354" s="330"/>
      <c r="H354" s="330"/>
      <c r="I354" s="330"/>
      <c r="J354" s="330"/>
      <c r="K354" s="330"/>
      <c r="L354" s="82"/>
      <c r="M354" s="80"/>
      <c r="N354" s="82"/>
      <c r="O354" s="80"/>
      <c r="P354" s="82"/>
      <c r="Q354" s="80"/>
      <c r="R354" s="82"/>
      <c r="S354" s="80"/>
      <c r="T354" s="82"/>
      <c r="U354" s="80"/>
      <c r="V354" s="82"/>
      <c r="W354" s="80"/>
      <c r="X354" s="82"/>
      <c r="Y354" s="80"/>
      <c r="Z354" s="210">
        <f t="shared" si="5"/>
        <v>0</v>
      </c>
      <c r="AA354" s="60"/>
      <c r="AB354" s="60"/>
    </row>
    <row r="355" spans="1:28" x14ac:dyDescent="0.25">
      <c r="A355" s="443"/>
      <c r="B355" s="443"/>
      <c r="C355" s="443"/>
      <c r="D355" s="330"/>
      <c r="E355" s="330"/>
      <c r="F355" s="330"/>
      <c r="G355" s="330"/>
      <c r="H355" s="330"/>
      <c r="I355" s="330"/>
      <c r="J355" s="330"/>
      <c r="K355" s="330"/>
      <c r="L355" s="82"/>
      <c r="M355" s="80"/>
      <c r="N355" s="82"/>
      <c r="O355" s="80"/>
      <c r="P355" s="82"/>
      <c r="Q355" s="80"/>
      <c r="R355" s="82"/>
      <c r="S355" s="80"/>
      <c r="T355" s="82"/>
      <c r="U355" s="80"/>
      <c r="V355" s="82"/>
      <c r="W355" s="80"/>
      <c r="X355" s="82"/>
      <c r="Y355" s="80"/>
      <c r="Z355" s="210">
        <f t="shared" si="5"/>
        <v>0</v>
      </c>
      <c r="AA355" s="60"/>
      <c r="AB355" s="60"/>
    </row>
    <row r="356" spans="1:28" x14ac:dyDescent="0.25">
      <c r="A356" s="443"/>
      <c r="B356" s="443"/>
      <c r="C356" s="443"/>
      <c r="D356" s="330"/>
      <c r="E356" s="330"/>
      <c r="F356" s="330"/>
      <c r="G356" s="330"/>
      <c r="H356" s="330"/>
      <c r="I356" s="330"/>
      <c r="J356" s="330"/>
      <c r="K356" s="330"/>
      <c r="L356" s="82"/>
      <c r="M356" s="80"/>
      <c r="N356" s="82"/>
      <c r="O356" s="80"/>
      <c r="P356" s="82"/>
      <c r="Q356" s="80"/>
      <c r="R356" s="82"/>
      <c r="S356" s="80"/>
      <c r="T356" s="82"/>
      <c r="U356" s="80"/>
      <c r="V356" s="82"/>
      <c r="W356" s="80"/>
      <c r="X356" s="82"/>
      <c r="Y356" s="80"/>
      <c r="Z356" s="210">
        <f t="shared" si="5"/>
        <v>0</v>
      </c>
      <c r="AA356" s="60"/>
      <c r="AB356" s="60"/>
    </row>
    <row r="357" spans="1:28" x14ac:dyDescent="0.25">
      <c r="A357" s="443"/>
      <c r="B357" s="443"/>
      <c r="C357" s="443"/>
      <c r="D357" s="330"/>
      <c r="E357" s="330"/>
      <c r="F357" s="330"/>
      <c r="G357" s="330"/>
      <c r="H357" s="330"/>
      <c r="I357" s="330"/>
      <c r="J357" s="330"/>
      <c r="K357" s="330"/>
      <c r="L357" s="82"/>
      <c r="M357" s="80"/>
      <c r="N357" s="82"/>
      <c r="O357" s="80"/>
      <c r="P357" s="82"/>
      <c r="Q357" s="80"/>
      <c r="R357" s="82"/>
      <c r="S357" s="80"/>
      <c r="T357" s="82"/>
      <c r="U357" s="80"/>
      <c r="V357" s="82"/>
      <c r="W357" s="80"/>
      <c r="X357" s="82"/>
      <c r="Y357" s="80"/>
      <c r="Z357" s="210">
        <f t="shared" si="5"/>
        <v>0</v>
      </c>
      <c r="AA357" s="60"/>
      <c r="AB357" s="60"/>
    </row>
    <row r="358" spans="1:28" x14ac:dyDescent="0.25">
      <c r="A358" s="443"/>
      <c r="B358" s="443"/>
      <c r="C358" s="443"/>
      <c r="D358" s="330"/>
      <c r="E358" s="330"/>
      <c r="F358" s="330"/>
      <c r="G358" s="330"/>
      <c r="H358" s="330"/>
      <c r="I358" s="330"/>
      <c r="J358" s="330"/>
      <c r="K358" s="330"/>
      <c r="L358" s="82"/>
      <c r="M358" s="80"/>
      <c r="N358" s="82"/>
      <c r="O358" s="80"/>
      <c r="P358" s="82"/>
      <c r="Q358" s="80"/>
      <c r="R358" s="82"/>
      <c r="S358" s="80"/>
      <c r="T358" s="82"/>
      <c r="U358" s="80"/>
      <c r="V358" s="82"/>
      <c r="W358" s="80"/>
      <c r="X358" s="82"/>
      <c r="Y358" s="80"/>
      <c r="Z358" s="210">
        <f t="shared" si="5"/>
        <v>0</v>
      </c>
      <c r="AA358" s="60"/>
      <c r="AB358" s="60"/>
    </row>
    <row r="359" spans="1:28" x14ac:dyDescent="0.25">
      <c r="A359" s="443"/>
      <c r="B359" s="443"/>
      <c r="C359" s="443"/>
      <c r="D359" s="330"/>
      <c r="E359" s="330"/>
      <c r="F359" s="330"/>
      <c r="G359" s="330"/>
      <c r="H359" s="330"/>
      <c r="I359" s="330"/>
      <c r="J359" s="330"/>
      <c r="K359" s="330"/>
      <c r="L359" s="82"/>
      <c r="M359" s="80"/>
      <c r="N359" s="82"/>
      <c r="O359" s="80"/>
      <c r="P359" s="82"/>
      <c r="Q359" s="80"/>
      <c r="R359" s="82"/>
      <c r="S359" s="80"/>
      <c r="T359" s="82"/>
      <c r="U359" s="80"/>
      <c r="V359" s="82"/>
      <c r="W359" s="80"/>
      <c r="X359" s="82"/>
      <c r="Y359" s="80"/>
      <c r="Z359" s="210">
        <f t="shared" si="5"/>
        <v>0</v>
      </c>
      <c r="AA359" s="60"/>
      <c r="AB359" s="60"/>
    </row>
    <row r="360" spans="1:28" x14ac:dyDescent="0.25">
      <c r="A360" s="443"/>
      <c r="B360" s="443"/>
      <c r="C360" s="443"/>
      <c r="D360" s="330"/>
      <c r="E360" s="330"/>
      <c r="F360" s="330"/>
      <c r="G360" s="330"/>
      <c r="H360" s="330"/>
      <c r="I360" s="330"/>
      <c r="J360" s="330"/>
      <c r="K360" s="330"/>
      <c r="L360" s="82"/>
      <c r="M360" s="80"/>
      <c r="N360" s="82"/>
      <c r="O360" s="80"/>
      <c r="P360" s="82"/>
      <c r="Q360" s="80"/>
      <c r="R360" s="82"/>
      <c r="S360" s="80"/>
      <c r="T360" s="82"/>
      <c r="U360" s="80"/>
      <c r="V360" s="82"/>
      <c r="W360" s="80"/>
      <c r="X360" s="82"/>
      <c r="Y360" s="80"/>
      <c r="Z360" s="210">
        <f t="shared" si="5"/>
        <v>0</v>
      </c>
      <c r="AA360" s="60"/>
      <c r="AB360" s="60"/>
    </row>
    <row r="361" spans="1:28" x14ac:dyDescent="0.25">
      <c r="A361" s="443"/>
      <c r="B361" s="443"/>
      <c r="C361" s="443"/>
      <c r="D361" s="330"/>
      <c r="E361" s="330"/>
      <c r="F361" s="330"/>
      <c r="G361" s="330"/>
      <c r="H361" s="330"/>
      <c r="I361" s="330"/>
      <c r="J361" s="330"/>
      <c r="K361" s="330"/>
      <c r="L361" s="82"/>
      <c r="M361" s="80"/>
      <c r="N361" s="82"/>
      <c r="O361" s="80"/>
      <c r="P361" s="82"/>
      <c r="Q361" s="80"/>
      <c r="R361" s="82"/>
      <c r="S361" s="80"/>
      <c r="T361" s="82"/>
      <c r="U361" s="80"/>
      <c r="V361" s="82"/>
      <c r="W361" s="80"/>
      <c r="X361" s="82"/>
      <c r="Y361" s="80"/>
      <c r="Z361" s="210">
        <f t="shared" si="5"/>
        <v>0</v>
      </c>
      <c r="AA361" s="60"/>
      <c r="AB361" s="60"/>
    </row>
    <row r="362" spans="1:28" x14ac:dyDescent="0.25">
      <c r="A362" s="443"/>
      <c r="B362" s="443"/>
      <c r="C362" s="443"/>
      <c r="D362" s="330"/>
      <c r="E362" s="330"/>
      <c r="F362" s="330"/>
      <c r="G362" s="330"/>
      <c r="H362" s="330"/>
      <c r="I362" s="330"/>
      <c r="J362" s="330"/>
      <c r="K362" s="330"/>
      <c r="L362" s="82"/>
      <c r="M362" s="80"/>
      <c r="N362" s="82"/>
      <c r="O362" s="80"/>
      <c r="P362" s="82"/>
      <c r="Q362" s="80"/>
      <c r="R362" s="82"/>
      <c r="S362" s="80"/>
      <c r="T362" s="82"/>
      <c r="U362" s="80"/>
      <c r="V362" s="82"/>
      <c r="W362" s="80"/>
      <c r="X362" s="82"/>
      <c r="Y362" s="80"/>
      <c r="Z362" s="210">
        <f t="shared" si="5"/>
        <v>0</v>
      </c>
      <c r="AA362" s="60"/>
      <c r="AB362" s="60"/>
    </row>
    <row r="363" spans="1:28" x14ac:dyDescent="0.25">
      <c r="A363" s="443"/>
      <c r="B363" s="443"/>
      <c r="C363" s="443"/>
      <c r="D363" s="330"/>
      <c r="E363" s="330"/>
      <c r="F363" s="330"/>
      <c r="G363" s="330"/>
      <c r="H363" s="330"/>
      <c r="I363" s="330"/>
      <c r="J363" s="330"/>
      <c r="K363" s="330"/>
      <c r="L363" s="82"/>
      <c r="M363" s="80"/>
      <c r="N363" s="82"/>
      <c r="O363" s="80"/>
      <c r="P363" s="82"/>
      <c r="Q363" s="80"/>
      <c r="R363" s="82"/>
      <c r="S363" s="80"/>
      <c r="T363" s="82"/>
      <c r="U363" s="80"/>
      <c r="V363" s="82"/>
      <c r="W363" s="80"/>
      <c r="X363" s="82"/>
      <c r="Y363" s="80"/>
      <c r="Z363" s="210">
        <f t="shared" si="5"/>
        <v>0</v>
      </c>
      <c r="AA363" s="60"/>
      <c r="AB363" s="60"/>
    </row>
    <row r="364" spans="1:28" x14ac:dyDescent="0.25">
      <c r="A364" s="443"/>
      <c r="B364" s="443"/>
      <c r="C364" s="443"/>
      <c r="D364" s="330"/>
      <c r="E364" s="330"/>
      <c r="F364" s="330"/>
      <c r="G364" s="330"/>
      <c r="H364" s="330"/>
      <c r="I364" s="330"/>
      <c r="J364" s="330"/>
      <c r="K364" s="330"/>
      <c r="L364" s="82"/>
      <c r="M364" s="80"/>
      <c r="N364" s="82"/>
      <c r="O364" s="80"/>
      <c r="P364" s="82"/>
      <c r="Q364" s="80"/>
      <c r="R364" s="82"/>
      <c r="S364" s="80"/>
      <c r="T364" s="82"/>
      <c r="U364" s="80"/>
      <c r="V364" s="82"/>
      <c r="W364" s="80"/>
      <c r="X364" s="82"/>
      <c r="Y364" s="80"/>
      <c r="Z364" s="210">
        <f t="shared" si="5"/>
        <v>0</v>
      </c>
      <c r="AA364" s="60"/>
      <c r="AB364" s="60"/>
    </row>
    <row r="365" spans="1:28" x14ac:dyDescent="0.25">
      <c r="A365" s="443"/>
      <c r="B365" s="443"/>
      <c r="C365" s="443"/>
      <c r="D365" s="330"/>
      <c r="E365" s="330"/>
      <c r="F365" s="330"/>
      <c r="G365" s="330"/>
      <c r="H365" s="330"/>
      <c r="I365" s="330"/>
      <c r="J365" s="330"/>
      <c r="K365" s="330"/>
      <c r="L365" s="82"/>
      <c r="M365" s="80"/>
      <c r="N365" s="82"/>
      <c r="O365" s="80"/>
      <c r="P365" s="82"/>
      <c r="Q365" s="80"/>
      <c r="R365" s="82"/>
      <c r="S365" s="80"/>
      <c r="T365" s="82"/>
      <c r="U365" s="80"/>
      <c r="V365" s="82"/>
      <c r="W365" s="80"/>
      <c r="X365" s="82"/>
      <c r="Y365" s="80"/>
      <c r="Z365" s="210">
        <f t="shared" si="5"/>
        <v>0</v>
      </c>
      <c r="AA365" s="60"/>
      <c r="AB365" s="60"/>
    </row>
    <row r="366" spans="1:28" x14ac:dyDescent="0.25">
      <c r="A366" s="443"/>
      <c r="B366" s="443"/>
      <c r="C366" s="443"/>
      <c r="D366" s="330"/>
      <c r="E366" s="330"/>
      <c r="F366" s="330"/>
      <c r="G366" s="330"/>
      <c r="H366" s="330"/>
      <c r="I366" s="330"/>
      <c r="J366" s="330"/>
      <c r="K366" s="330"/>
      <c r="L366" s="82"/>
      <c r="M366" s="80"/>
      <c r="N366" s="82"/>
      <c r="O366" s="80"/>
      <c r="P366" s="82"/>
      <c r="Q366" s="80"/>
      <c r="R366" s="82"/>
      <c r="S366" s="80"/>
      <c r="T366" s="82"/>
      <c r="U366" s="80"/>
      <c r="V366" s="82"/>
      <c r="W366" s="80"/>
      <c r="X366" s="82"/>
      <c r="Y366" s="80"/>
      <c r="Z366" s="210">
        <f t="shared" si="5"/>
        <v>0</v>
      </c>
      <c r="AA366" s="60"/>
      <c r="AB366" s="60"/>
    </row>
    <row r="367" spans="1:28" x14ac:dyDescent="0.25">
      <c r="A367" s="443"/>
      <c r="B367" s="443"/>
      <c r="C367" s="443"/>
      <c r="D367" s="330"/>
      <c r="E367" s="330"/>
      <c r="F367" s="330"/>
      <c r="G367" s="330"/>
      <c r="H367" s="330"/>
      <c r="I367" s="330"/>
      <c r="J367" s="330"/>
      <c r="K367" s="330"/>
      <c r="L367" s="82"/>
      <c r="M367" s="80"/>
      <c r="N367" s="82"/>
      <c r="O367" s="80"/>
      <c r="P367" s="82"/>
      <c r="Q367" s="80"/>
      <c r="R367" s="82"/>
      <c r="S367" s="80"/>
      <c r="T367" s="82"/>
      <c r="U367" s="80"/>
      <c r="V367" s="82"/>
      <c r="W367" s="80"/>
      <c r="X367" s="82"/>
      <c r="Y367" s="80"/>
      <c r="Z367" s="210">
        <f t="shared" si="5"/>
        <v>0</v>
      </c>
      <c r="AA367" s="60"/>
      <c r="AB367" s="60"/>
    </row>
    <row r="368" spans="1:28" x14ac:dyDescent="0.25">
      <c r="A368" s="443"/>
      <c r="B368" s="443"/>
      <c r="C368" s="443"/>
      <c r="D368" s="330"/>
      <c r="E368" s="330"/>
      <c r="F368" s="330"/>
      <c r="G368" s="330"/>
      <c r="H368" s="330"/>
      <c r="I368" s="330"/>
      <c r="J368" s="330"/>
      <c r="K368" s="330"/>
      <c r="L368" s="82"/>
      <c r="M368" s="80"/>
      <c r="N368" s="82"/>
      <c r="O368" s="80"/>
      <c r="P368" s="82"/>
      <c r="Q368" s="80"/>
      <c r="R368" s="82"/>
      <c r="S368" s="80"/>
      <c r="T368" s="82"/>
      <c r="U368" s="80"/>
      <c r="V368" s="82"/>
      <c r="W368" s="80"/>
      <c r="X368" s="82"/>
      <c r="Y368" s="80"/>
      <c r="Z368" s="210">
        <f t="shared" si="5"/>
        <v>0</v>
      </c>
      <c r="AA368" s="60"/>
      <c r="AB368" s="60"/>
    </row>
    <row r="369" spans="1:28" x14ac:dyDescent="0.25">
      <c r="A369" s="443"/>
      <c r="B369" s="443"/>
      <c r="C369" s="443"/>
      <c r="D369" s="330"/>
      <c r="E369" s="330"/>
      <c r="F369" s="330"/>
      <c r="G369" s="330"/>
      <c r="H369" s="330"/>
      <c r="I369" s="330"/>
      <c r="J369" s="330"/>
      <c r="K369" s="330"/>
      <c r="L369" s="82"/>
      <c r="M369" s="80"/>
      <c r="N369" s="82"/>
      <c r="O369" s="80"/>
      <c r="P369" s="82"/>
      <c r="Q369" s="80"/>
      <c r="R369" s="82"/>
      <c r="S369" s="80"/>
      <c r="T369" s="82"/>
      <c r="U369" s="80"/>
      <c r="V369" s="82"/>
      <c r="W369" s="80"/>
      <c r="X369" s="82"/>
      <c r="Y369" s="80"/>
      <c r="Z369" s="210">
        <f t="shared" si="5"/>
        <v>0</v>
      </c>
      <c r="AA369" s="60"/>
      <c r="AB369" s="60"/>
    </row>
    <row r="370" spans="1:28" x14ac:dyDescent="0.25">
      <c r="A370" s="443"/>
      <c r="B370" s="443"/>
      <c r="C370" s="443"/>
      <c r="D370" s="330"/>
      <c r="E370" s="330"/>
      <c r="F370" s="330"/>
      <c r="G370" s="330"/>
      <c r="H370" s="330"/>
      <c r="I370" s="330"/>
      <c r="J370" s="330"/>
      <c r="K370" s="330"/>
      <c r="L370" s="82"/>
      <c r="M370" s="80"/>
      <c r="N370" s="82"/>
      <c r="O370" s="80"/>
      <c r="P370" s="82"/>
      <c r="Q370" s="80"/>
      <c r="R370" s="82"/>
      <c r="S370" s="80"/>
      <c r="T370" s="82"/>
      <c r="U370" s="80"/>
      <c r="V370" s="82"/>
      <c r="W370" s="80"/>
      <c r="X370" s="82"/>
      <c r="Y370" s="80"/>
      <c r="Z370" s="210">
        <f t="shared" si="5"/>
        <v>0</v>
      </c>
      <c r="AA370" s="60"/>
      <c r="AB370" s="60"/>
    </row>
    <row r="371" spans="1:28" x14ac:dyDescent="0.25">
      <c r="A371" s="443"/>
      <c r="B371" s="443"/>
      <c r="C371" s="443"/>
      <c r="D371" s="330"/>
      <c r="E371" s="330"/>
      <c r="F371" s="330"/>
      <c r="G371" s="330"/>
      <c r="H371" s="330"/>
      <c r="I371" s="330"/>
      <c r="J371" s="330"/>
      <c r="K371" s="330"/>
      <c r="L371" s="82"/>
      <c r="M371" s="80"/>
      <c r="N371" s="82"/>
      <c r="O371" s="80"/>
      <c r="P371" s="82"/>
      <c r="Q371" s="80"/>
      <c r="R371" s="82"/>
      <c r="S371" s="80"/>
      <c r="T371" s="82"/>
      <c r="U371" s="80"/>
      <c r="V371" s="82"/>
      <c r="W371" s="80"/>
      <c r="X371" s="82"/>
      <c r="Y371" s="80"/>
      <c r="Z371" s="210">
        <f t="shared" si="5"/>
        <v>0</v>
      </c>
      <c r="AA371" s="60"/>
      <c r="AB371" s="60"/>
    </row>
    <row r="372" spans="1:28" x14ac:dyDescent="0.25">
      <c r="A372" s="443"/>
      <c r="B372" s="443"/>
      <c r="C372" s="443"/>
      <c r="D372" s="330"/>
      <c r="E372" s="330"/>
      <c r="F372" s="330"/>
      <c r="G372" s="330"/>
      <c r="H372" s="330"/>
      <c r="I372" s="330"/>
      <c r="J372" s="330"/>
      <c r="K372" s="330"/>
      <c r="L372" s="82"/>
      <c r="M372" s="80"/>
      <c r="N372" s="82"/>
      <c r="O372" s="80"/>
      <c r="P372" s="82"/>
      <c r="Q372" s="80"/>
      <c r="R372" s="82"/>
      <c r="S372" s="80"/>
      <c r="T372" s="82"/>
      <c r="U372" s="80"/>
      <c r="V372" s="82"/>
      <c r="W372" s="80"/>
      <c r="X372" s="82"/>
      <c r="Y372" s="80"/>
      <c r="Z372" s="210">
        <f t="shared" si="5"/>
        <v>0</v>
      </c>
      <c r="AA372" s="60"/>
      <c r="AB372" s="60"/>
    </row>
    <row r="373" spans="1:28" x14ac:dyDescent="0.25">
      <c r="A373" s="443"/>
      <c r="B373" s="443"/>
      <c r="C373" s="443"/>
      <c r="D373" s="330"/>
      <c r="E373" s="330"/>
      <c r="F373" s="330"/>
      <c r="G373" s="330"/>
      <c r="H373" s="330"/>
      <c r="I373" s="330"/>
      <c r="J373" s="330"/>
      <c r="K373" s="330"/>
      <c r="L373" s="82"/>
      <c r="M373" s="80"/>
      <c r="N373" s="82"/>
      <c r="O373" s="80"/>
      <c r="P373" s="82"/>
      <c r="Q373" s="80"/>
      <c r="R373" s="82"/>
      <c r="S373" s="80"/>
      <c r="T373" s="82"/>
      <c r="U373" s="80"/>
      <c r="V373" s="82"/>
      <c r="W373" s="80"/>
      <c r="X373" s="82"/>
      <c r="Y373" s="80"/>
      <c r="Z373" s="210">
        <f t="shared" si="5"/>
        <v>0</v>
      </c>
      <c r="AA373" s="60"/>
      <c r="AB373" s="60"/>
    </row>
    <row r="374" spans="1:28" x14ac:dyDescent="0.25">
      <c r="A374" s="443"/>
      <c r="B374" s="443"/>
      <c r="C374" s="443"/>
      <c r="D374" s="330"/>
      <c r="E374" s="330"/>
      <c r="F374" s="330"/>
      <c r="G374" s="330"/>
      <c r="H374" s="330"/>
      <c r="I374" s="330"/>
      <c r="J374" s="330"/>
      <c r="K374" s="330"/>
      <c r="L374" s="82"/>
      <c r="M374" s="80"/>
      <c r="N374" s="82"/>
      <c r="O374" s="80"/>
      <c r="P374" s="82"/>
      <c r="Q374" s="80"/>
      <c r="R374" s="82"/>
      <c r="S374" s="80"/>
      <c r="T374" s="82"/>
      <c r="U374" s="80"/>
      <c r="V374" s="82"/>
      <c r="W374" s="80"/>
      <c r="X374" s="82"/>
      <c r="Y374" s="80"/>
      <c r="Z374" s="210">
        <f t="shared" si="5"/>
        <v>0</v>
      </c>
      <c r="AA374" s="60"/>
      <c r="AB374" s="60"/>
    </row>
    <row r="375" spans="1:28" x14ac:dyDescent="0.25">
      <c r="A375" s="443"/>
      <c r="B375" s="443"/>
      <c r="C375" s="443"/>
      <c r="D375" s="330"/>
      <c r="E375" s="330"/>
      <c r="F375" s="330"/>
      <c r="G375" s="330"/>
      <c r="H375" s="330"/>
      <c r="I375" s="330"/>
      <c r="J375" s="330"/>
      <c r="K375" s="330"/>
      <c r="L375" s="82"/>
      <c r="M375" s="80"/>
      <c r="N375" s="82"/>
      <c r="O375" s="80"/>
      <c r="P375" s="82"/>
      <c r="Q375" s="80"/>
      <c r="R375" s="82"/>
      <c r="S375" s="80"/>
      <c r="T375" s="82"/>
      <c r="U375" s="80"/>
      <c r="V375" s="82"/>
      <c r="W375" s="80"/>
      <c r="X375" s="82"/>
      <c r="Y375" s="80"/>
      <c r="Z375" s="210">
        <f t="shared" si="5"/>
        <v>0</v>
      </c>
      <c r="AA375" s="60"/>
      <c r="AB375" s="60"/>
    </row>
    <row r="376" spans="1:28" x14ac:dyDescent="0.25">
      <c r="A376" s="443"/>
      <c r="B376" s="443"/>
      <c r="C376" s="443"/>
      <c r="D376" s="330"/>
      <c r="E376" s="330"/>
      <c r="F376" s="330"/>
      <c r="G376" s="330"/>
      <c r="H376" s="330"/>
      <c r="I376" s="330"/>
      <c r="J376" s="330"/>
      <c r="K376" s="330"/>
      <c r="L376" s="82"/>
      <c r="M376" s="80"/>
      <c r="N376" s="82"/>
      <c r="O376" s="80"/>
      <c r="P376" s="82"/>
      <c r="Q376" s="80"/>
      <c r="R376" s="82"/>
      <c r="S376" s="80"/>
      <c r="T376" s="82"/>
      <c r="U376" s="80"/>
      <c r="V376" s="82"/>
      <c r="W376" s="80"/>
      <c r="X376" s="82"/>
      <c r="Y376" s="80"/>
      <c r="Z376" s="210">
        <f t="shared" si="5"/>
        <v>0</v>
      </c>
      <c r="AA376" s="60"/>
      <c r="AB376" s="60"/>
    </row>
    <row r="377" spans="1:28" x14ac:dyDescent="0.25">
      <c r="A377" s="443"/>
      <c r="B377" s="443"/>
      <c r="C377" s="443"/>
      <c r="D377" s="330"/>
      <c r="E377" s="330"/>
      <c r="F377" s="330"/>
      <c r="G377" s="330"/>
      <c r="H377" s="330"/>
      <c r="I377" s="330"/>
      <c r="J377" s="330"/>
      <c r="K377" s="330"/>
      <c r="L377" s="82"/>
      <c r="M377" s="80"/>
      <c r="N377" s="82"/>
      <c r="O377" s="80"/>
      <c r="P377" s="82"/>
      <c r="Q377" s="80"/>
      <c r="R377" s="82"/>
      <c r="S377" s="80"/>
      <c r="T377" s="82"/>
      <c r="U377" s="80"/>
      <c r="V377" s="82"/>
      <c r="W377" s="80"/>
      <c r="X377" s="82"/>
      <c r="Y377" s="80"/>
      <c r="Z377" s="210">
        <f t="shared" si="5"/>
        <v>0</v>
      </c>
      <c r="AA377" s="60"/>
      <c r="AB377" s="60"/>
    </row>
    <row r="378" spans="1:28" x14ac:dyDescent="0.25">
      <c r="A378" s="443"/>
      <c r="B378" s="443"/>
      <c r="C378" s="443"/>
      <c r="D378" s="330"/>
      <c r="E378" s="330"/>
      <c r="F378" s="330"/>
      <c r="G378" s="330"/>
      <c r="H378" s="330"/>
      <c r="I378" s="330"/>
      <c r="J378" s="330"/>
      <c r="K378" s="330"/>
      <c r="L378" s="82"/>
      <c r="M378" s="80"/>
      <c r="N378" s="82"/>
      <c r="O378" s="80"/>
      <c r="P378" s="82"/>
      <c r="Q378" s="80"/>
      <c r="R378" s="82"/>
      <c r="S378" s="80"/>
      <c r="T378" s="82"/>
      <c r="U378" s="80"/>
      <c r="V378" s="82"/>
      <c r="W378" s="80"/>
      <c r="X378" s="82"/>
      <c r="Y378" s="80"/>
      <c r="Z378" s="210">
        <f t="shared" si="5"/>
        <v>0</v>
      </c>
      <c r="AA378" s="60"/>
      <c r="AB378" s="60"/>
    </row>
    <row r="379" spans="1:28" x14ac:dyDescent="0.25">
      <c r="A379" s="443"/>
      <c r="B379" s="443"/>
      <c r="C379" s="443"/>
      <c r="D379" s="330"/>
      <c r="E379" s="330"/>
      <c r="F379" s="330"/>
      <c r="G379" s="330"/>
      <c r="H379" s="330"/>
      <c r="I379" s="330"/>
      <c r="J379" s="330"/>
      <c r="K379" s="330"/>
      <c r="L379" s="82"/>
      <c r="M379" s="80"/>
      <c r="N379" s="82"/>
      <c r="O379" s="80"/>
      <c r="P379" s="82"/>
      <c r="Q379" s="80"/>
      <c r="R379" s="82"/>
      <c r="S379" s="80"/>
      <c r="T379" s="82"/>
      <c r="U379" s="80"/>
      <c r="V379" s="82"/>
      <c r="W379" s="80"/>
      <c r="X379" s="82"/>
      <c r="Y379" s="80"/>
      <c r="Z379" s="210">
        <f t="shared" si="5"/>
        <v>0</v>
      </c>
      <c r="AA379" s="60"/>
      <c r="AB379" s="60"/>
    </row>
    <row r="380" spans="1:28" x14ac:dyDescent="0.25">
      <c r="A380" s="443"/>
      <c r="B380" s="443"/>
      <c r="C380" s="443"/>
      <c r="D380" s="330"/>
      <c r="E380" s="330"/>
      <c r="F380" s="330"/>
      <c r="G380" s="330"/>
      <c r="H380" s="330"/>
      <c r="I380" s="330"/>
      <c r="J380" s="330"/>
      <c r="K380" s="330"/>
      <c r="L380" s="82"/>
      <c r="M380" s="80"/>
      <c r="N380" s="82"/>
      <c r="O380" s="80"/>
      <c r="P380" s="82"/>
      <c r="Q380" s="80"/>
      <c r="R380" s="82"/>
      <c r="S380" s="80"/>
      <c r="T380" s="82"/>
      <c r="U380" s="80"/>
      <c r="V380" s="82"/>
      <c r="W380" s="80"/>
      <c r="X380" s="82"/>
      <c r="Y380" s="80"/>
      <c r="Z380" s="210">
        <f t="shared" si="5"/>
        <v>0</v>
      </c>
      <c r="AA380" s="60"/>
      <c r="AB380" s="60"/>
    </row>
    <row r="381" spans="1:28" x14ac:dyDescent="0.25">
      <c r="A381" s="443"/>
      <c r="B381" s="443"/>
      <c r="C381" s="443"/>
      <c r="D381" s="330"/>
      <c r="E381" s="330"/>
      <c r="F381" s="330"/>
      <c r="G381" s="330"/>
      <c r="H381" s="330"/>
      <c r="I381" s="330"/>
      <c r="J381" s="330"/>
      <c r="K381" s="330"/>
      <c r="L381" s="82"/>
      <c r="M381" s="80"/>
      <c r="N381" s="82"/>
      <c r="O381" s="80"/>
      <c r="P381" s="82"/>
      <c r="Q381" s="80"/>
      <c r="R381" s="82"/>
      <c r="S381" s="80"/>
      <c r="T381" s="82"/>
      <c r="U381" s="80"/>
      <c r="V381" s="82"/>
      <c r="W381" s="80"/>
      <c r="X381" s="82"/>
      <c r="Y381" s="80"/>
      <c r="Z381" s="210">
        <f t="shared" si="5"/>
        <v>0</v>
      </c>
      <c r="AA381" s="60"/>
      <c r="AB381" s="60"/>
    </row>
    <row r="382" spans="1:28" x14ac:dyDescent="0.25">
      <c r="A382" s="443"/>
      <c r="B382" s="443"/>
      <c r="C382" s="443"/>
      <c r="D382" s="330"/>
      <c r="E382" s="330"/>
      <c r="F382" s="330"/>
      <c r="G382" s="330"/>
      <c r="H382" s="330"/>
      <c r="I382" s="330"/>
      <c r="J382" s="330"/>
      <c r="K382" s="330"/>
      <c r="L382" s="82"/>
      <c r="M382" s="80"/>
      <c r="N382" s="82"/>
      <c r="O382" s="80"/>
      <c r="P382" s="82"/>
      <c r="Q382" s="80"/>
      <c r="R382" s="82"/>
      <c r="S382" s="80"/>
      <c r="T382" s="82"/>
      <c r="U382" s="80"/>
      <c r="V382" s="82"/>
      <c r="W382" s="80"/>
      <c r="X382" s="82"/>
      <c r="Y382" s="80"/>
      <c r="Z382" s="210">
        <f t="shared" si="5"/>
        <v>0</v>
      </c>
      <c r="AA382" s="60"/>
      <c r="AB382" s="60"/>
    </row>
    <row r="383" spans="1:28" x14ac:dyDescent="0.25">
      <c r="A383" s="443"/>
      <c r="B383" s="443"/>
      <c r="C383" s="443"/>
      <c r="D383" s="330"/>
      <c r="E383" s="330"/>
      <c r="F383" s="330"/>
      <c r="G383" s="330"/>
      <c r="H383" s="330"/>
      <c r="I383" s="330"/>
      <c r="J383" s="330"/>
      <c r="K383" s="330"/>
      <c r="L383" s="82"/>
      <c r="M383" s="80"/>
      <c r="N383" s="82"/>
      <c r="O383" s="80"/>
      <c r="P383" s="82"/>
      <c r="Q383" s="80"/>
      <c r="R383" s="82"/>
      <c r="S383" s="80"/>
      <c r="T383" s="82"/>
      <c r="U383" s="80"/>
      <c r="V383" s="82"/>
      <c r="W383" s="80"/>
      <c r="X383" s="82"/>
      <c r="Y383" s="80"/>
      <c r="Z383" s="210">
        <f t="shared" si="5"/>
        <v>0</v>
      </c>
      <c r="AA383" s="60"/>
      <c r="AB383" s="60"/>
    </row>
    <row r="384" spans="1:28" x14ac:dyDescent="0.25">
      <c r="A384" s="443"/>
      <c r="B384" s="443"/>
      <c r="C384" s="443"/>
      <c r="D384" s="330"/>
      <c r="E384" s="330"/>
      <c r="F384" s="330"/>
      <c r="G384" s="330"/>
      <c r="H384" s="330"/>
      <c r="I384" s="330"/>
      <c r="J384" s="330"/>
      <c r="K384" s="330"/>
      <c r="L384" s="82"/>
      <c r="M384" s="80"/>
      <c r="N384" s="82"/>
      <c r="O384" s="80"/>
      <c r="P384" s="82"/>
      <c r="Q384" s="80"/>
      <c r="R384" s="82"/>
      <c r="S384" s="80"/>
      <c r="T384" s="82"/>
      <c r="U384" s="80"/>
      <c r="V384" s="82"/>
      <c r="W384" s="80"/>
      <c r="X384" s="82"/>
      <c r="Y384" s="80"/>
      <c r="Z384" s="210">
        <f t="shared" si="5"/>
        <v>0</v>
      </c>
      <c r="AA384" s="60"/>
      <c r="AB384" s="60"/>
    </row>
    <row r="385" spans="1:28" x14ac:dyDescent="0.25">
      <c r="A385" s="443"/>
      <c r="B385" s="443"/>
      <c r="C385" s="443"/>
      <c r="D385" s="330"/>
      <c r="E385" s="330"/>
      <c r="F385" s="330"/>
      <c r="G385" s="330"/>
      <c r="H385" s="330"/>
      <c r="I385" s="330"/>
      <c r="J385" s="330"/>
      <c r="K385" s="330"/>
      <c r="L385" s="82"/>
      <c r="M385" s="80"/>
      <c r="N385" s="82"/>
      <c r="O385" s="80"/>
      <c r="P385" s="82"/>
      <c r="Q385" s="80"/>
      <c r="R385" s="82"/>
      <c r="S385" s="80"/>
      <c r="T385" s="82"/>
      <c r="U385" s="80"/>
      <c r="V385" s="82"/>
      <c r="W385" s="80"/>
      <c r="X385" s="82"/>
      <c r="Y385" s="80"/>
      <c r="Z385" s="210">
        <f t="shared" si="5"/>
        <v>0</v>
      </c>
      <c r="AA385" s="60"/>
      <c r="AB385" s="60"/>
    </row>
    <row r="386" spans="1:28" x14ac:dyDescent="0.25">
      <c r="A386" s="443"/>
      <c r="B386" s="443"/>
      <c r="C386" s="443"/>
      <c r="D386" s="330"/>
      <c r="E386" s="330"/>
      <c r="F386" s="330"/>
      <c r="G386" s="330"/>
      <c r="H386" s="330"/>
      <c r="I386" s="330"/>
      <c r="J386" s="330"/>
      <c r="K386" s="330"/>
      <c r="L386" s="82"/>
      <c r="M386" s="80"/>
      <c r="N386" s="82"/>
      <c r="O386" s="80"/>
      <c r="P386" s="82"/>
      <c r="Q386" s="80"/>
      <c r="R386" s="82"/>
      <c r="S386" s="80"/>
      <c r="T386" s="82"/>
      <c r="U386" s="80"/>
      <c r="V386" s="82"/>
      <c r="W386" s="80"/>
      <c r="X386" s="82"/>
      <c r="Y386" s="80"/>
      <c r="Z386" s="210">
        <f t="shared" si="5"/>
        <v>0</v>
      </c>
      <c r="AA386" s="60"/>
      <c r="AB386" s="60"/>
    </row>
    <row r="387" spans="1:28" x14ac:dyDescent="0.25">
      <c r="A387" s="443"/>
      <c r="B387" s="443"/>
      <c r="C387" s="443"/>
      <c r="D387" s="330"/>
      <c r="E387" s="330"/>
      <c r="F387" s="330"/>
      <c r="G387" s="330"/>
      <c r="H387" s="330"/>
      <c r="I387" s="330"/>
      <c r="J387" s="330"/>
      <c r="K387" s="330"/>
      <c r="L387" s="82"/>
      <c r="M387" s="80"/>
      <c r="N387" s="82"/>
      <c r="O387" s="80"/>
      <c r="P387" s="82"/>
      <c r="Q387" s="80"/>
      <c r="R387" s="82"/>
      <c r="S387" s="80"/>
      <c r="T387" s="82"/>
      <c r="U387" s="80"/>
      <c r="V387" s="82"/>
      <c r="W387" s="80"/>
      <c r="X387" s="82"/>
      <c r="Y387" s="80"/>
      <c r="Z387" s="210">
        <f t="shared" si="5"/>
        <v>0</v>
      </c>
      <c r="AA387" s="60"/>
      <c r="AB387" s="60"/>
    </row>
    <row r="388" spans="1:28" x14ac:dyDescent="0.25">
      <c r="A388" s="443"/>
      <c r="B388" s="443"/>
      <c r="C388" s="443"/>
      <c r="D388" s="330"/>
      <c r="E388" s="330"/>
      <c r="F388" s="330"/>
      <c r="G388" s="330"/>
      <c r="H388" s="330"/>
      <c r="I388" s="330"/>
      <c r="J388" s="330"/>
      <c r="K388" s="330"/>
      <c r="L388" s="82"/>
      <c r="M388" s="80"/>
      <c r="N388" s="82"/>
      <c r="O388" s="80"/>
      <c r="P388" s="82"/>
      <c r="Q388" s="80"/>
      <c r="R388" s="82"/>
      <c r="S388" s="80"/>
      <c r="T388" s="82"/>
      <c r="U388" s="80"/>
      <c r="V388" s="82"/>
      <c r="W388" s="80"/>
      <c r="X388" s="82"/>
      <c r="Y388" s="80"/>
      <c r="Z388" s="210">
        <f t="shared" si="5"/>
        <v>0</v>
      </c>
      <c r="AA388" s="60"/>
      <c r="AB388" s="60"/>
    </row>
    <row r="389" spans="1:28" x14ac:dyDescent="0.25">
      <c r="A389" s="443"/>
      <c r="B389" s="443"/>
      <c r="C389" s="443"/>
      <c r="D389" s="330"/>
      <c r="E389" s="330"/>
      <c r="F389" s="330"/>
      <c r="G389" s="330"/>
      <c r="H389" s="330"/>
      <c r="I389" s="330"/>
      <c r="J389" s="330"/>
      <c r="K389" s="330"/>
      <c r="L389" s="82"/>
      <c r="M389" s="80"/>
      <c r="N389" s="82"/>
      <c r="O389" s="80"/>
      <c r="P389" s="82"/>
      <c r="Q389" s="80"/>
      <c r="R389" s="82"/>
      <c r="S389" s="80"/>
      <c r="T389" s="82"/>
      <c r="U389" s="80"/>
      <c r="V389" s="82"/>
      <c r="W389" s="80"/>
      <c r="X389" s="82"/>
      <c r="Y389" s="80"/>
      <c r="Z389" s="210">
        <f t="shared" si="5"/>
        <v>0</v>
      </c>
      <c r="AA389" s="60"/>
      <c r="AB389" s="60"/>
    </row>
    <row r="390" spans="1:28" x14ac:dyDescent="0.25">
      <c r="A390" s="443"/>
      <c r="B390" s="443"/>
      <c r="C390" s="443"/>
      <c r="D390" s="330"/>
      <c r="E390" s="330"/>
      <c r="F390" s="330"/>
      <c r="G390" s="330"/>
      <c r="H390" s="330"/>
      <c r="I390" s="330"/>
      <c r="J390" s="330"/>
      <c r="K390" s="330"/>
      <c r="L390" s="82"/>
      <c r="M390" s="80"/>
      <c r="N390" s="82"/>
      <c r="O390" s="80"/>
      <c r="P390" s="82"/>
      <c r="Q390" s="80"/>
      <c r="R390" s="82"/>
      <c r="S390" s="80"/>
      <c r="T390" s="82"/>
      <c r="U390" s="80"/>
      <c r="V390" s="82"/>
      <c r="W390" s="80"/>
      <c r="X390" s="82"/>
      <c r="Y390" s="80"/>
      <c r="Z390" s="210">
        <f t="shared" si="5"/>
        <v>0</v>
      </c>
      <c r="AA390" s="60"/>
      <c r="AB390" s="60"/>
    </row>
    <row r="391" spans="1:28" x14ac:dyDescent="0.25">
      <c r="A391" s="443"/>
      <c r="B391" s="443"/>
      <c r="C391" s="443"/>
      <c r="D391" s="330"/>
      <c r="E391" s="330"/>
      <c r="F391" s="330"/>
      <c r="G391" s="330"/>
      <c r="H391" s="330"/>
      <c r="I391" s="330"/>
      <c r="J391" s="330"/>
      <c r="K391" s="330"/>
      <c r="L391" s="82"/>
      <c r="M391" s="80"/>
      <c r="N391" s="82"/>
      <c r="O391" s="80"/>
      <c r="P391" s="82"/>
      <c r="Q391" s="80"/>
      <c r="R391" s="82"/>
      <c r="S391" s="80"/>
      <c r="T391" s="82"/>
      <c r="U391" s="80"/>
      <c r="V391" s="82"/>
      <c r="W391" s="80"/>
      <c r="X391" s="82"/>
      <c r="Y391" s="80"/>
      <c r="Z391" s="210">
        <f t="shared" si="5"/>
        <v>0</v>
      </c>
      <c r="AA391" s="60"/>
      <c r="AB391" s="60"/>
    </row>
    <row r="392" spans="1:28" x14ac:dyDescent="0.25">
      <c r="A392" s="443"/>
      <c r="B392" s="443"/>
      <c r="C392" s="443"/>
      <c r="D392" s="330"/>
      <c r="E392" s="330"/>
      <c r="F392" s="330"/>
      <c r="G392" s="330"/>
      <c r="H392" s="330"/>
      <c r="I392" s="330"/>
      <c r="J392" s="330"/>
      <c r="K392" s="330"/>
      <c r="L392" s="82"/>
      <c r="M392" s="80"/>
      <c r="N392" s="82"/>
      <c r="O392" s="80"/>
      <c r="P392" s="82"/>
      <c r="Q392" s="80"/>
      <c r="R392" s="82"/>
      <c r="S392" s="80"/>
      <c r="T392" s="82"/>
      <c r="U392" s="80"/>
      <c r="V392" s="82"/>
      <c r="W392" s="80"/>
      <c r="X392" s="82"/>
      <c r="Y392" s="80"/>
      <c r="Z392" s="210">
        <f t="shared" si="5"/>
        <v>0</v>
      </c>
      <c r="AA392" s="60"/>
      <c r="AB392" s="60"/>
    </row>
    <row r="393" spans="1:28" x14ac:dyDescent="0.25">
      <c r="A393" s="443"/>
      <c r="B393" s="443"/>
      <c r="C393" s="443"/>
      <c r="D393" s="330"/>
      <c r="E393" s="330"/>
      <c r="F393" s="330"/>
      <c r="G393" s="330"/>
      <c r="H393" s="330"/>
      <c r="I393" s="330"/>
      <c r="J393" s="330"/>
      <c r="K393" s="330"/>
      <c r="L393" s="82"/>
      <c r="M393" s="80"/>
      <c r="N393" s="82"/>
      <c r="O393" s="80"/>
      <c r="P393" s="82"/>
      <c r="Q393" s="80"/>
      <c r="R393" s="82"/>
      <c r="S393" s="80"/>
      <c r="T393" s="82"/>
      <c r="U393" s="80"/>
      <c r="V393" s="82"/>
      <c r="W393" s="80"/>
      <c r="X393" s="82"/>
      <c r="Y393" s="80"/>
      <c r="Z393" s="210">
        <f t="shared" si="5"/>
        <v>0</v>
      </c>
      <c r="AA393" s="60"/>
      <c r="AB393" s="60"/>
    </row>
    <row r="394" spans="1:28" x14ac:dyDescent="0.25">
      <c r="A394" s="443"/>
      <c r="B394" s="443"/>
      <c r="C394" s="443"/>
      <c r="D394" s="330"/>
      <c r="E394" s="330"/>
      <c r="F394" s="330"/>
      <c r="G394" s="330"/>
      <c r="H394" s="330"/>
      <c r="I394" s="330"/>
      <c r="J394" s="330"/>
      <c r="K394" s="330"/>
      <c r="L394" s="82"/>
      <c r="M394" s="80"/>
      <c r="N394" s="82"/>
      <c r="O394" s="80"/>
      <c r="P394" s="82"/>
      <c r="Q394" s="80"/>
      <c r="R394" s="82"/>
      <c r="S394" s="80"/>
      <c r="T394" s="82"/>
      <c r="U394" s="80"/>
      <c r="V394" s="82"/>
      <c r="W394" s="80"/>
      <c r="X394" s="82"/>
      <c r="Y394" s="80"/>
      <c r="Z394" s="210">
        <f t="shared" si="5"/>
        <v>0</v>
      </c>
      <c r="AA394" s="60"/>
      <c r="AB394" s="60"/>
    </row>
    <row r="395" spans="1:28" x14ac:dyDescent="0.25">
      <c r="A395" s="443"/>
      <c r="B395" s="443"/>
      <c r="C395" s="443"/>
      <c r="D395" s="330"/>
      <c r="E395" s="330"/>
      <c r="F395" s="330"/>
      <c r="G395" s="330"/>
      <c r="H395" s="330"/>
      <c r="I395" s="330"/>
      <c r="J395" s="330"/>
      <c r="K395" s="330"/>
      <c r="L395" s="82"/>
      <c r="M395" s="80"/>
      <c r="N395" s="82"/>
      <c r="O395" s="80"/>
      <c r="P395" s="82"/>
      <c r="Q395" s="80"/>
      <c r="R395" s="82"/>
      <c r="S395" s="80"/>
      <c r="T395" s="82"/>
      <c r="U395" s="80"/>
      <c r="V395" s="82"/>
      <c r="W395" s="80"/>
      <c r="X395" s="82"/>
      <c r="Y395" s="80"/>
      <c r="Z395" s="210">
        <f t="shared" ref="Z395:Z458" si="6">SUM(L395:Y395)</f>
        <v>0</v>
      </c>
      <c r="AA395" s="60"/>
      <c r="AB395" s="60"/>
    </row>
    <row r="396" spans="1:28" x14ac:dyDescent="0.25">
      <c r="A396" s="443"/>
      <c r="B396" s="443"/>
      <c r="C396" s="443"/>
      <c r="D396" s="330"/>
      <c r="E396" s="330"/>
      <c r="F396" s="330"/>
      <c r="G396" s="330"/>
      <c r="H396" s="330"/>
      <c r="I396" s="330"/>
      <c r="J396" s="330"/>
      <c r="K396" s="330"/>
      <c r="L396" s="82"/>
      <c r="M396" s="80"/>
      <c r="N396" s="82"/>
      <c r="O396" s="80"/>
      <c r="P396" s="82"/>
      <c r="Q396" s="80"/>
      <c r="R396" s="82"/>
      <c r="S396" s="80"/>
      <c r="T396" s="82"/>
      <c r="U396" s="80"/>
      <c r="V396" s="82"/>
      <c r="W396" s="80"/>
      <c r="X396" s="82"/>
      <c r="Y396" s="80"/>
      <c r="Z396" s="210">
        <f t="shared" si="6"/>
        <v>0</v>
      </c>
      <c r="AA396" s="60"/>
      <c r="AB396" s="60"/>
    </row>
    <row r="397" spans="1:28" x14ac:dyDescent="0.25">
      <c r="A397" s="443"/>
      <c r="B397" s="443"/>
      <c r="C397" s="443"/>
      <c r="D397" s="330"/>
      <c r="E397" s="330"/>
      <c r="F397" s="330"/>
      <c r="G397" s="330"/>
      <c r="H397" s="330"/>
      <c r="I397" s="330"/>
      <c r="J397" s="330"/>
      <c r="K397" s="330"/>
      <c r="L397" s="82"/>
      <c r="M397" s="80"/>
      <c r="N397" s="82"/>
      <c r="O397" s="80"/>
      <c r="P397" s="82"/>
      <c r="Q397" s="80"/>
      <c r="R397" s="82"/>
      <c r="S397" s="80"/>
      <c r="T397" s="82"/>
      <c r="U397" s="80"/>
      <c r="V397" s="82"/>
      <c r="W397" s="80"/>
      <c r="X397" s="82"/>
      <c r="Y397" s="80"/>
      <c r="Z397" s="210">
        <f t="shared" si="6"/>
        <v>0</v>
      </c>
      <c r="AA397" s="60"/>
      <c r="AB397" s="60"/>
    </row>
    <row r="398" spans="1:28" x14ac:dyDescent="0.25">
      <c r="A398" s="443"/>
      <c r="B398" s="443"/>
      <c r="C398" s="443"/>
      <c r="D398" s="330"/>
      <c r="E398" s="330"/>
      <c r="F398" s="330"/>
      <c r="G398" s="330"/>
      <c r="H398" s="330"/>
      <c r="I398" s="330"/>
      <c r="J398" s="330"/>
      <c r="K398" s="330"/>
      <c r="L398" s="82"/>
      <c r="M398" s="80"/>
      <c r="N398" s="82"/>
      <c r="O398" s="80"/>
      <c r="P398" s="82"/>
      <c r="Q398" s="80"/>
      <c r="R398" s="82"/>
      <c r="S398" s="80"/>
      <c r="T398" s="82"/>
      <c r="U398" s="80"/>
      <c r="V398" s="82"/>
      <c r="W398" s="80"/>
      <c r="X398" s="82"/>
      <c r="Y398" s="80"/>
      <c r="Z398" s="210">
        <f t="shared" si="6"/>
        <v>0</v>
      </c>
      <c r="AA398" s="60"/>
      <c r="AB398" s="60"/>
    </row>
    <row r="399" spans="1:28" x14ac:dyDescent="0.25">
      <c r="A399" s="443"/>
      <c r="B399" s="443"/>
      <c r="C399" s="443"/>
      <c r="D399" s="330"/>
      <c r="E399" s="330"/>
      <c r="F399" s="330"/>
      <c r="G399" s="330"/>
      <c r="H399" s="330"/>
      <c r="I399" s="330"/>
      <c r="J399" s="330"/>
      <c r="K399" s="330"/>
      <c r="L399" s="82"/>
      <c r="M399" s="80"/>
      <c r="N399" s="82"/>
      <c r="O399" s="80"/>
      <c r="P399" s="82"/>
      <c r="Q399" s="80"/>
      <c r="R399" s="82"/>
      <c r="S399" s="80"/>
      <c r="T399" s="82"/>
      <c r="U399" s="80"/>
      <c r="V399" s="82"/>
      <c r="W399" s="80"/>
      <c r="X399" s="82"/>
      <c r="Y399" s="80"/>
      <c r="Z399" s="210">
        <f t="shared" si="6"/>
        <v>0</v>
      </c>
      <c r="AA399" s="60"/>
      <c r="AB399" s="60"/>
    </row>
    <row r="400" spans="1:28" x14ac:dyDescent="0.25">
      <c r="A400" s="443"/>
      <c r="B400" s="443"/>
      <c r="C400" s="443"/>
      <c r="D400" s="330"/>
      <c r="E400" s="330"/>
      <c r="F400" s="330"/>
      <c r="G400" s="330"/>
      <c r="H400" s="330"/>
      <c r="I400" s="330"/>
      <c r="J400" s="330"/>
      <c r="K400" s="330"/>
      <c r="L400" s="82"/>
      <c r="M400" s="80"/>
      <c r="N400" s="82"/>
      <c r="O400" s="80"/>
      <c r="P400" s="82"/>
      <c r="Q400" s="80"/>
      <c r="R400" s="82"/>
      <c r="S400" s="80"/>
      <c r="T400" s="82"/>
      <c r="U400" s="80"/>
      <c r="V400" s="82"/>
      <c r="W400" s="80"/>
      <c r="X400" s="82"/>
      <c r="Y400" s="80"/>
      <c r="Z400" s="210">
        <f t="shared" si="6"/>
        <v>0</v>
      </c>
      <c r="AA400" s="60"/>
      <c r="AB400" s="60"/>
    </row>
    <row r="401" spans="1:28" x14ac:dyDescent="0.25">
      <c r="A401" s="443"/>
      <c r="B401" s="443"/>
      <c r="C401" s="443"/>
      <c r="D401" s="330"/>
      <c r="E401" s="330"/>
      <c r="F401" s="330"/>
      <c r="G401" s="330"/>
      <c r="H401" s="330"/>
      <c r="I401" s="330"/>
      <c r="J401" s="330"/>
      <c r="K401" s="330"/>
      <c r="L401" s="82"/>
      <c r="M401" s="80"/>
      <c r="N401" s="82"/>
      <c r="O401" s="80"/>
      <c r="P401" s="82"/>
      <c r="Q401" s="80"/>
      <c r="R401" s="82"/>
      <c r="S401" s="80"/>
      <c r="T401" s="82"/>
      <c r="U401" s="80"/>
      <c r="V401" s="82"/>
      <c r="W401" s="80"/>
      <c r="X401" s="82"/>
      <c r="Y401" s="80"/>
      <c r="Z401" s="210">
        <f t="shared" si="6"/>
        <v>0</v>
      </c>
      <c r="AA401" s="60"/>
      <c r="AB401" s="60"/>
    </row>
    <row r="402" spans="1:28" x14ac:dyDescent="0.25">
      <c r="A402" s="443"/>
      <c r="B402" s="443"/>
      <c r="C402" s="443"/>
      <c r="D402" s="330"/>
      <c r="E402" s="330"/>
      <c r="F402" s="330"/>
      <c r="G402" s="330"/>
      <c r="H402" s="330"/>
      <c r="I402" s="330"/>
      <c r="J402" s="330"/>
      <c r="K402" s="330"/>
      <c r="L402" s="82"/>
      <c r="M402" s="80"/>
      <c r="N402" s="82"/>
      <c r="O402" s="80"/>
      <c r="P402" s="82"/>
      <c r="Q402" s="80"/>
      <c r="R402" s="82"/>
      <c r="S402" s="80"/>
      <c r="T402" s="82"/>
      <c r="U402" s="80"/>
      <c r="V402" s="82"/>
      <c r="W402" s="80"/>
      <c r="X402" s="82"/>
      <c r="Y402" s="80"/>
      <c r="Z402" s="210">
        <f t="shared" si="6"/>
        <v>0</v>
      </c>
      <c r="AA402" s="60"/>
      <c r="AB402" s="60"/>
    </row>
    <row r="403" spans="1:28" x14ac:dyDescent="0.25">
      <c r="A403" s="443"/>
      <c r="B403" s="443"/>
      <c r="C403" s="443"/>
      <c r="D403" s="330"/>
      <c r="E403" s="330"/>
      <c r="F403" s="330"/>
      <c r="G403" s="330"/>
      <c r="H403" s="330"/>
      <c r="I403" s="330"/>
      <c r="J403" s="330"/>
      <c r="K403" s="330"/>
      <c r="L403" s="82"/>
      <c r="M403" s="80"/>
      <c r="N403" s="82"/>
      <c r="O403" s="80"/>
      <c r="P403" s="82"/>
      <c r="Q403" s="80"/>
      <c r="R403" s="82"/>
      <c r="S403" s="80"/>
      <c r="T403" s="82"/>
      <c r="U403" s="80"/>
      <c r="V403" s="82"/>
      <c r="W403" s="80"/>
      <c r="X403" s="82"/>
      <c r="Y403" s="80"/>
      <c r="Z403" s="210">
        <f t="shared" si="6"/>
        <v>0</v>
      </c>
      <c r="AA403" s="60"/>
      <c r="AB403" s="60"/>
    </row>
    <row r="404" spans="1:28" x14ac:dyDescent="0.25">
      <c r="A404" s="443"/>
      <c r="B404" s="443"/>
      <c r="C404" s="443"/>
      <c r="D404" s="330"/>
      <c r="E404" s="330"/>
      <c r="F404" s="330"/>
      <c r="G404" s="330"/>
      <c r="H404" s="330"/>
      <c r="I404" s="330"/>
      <c r="J404" s="330"/>
      <c r="K404" s="330"/>
      <c r="L404" s="82"/>
      <c r="M404" s="80"/>
      <c r="N404" s="82"/>
      <c r="O404" s="80"/>
      <c r="P404" s="82"/>
      <c r="Q404" s="80"/>
      <c r="R404" s="82"/>
      <c r="S404" s="80"/>
      <c r="T404" s="82"/>
      <c r="U404" s="80"/>
      <c r="V404" s="82"/>
      <c r="W404" s="80"/>
      <c r="X404" s="82"/>
      <c r="Y404" s="80"/>
      <c r="Z404" s="210">
        <f t="shared" si="6"/>
        <v>0</v>
      </c>
      <c r="AA404" s="60"/>
      <c r="AB404" s="60"/>
    </row>
    <row r="405" spans="1:28" x14ac:dyDescent="0.25">
      <c r="A405" s="443"/>
      <c r="B405" s="443"/>
      <c r="C405" s="443"/>
      <c r="D405" s="330"/>
      <c r="E405" s="330"/>
      <c r="F405" s="330"/>
      <c r="G405" s="330"/>
      <c r="H405" s="330"/>
      <c r="I405" s="330"/>
      <c r="J405" s="330"/>
      <c r="K405" s="330"/>
      <c r="L405" s="82"/>
      <c r="M405" s="80"/>
      <c r="N405" s="82"/>
      <c r="O405" s="80"/>
      <c r="P405" s="82"/>
      <c r="Q405" s="80"/>
      <c r="R405" s="82"/>
      <c r="S405" s="80"/>
      <c r="T405" s="82"/>
      <c r="U405" s="80"/>
      <c r="V405" s="82"/>
      <c r="W405" s="80"/>
      <c r="X405" s="82"/>
      <c r="Y405" s="80"/>
      <c r="Z405" s="210">
        <f t="shared" si="6"/>
        <v>0</v>
      </c>
      <c r="AA405" s="60"/>
      <c r="AB405" s="60"/>
    </row>
    <row r="406" spans="1:28" x14ac:dyDescent="0.25">
      <c r="A406" s="443"/>
      <c r="B406" s="443"/>
      <c r="C406" s="443"/>
      <c r="D406" s="330"/>
      <c r="E406" s="330"/>
      <c r="F406" s="330"/>
      <c r="G406" s="330"/>
      <c r="H406" s="330"/>
      <c r="I406" s="330"/>
      <c r="J406" s="330"/>
      <c r="K406" s="330"/>
      <c r="L406" s="82"/>
      <c r="M406" s="80"/>
      <c r="N406" s="82"/>
      <c r="O406" s="80"/>
      <c r="P406" s="82"/>
      <c r="Q406" s="80"/>
      <c r="R406" s="82"/>
      <c r="S406" s="80"/>
      <c r="T406" s="82"/>
      <c r="U406" s="80"/>
      <c r="V406" s="82"/>
      <c r="W406" s="80"/>
      <c r="X406" s="82"/>
      <c r="Y406" s="80"/>
      <c r="Z406" s="210">
        <f t="shared" si="6"/>
        <v>0</v>
      </c>
      <c r="AA406" s="60"/>
      <c r="AB406" s="60"/>
    </row>
    <row r="407" spans="1:28" x14ac:dyDescent="0.25">
      <c r="A407" s="443"/>
      <c r="B407" s="443"/>
      <c r="C407" s="443"/>
      <c r="D407" s="330"/>
      <c r="E407" s="330"/>
      <c r="F407" s="330"/>
      <c r="G407" s="330"/>
      <c r="H407" s="330"/>
      <c r="I407" s="330"/>
      <c r="J407" s="330"/>
      <c r="K407" s="330"/>
      <c r="L407" s="82"/>
      <c r="M407" s="80"/>
      <c r="N407" s="82"/>
      <c r="O407" s="80"/>
      <c r="P407" s="82"/>
      <c r="Q407" s="80"/>
      <c r="R407" s="82"/>
      <c r="S407" s="80"/>
      <c r="T407" s="82"/>
      <c r="U407" s="80"/>
      <c r="V407" s="82"/>
      <c r="W407" s="80"/>
      <c r="X407" s="82"/>
      <c r="Y407" s="80"/>
      <c r="Z407" s="210">
        <f t="shared" si="6"/>
        <v>0</v>
      </c>
      <c r="AA407" s="60"/>
      <c r="AB407" s="60"/>
    </row>
    <row r="408" spans="1:28" x14ac:dyDescent="0.25">
      <c r="A408" s="443"/>
      <c r="B408" s="443"/>
      <c r="C408" s="443"/>
      <c r="D408" s="330"/>
      <c r="E408" s="330"/>
      <c r="F408" s="330"/>
      <c r="G408" s="330"/>
      <c r="H408" s="330"/>
      <c r="I408" s="330"/>
      <c r="J408" s="330"/>
      <c r="K408" s="330"/>
      <c r="L408" s="82"/>
      <c r="M408" s="80"/>
      <c r="N408" s="82"/>
      <c r="O408" s="80"/>
      <c r="P408" s="82"/>
      <c r="Q408" s="80"/>
      <c r="R408" s="82"/>
      <c r="S408" s="80"/>
      <c r="T408" s="82"/>
      <c r="U408" s="80"/>
      <c r="V408" s="82"/>
      <c r="W408" s="80"/>
      <c r="X408" s="82"/>
      <c r="Y408" s="80"/>
      <c r="Z408" s="210">
        <f t="shared" si="6"/>
        <v>0</v>
      </c>
      <c r="AA408" s="60"/>
      <c r="AB408" s="60"/>
    </row>
    <row r="409" spans="1:28" x14ac:dyDescent="0.25">
      <c r="A409" s="443"/>
      <c r="B409" s="443"/>
      <c r="C409" s="443"/>
      <c r="D409" s="330"/>
      <c r="E409" s="330"/>
      <c r="F409" s="330"/>
      <c r="G409" s="330"/>
      <c r="H409" s="330"/>
      <c r="I409" s="330"/>
      <c r="J409" s="330"/>
      <c r="K409" s="330"/>
      <c r="L409" s="82"/>
      <c r="M409" s="80"/>
      <c r="N409" s="82"/>
      <c r="O409" s="80"/>
      <c r="P409" s="82"/>
      <c r="Q409" s="80"/>
      <c r="R409" s="82"/>
      <c r="S409" s="80"/>
      <c r="T409" s="82"/>
      <c r="U409" s="80"/>
      <c r="V409" s="82"/>
      <c r="W409" s="80"/>
      <c r="X409" s="82"/>
      <c r="Y409" s="80"/>
      <c r="Z409" s="210">
        <f t="shared" si="6"/>
        <v>0</v>
      </c>
      <c r="AA409" s="60"/>
      <c r="AB409" s="60"/>
    </row>
    <row r="410" spans="1:28" x14ac:dyDescent="0.25">
      <c r="A410" s="443"/>
      <c r="B410" s="443"/>
      <c r="C410" s="443"/>
      <c r="D410" s="330"/>
      <c r="E410" s="330"/>
      <c r="F410" s="330"/>
      <c r="G410" s="330"/>
      <c r="H410" s="330"/>
      <c r="I410" s="330"/>
      <c r="J410" s="330"/>
      <c r="K410" s="330"/>
      <c r="L410" s="82"/>
      <c r="M410" s="80"/>
      <c r="N410" s="82"/>
      <c r="O410" s="80"/>
      <c r="P410" s="82"/>
      <c r="Q410" s="80"/>
      <c r="R410" s="82"/>
      <c r="S410" s="80"/>
      <c r="T410" s="82"/>
      <c r="U410" s="80"/>
      <c r="V410" s="82"/>
      <c r="W410" s="80"/>
      <c r="X410" s="82"/>
      <c r="Y410" s="80"/>
      <c r="Z410" s="210">
        <f t="shared" si="6"/>
        <v>0</v>
      </c>
      <c r="AA410" s="60"/>
      <c r="AB410" s="60"/>
    </row>
    <row r="411" spans="1:28" x14ac:dyDescent="0.25">
      <c r="A411" s="443"/>
      <c r="B411" s="443"/>
      <c r="C411" s="443"/>
      <c r="D411" s="330"/>
      <c r="E411" s="330"/>
      <c r="F411" s="330"/>
      <c r="G411" s="330"/>
      <c r="H411" s="330"/>
      <c r="I411" s="330"/>
      <c r="J411" s="330"/>
      <c r="K411" s="330"/>
      <c r="L411" s="82"/>
      <c r="M411" s="80"/>
      <c r="N411" s="82"/>
      <c r="O411" s="80"/>
      <c r="P411" s="82"/>
      <c r="Q411" s="80"/>
      <c r="R411" s="82"/>
      <c r="S411" s="80"/>
      <c r="T411" s="82"/>
      <c r="U411" s="80"/>
      <c r="V411" s="82"/>
      <c r="W411" s="80"/>
      <c r="X411" s="82"/>
      <c r="Y411" s="80"/>
      <c r="Z411" s="210">
        <f t="shared" si="6"/>
        <v>0</v>
      </c>
      <c r="AA411" s="60"/>
      <c r="AB411" s="60"/>
    </row>
    <row r="412" spans="1:28" x14ac:dyDescent="0.25">
      <c r="A412" s="443"/>
      <c r="B412" s="443"/>
      <c r="C412" s="443"/>
      <c r="D412" s="330"/>
      <c r="E412" s="330"/>
      <c r="F412" s="330"/>
      <c r="G412" s="330"/>
      <c r="H412" s="330"/>
      <c r="I412" s="330"/>
      <c r="J412" s="330"/>
      <c r="K412" s="330"/>
      <c r="L412" s="82"/>
      <c r="M412" s="80"/>
      <c r="N412" s="82"/>
      <c r="O412" s="80"/>
      <c r="P412" s="82"/>
      <c r="Q412" s="80"/>
      <c r="R412" s="82"/>
      <c r="S412" s="80"/>
      <c r="T412" s="82"/>
      <c r="U412" s="80"/>
      <c r="V412" s="82"/>
      <c r="W412" s="80"/>
      <c r="X412" s="82"/>
      <c r="Y412" s="80"/>
      <c r="Z412" s="210">
        <f t="shared" si="6"/>
        <v>0</v>
      </c>
      <c r="AA412" s="60"/>
      <c r="AB412" s="60"/>
    </row>
    <row r="413" spans="1:28" x14ac:dyDescent="0.25">
      <c r="A413" s="443"/>
      <c r="B413" s="443"/>
      <c r="C413" s="443"/>
      <c r="D413" s="330"/>
      <c r="E413" s="330"/>
      <c r="F413" s="330"/>
      <c r="G413" s="330"/>
      <c r="H413" s="330"/>
      <c r="I413" s="330"/>
      <c r="J413" s="330"/>
      <c r="K413" s="330"/>
      <c r="L413" s="82"/>
      <c r="M413" s="80"/>
      <c r="N413" s="82"/>
      <c r="O413" s="80"/>
      <c r="P413" s="82"/>
      <c r="Q413" s="80"/>
      <c r="R413" s="82"/>
      <c r="S413" s="80"/>
      <c r="T413" s="82"/>
      <c r="U413" s="80"/>
      <c r="V413" s="82"/>
      <c r="W413" s="80"/>
      <c r="X413" s="82"/>
      <c r="Y413" s="80"/>
      <c r="Z413" s="210">
        <f t="shared" si="6"/>
        <v>0</v>
      </c>
      <c r="AA413" s="60"/>
      <c r="AB413" s="60"/>
    </row>
    <row r="414" spans="1:28" x14ac:dyDescent="0.25">
      <c r="A414" s="443"/>
      <c r="B414" s="443"/>
      <c r="C414" s="443"/>
      <c r="D414" s="330"/>
      <c r="E414" s="330"/>
      <c r="F414" s="330"/>
      <c r="G414" s="330"/>
      <c r="H414" s="330"/>
      <c r="I414" s="330"/>
      <c r="J414" s="330"/>
      <c r="K414" s="330"/>
      <c r="L414" s="82"/>
      <c r="M414" s="80"/>
      <c r="N414" s="82"/>
      <c r="O414" s="80"/>
      <c r="P414" s="82"/>
      <c r="Q414" s="80"/>
      <c r="R414" s="82"/>
      <c r="S414" s="80"/>
      <c r="T414" s="82"/>
      <c r="U414" s="80"/>
      <c r="V414" s="82"/>
      <c r="W414" s="80"/>
      <c r="X414" s="82"/>
      <c r="Y414" s="80"/>
      <c r="Z414" s="210">
        <f t="shared" si="6"/>
        <v>0</v>
      </c>
      <c r="AA414" s="60"/>
      <c r="AB414" s="60"/>
    </row>
    <row r="415" spans="1:28" x14ac:dyDescent="0.25">
      <c r="A415" s="443"/>
      <c r="B415" s="443"/>
      <c r="C415" s="443"/>
      <c r="D415" s="330"/>
      <c r="E415" s="330"/>
      <c r="F415" s="330"/>
      <c r="G415" s="330"/>
      <c r="H415" s="330"/>
      <c r="I415" s="330"/>
      <c r="J415" s="330"/>
      <c r="K415" s="330"/>
      <c r="L415" s="82"/>
      <c r="M415" s="80"/>
      <c r="N415" s="82"/>
      <c r="O415" s="80"/>
      <c r="P415" s="82"/>
      <c r="Q415" s="80"/>
      <c r="R415" s="82"/>
      <c r="S415" s="80"/>
      <c r="T415" s="82"/>
      <c r="U415" s="80"/>
      <c r="V415" s="82"/>
      <c r="W415" s="80"/>
      <c r="X415" s="82"/>
      <c r="Y415" s="80"/>
      <c r="Z415" s="210">
        <f t="shared" si="6"/>
        <v>0</v>
      </c>
      <c r="AA415" s="60"/>
      <c r="AB415" s="60"/>
    </row>
    <row r="416" spans="1:28" x14ac:dyDescent="0.25">
      <c r="A416" s="443"/>
      <c r="B416" s="443"/>
      <c r="C416" s="443"/>
      <c r="D416" s="330"/>
      <c r="E416" s="330"/>
      <c r="F416" s="330"/>
      <c r="G416" s="330"/>
      <c r="H416" s="330"/>
      <c r="I416" s="330"/>
      <c r="J416" s="330"/>
      <c r="K416" s="330"/>
      <c r="L416" s="82"/>
      <c r="M416" s="80"/>
      <c r="N416" s="82"/>
      <c r="O416" s="80"/>
      <c r="P416" s="82"/>
      <c r="Q416" s="80"/>
      <c r="R416" s="82"/>
      <c r="S416" s="80"/>
      <c r="T416" s="82"/>
      <c r="U416" s="80"/>
      <c r="V416" s="82"/>
      <c r="W416" s="80"/>
      <c r="X416" s="82"/>
      <c r="Y416" s="80"/>
      <c r="Z416" s="210">
        <f t="shared" si="6"/>
        <v>0</v>
      </c>
      <c r="AA416" s="60"/>
      <c r="AB416" s="60"/>
    </row>
    <row r="417" spans="1:28" x14ac:dyDescent="0.25">
      <c r="A417" s="443"/>
      <c r="B417" s="443"/>
      <c r="C417" s="443"/>
      <c r="D417" s="330"/>
      <c r="E417" s="330"/>
      <c r="F417" s="330"/>
      <c r="G417" s="330"/>
      <c r="H417" s="330"/>
      <c r="I417" s="330"/>
      <c r="J417" s="330"/>
      <c r="K417" s="330"/>
      <c r="L417" s="82"/>
      <c r="M417" s="80"/>
      <c r="N417" s="82"/>
      <c r="O417" s="80"/>
      <c r="P417" s="82"/>
      <c r="Q417" s="80"/>
      <c r="R417" s="82"/>
      <c r="S417" s="80"/>
      <c r="T417" s="82"/>
      <c r="U417" s="80"/>
      <c r="V417" s="82"/>
      <c r="W417" s="80"/>
      <c r="X417" s="82"/>
      <c r="Y417" s="80"/>
      <c r="Z417" s="210">
        <f t="shared" si="6"/>
        <v>0</v>
      </c>
      <c r="AA417" s="60"/>
      <c r="AB417" s="60"/>
    </row>
    <row r="418" spans="1:28" x14ac:dyDescent="0.25">
      <c r="A418" s="443"/>
      <c r="B418" s="443"/>
      <c r="C418" s="443"/>
      <c r="D418" s="330"/>
      <c r="E418" s="330"/>
      <c r="F418" s="330"/>
      <c r="G418" s="330"/>
      <c r="H418" s="330"/>
      <c r="I418" s="330"/>
      <c r="J418" s="330"/>
      <c r="K418" s="330"/>
      <c r="L418" s="82"/>
      <c r="M418" s="80"/>
      <c r="N418" s="82"/>
      <c r="O418" s="80"/>
      <c r="P418" s="82"/>
      <c r="Q418" s="80"/>
      <c r="R418" s="82"/>
      <c r="S418" s="80"/>
      <c r="T418" s="82"/>
      <c r="U418" s="80"/>
      <c r="V418" s="82"/>
      <c r="W418" s="80"/>
      <c r="X418" s="82"/>
      <c r="Y418" s="80"/>
      <c r="Z418" s="210">
        <f t="shared" si="6"/>
        <v>0</v>
      </c>
      <c r="AA418" s="60"/>
      <c r="AB418" s="60"/>
    </row>
    <row r="419" spans="1:28" x14ac:dyDescent="0.25">
      <c r="A419" s="443"/>
      <c r="B419" s="443"/>
      <c r="C419" s="443"/>
      <c r="D419" s="330"/>
      <c r="E419" s="330"/>
      <c r="F419" s="330"/>
      <c r="G419" s="330"/>
      <c r="H419" s="330"/>
      <c r="I419" s="330"/>
      <c r="J419" s="330"/>
      <c r="K419" s="330"/>
      <c r="L419" s="82"/>
      <c r="M419" s="80"/>
      <c r="N419" s="82"/>
      <c r="O419" s="80"/>
      <c r="P419" s="82"/>
      <c r="Q419" s="80"/>
      <c r="R419" s="82"/>
      <c r="S419" s="80"/>
      <c r="T419" s="82"/>
      <c r="U419" s="80"/>
      <c r="V419" s="82"/>
      <c r="W419" s="80"/>
      <c r="X419" s="82"/>
      <c r="Y419" s="80"/>
      <c r="Z419" s="210">
        <f t="shared" si="6"/>
        <v>0</v>
      </c>
      <c r="AA419" s="60"/>
      <c r="AB419" s="60"/>
    </row>
    <row r="420" spans="1:28" x14ac:dyDescent="0.25">
      <c r="A420" s="443"/>
      <c r="B420" s="443"/>
      <c r="C420" s="443"/>
      <c r="D420" s="330"/>
      <c r="E420" s="330"/>
      <c r="F420" s="330"/>
      <c r="G420" s="330"/>
      <c r="H420" s="330"/>
      <c r="I420" s="330"/>
      <c r="J420" s="330"/>
      <c r="K420" s="330"/>
      <c r="L420" s="82"/>
      <c r="M420" s="80"/>
      <c r="N420" s="82"/>
      <c r="O420" s="80"/>
      <c r="P420" s="82"/>
      <c r="Q420" s="80"/>
      <c r="R420" s="82"/>
      <c r="S420" s="80"/>
      <c r="T420" s="82"/>
      <c r="U420" s="80"/>
      <c r="V420" s="82"/>
      <c r="W420" s="80"/>
      <c r="X420" s="82"/>
      <c r="Y420" s="80"/>
      <c r="Z420" s="210">
        <f t="shared" si="6"/>
        <v>0</v>
      </c>
      <c r="AA420" s="60"/>
      <c r="AB420" s="60"/>
    </row>
    <row r="421" spans="1:28" x14ac:dyDescent="0.25">
      <c r="A421" s="443"/>
      <c r="B421" s="443"/>
      <c r="C421" s="443"/>
      <c r="D421" s="330"/>
      <c r="E421" s="330"/>
      <c r="F421" s="330"/>
      <c r="G421" s="330"/>
      <c r="H421" s="330"/>
      <c r="I421" s="330"/>
      <c r="J421" s="330"/>
      <c r="K421" s="330"/>
      <c r="L421" s="82"/>
      <c r="M421" s="80"/>
      <c r="N421" s="82"/>
      <c r="O421" s="80"/>
      <c r="P421" s="82"/>
      <c r="Q421" s="80"/>
      <c r="R421" s="82"/>
      <c r="S421" s="80"/>
      <c r="T421" s="82"/>
      <c r="U421" s="80"/>
      <c r="V421" s="82"/>
      <c r="W421" s="80"/>
      <c r="X421" s="82"/>
      <c r="Y421" s="80"/>
      <c r="Z421" s="210">
        <f t="shared" si="6"/>
        <v>0</v>
      </c>
      <c r="AA421" s="60"/>
      <c r="AB421" s="60"/>
    </row>
    <row r="422" spans="1:28" x14ac:dyDescent="0.25">
      <c r="A422" s="443"/>
      <c r="B422" s="443"/>
      <c r="C422" s="443"/>
      <c r="D422" s="330"/>
      <c r="E422" s="330"/>
      <c r="F422" s="330"/>
      <c r="G422" s="330"/>
      <c r="H422" s="330"/>
      <c r="I422" s="330"/>
      <c r="J422" s="330"/>
      <c r="K422" s="330"/>
      <c r="L422" s="82"/>
      <c r="M422" s="80"/>
      <c r="N422" s="82"/>
      <c r="O422" s="80"/>
      <c r="P422" s="82"/>
      <c r="Q422" s="80"/>
      <c r="R422" s="82"/>
      <c r="S422" s="80"/>
      <c r="T422" s="82"/>
      <c r="U422" s="80"/>
      <c r="V422" s="82"/>
      <c r="W422" s="80"/>
      <c r="X422" s="82"/>
      <c r="Y422" s="80"/>
      <c r="Z422" s="210">
        <f t="shared" si="6"/>
        <v>0</v>
      </c>
      <c r="AA422" s="60"/>
      <c r="AB422" s="60"/>
    </row>
    <row r="423" spans="1:28" x14ac:dyDescent="0.25">
      <c r="A423" s="443"/>
      <c r="B423" s="443"/>
      <c r="C423" s="443"/>
      <c r="D423" s="330"/>
      <c r="E423" s="330"/>
      <c r="F423" s="330"/>
      <c r="G423" s="330"/>
      <c r="H423" s="330"/>
      <c r="I423" s="330"/>
      <c r="J423" s="330"/>
      <c r="K423" s="330"/>
      <c r="L423" s="82"/>
      <c r="M423" s="80"/>
      <c r="N423" s="82"/>
      <c r="O423" s="80"/>
      <c r="P423" s="82"/>
      <c r="Q423" s="80"/>
      <c r="R423" s="82"/>
      <c r="S423" s="80"/>
      <c r="T423" s="82"/>
      <c r="U423" s="80"/>
      <c r="V423" s="82"/>
      <c r="W423" s="80"/>
      <c r="X423" s="82"/>
      <c r="Y423" s="80"/>
      <c r="Z423" s="210">
        <f t="shared" si="6"/>
        <v>0</v>
      </c>
      <c r="AA423" s="60"/>
      <c r="AB423" s="60"/>
    </row>
    <row r="424" spans="1:28" x14ac:dyDescent="0.25">
      <c r="A424" s="443"/>
      <c r="B424" s="443"/>
      <c r="C424" s="443"/>
      <c r="D424" s="330"/>
      <c r="E424" s="330"/>
      <c r="F424" s="330"/>
      <c r="G424" s="330"/>
      <c r="H424" s="330"/>
      <c r="I424" s="330"/>
      <c r="J424" s="330"/>
      <c r="K424" s="330"/>
      <c r="L424" s="82"/>
      <c r="M424" s="80"/>
      <c r="N424" s="82"/>
      <c r="O424" s="80"/>
      <c r="P424" s="82"/>
      <c r="Q424" s="80"/>
      <c r="R424" s="82"/>
      <c r="S424" s="80"/>
      <c r="T424" s="82"/>
      <c r="U424" s="80"/>
      <c r="V424" s="82"/>
      <c r="W424" s="80"/>
      <c r="X424" s="82"/>
      <c r="Y424" s="80"/>
      <c r="Z424" s="210">
        <f t="shared" si="6"/>
        <v>0</v>
      </c>
      <c r="AA424" s="60"/>
      <c r="AB424" s="60"/>
    </row>
    <row r="425" spans="1:28" x14ac:dyDescent="0.25">
      <c r="A425" s="443"/>
      <c r="B425" s="443"/>
      <c r="C425" s="443"/>
      <c r="D425" s="330"/>
      <c r="E425" s="330"/>
      <c r="F425" s="330"/>
      <c r="G425" s="330"/>
      <c r="H425" s="330"/>
      <c r="I425" s="330"/>
      <c r="J425" s="330"/>
      <c r="K425" s="330"/>
      <c r="L425" s="82"/>
      <c r="M425" s="80"/>
      <c r="N425" s="82"/>
      <c r="O425" s="80"/>
      <c r="P425" s="82"/>
      <c r="Q425" s="80"/>
      <c r="R425" s="82"/>
      <c r="S425" s="80"/>
      <c r="T425" s="82"/>
      <c r="U425" s="80"/>
      <c r="V425" s="82"/>
      <c r="W425" s="80"/>
      <c r="X425" s="82"/>
      <c r="Y425" s="80"/>
      <c r="Z425" s="210">
        <f t="shared" si="6"/>
        <v>0</v>
      </c>
      <c r="AA425" s="60"/>
      <c r="AB425" s="60"/>
    </row>
    <row r="426" spans="1:28" x14ac:dyDescent="0.25">
      <c r="A426" s="443"/>
      <c r="B426" s="443"/>
      <c r="C426" s="443"/>
      <c r="D426" s="330"/>
      <c r="E426" s="330"/>
      <c r="F426" s="330"/>
      <c r="G426" s="330"/>
      <c r="H426" s="330"/>
      <c r="I426" s="330"/>
      <c r="J426" s="330"/>
      <c r="K426" s="330"/>
      <c r="L426" s="82"/>
      <c r="M426" s="80"/>
      <c r="N426" s="82"/>
      <c r="O426" s="80"/>
      <c r="P426" s="82"/>
      <c r="Q426" s="80"/>
      <c r="R426" s="82"/>
      <c r="S426" s="80"/>
      <c r="T426" s="82"/>
      <c r="U426" s="80"/>
      <c r="V426" s="82"/>
      <c r="W426" s="80"/>
      <c r="X426" s="82"/>
      <c r="Y426" s="80"/>
      <c r="Z426" s="210">
        <f t="shared" si="6"/>
        <v>0</v>
      </c>
      <c r="AA426" s="60"/>
      <c r="AB426" s="60"/>
    </row>
    <row r="427" spans="1:28" x14ac:dyDescent="0.25">
      <c r="A427" s="443"/>
      <c r="B427" s="443"/>
      <c r="C427" s="443"/>
      <c r="D427" s="330"/>
      <c r="E427" s="330"/>
      <c r="F427" s="330"/>
      <c r="G427" s="330"/>
      <c r="H427" s="330"/>
      <c r="I427" s="330"/>
      <c r="J427" s="330"/>
      <c r="K427" s="330"/>
      <c r="L427" s="82"/>
      <c r="M427" s="80"/>
      <c r="N427" s="82"/>
      <c r="O427" s="80"/>
      <c r="P427" s="82"/>
      <c r="Q427" s="80"/>
      <c r="R427" s="82"/>
      <c r="S427" s="80"/>
      <c r="T427" s="82"/>
      <c r="U427" s="80"/>
      <c r="V427" s="82"/>
      <c r="W427" s="80"/>
      <c r="X427" s="82"/>
      <c r="Y427" s="80"/>
      <c r="Z427" s="210">
        <f t="shared" si="6"/>
        <v>0</v>
      </c>
      <c r="AA427" s="60"/>
      <c r="AB427" s="60"/>
    </row>
    <row r="428" spans="1:28" x14ac:dyDescent="0.25">
      <c r="A428" s="443"/>
      <c r="B428" s="443"/>
      <c r="C428" s="443"/>
      <c r="D428" s="330"/>
      <c r="E428" s="330"/>
      <c r="F428" s="330"/>
      <c r="G428" s="330"/>
      <c r="H428" s="330"/>
      <c r="I428" s="330"/>
      <c r="J428" s="330"/>
      <c r="K428" s="330"/>
      <c r="L428" s="82"/>
      <c r="M428" s="80"/>
      <c r="N428" s="82"/>
      <c r="O428" s="80"/>
      <c r="P428" s="82"/>
      <c r="Q428" s="80"/>
      <c r="R428" s="82"/>
      <c r="S428" s="80"/>
      <c r="T428" s="82"/>
      <c r="U428" s="80"/>
      <c r="V428" s="82"/>
      <c r="W428" s="80"/>
      <c r="X428" s="82"/>
      <c r="Y428" s="80"/>
      <c r="Z428" s="210">
        <f t="shared" si="6"/>
        <v>0</v>
      </c>
      <c r="AA428" s="60"/>
      <c r="AB428" s="60"/>
    </row>
    <row r="429" spans="1:28" x14ac:dyDescent="0.25">
      <c r="A429" s="443"/>
      <c r="B429" s="443"/>
      <c r="C429" s="443"/>
      <c r="D429" s="330"/>
      <c r="E429" s="330"/>
      <c r="F429" s="330"/>
      <c r="G429" s="330"/>
      <c r="H429" s="330"/>
      <c r="I429" s="330"/>
      <c r="J429" s="330"/>
      <c r="K429" s="330"/>
      <c r="L429" s="82"/>
      <c r="M429" s="80"/>
      <c r="N429" s="82"/>
      <c r="O429" s="80"/>
      <c r="P429" s="82"/>
      <c r="Q429" s="80"/>
      <c r="R429" s="82"/>
      <c r="S429" s="80"/>
      <c r="T429" s="82"/>
      <c r="U429" s="80"/>
      <c r="V429" s="82"/>
      <c r="W429" s="80"/>
      <c r="X429" s="82"/>
      <c r="Y429" s="80"/>
      <c r="Z429" s="210">
        <f t="shared" si="6"/>
        <v>0</v>
      </c>
      <c r="AA429" s="60"/>
      <c r="AB429" s="60"/>
    </row>
    <row r="430" spans="1:28" x14ac:dyDescent="0.25">
      <c r="A430" s="443"/>
      <c r="B430" s="443"/>
      <c r="C430" s="443"/>
      <c r="D430" s="330"/>
      <c r="E430" s="330"/>
      <c r="F430" s="330"/>
      <c r="G430" s="330"/>
      <c r="H430" s="330"/>
      <c r="I430" s="330"/>
      <c r="J430" s="330"/>
      <c r="K430" s="330"/>
      <c r="L430" s="82"/>
      <c r="M430" s="80"/>
      <c r="N430" s="82"/>
      <c r="O430" s="80"/>
      <c r="P430" s="82"/>
      <c r="Q430" s="80"/>
      <c r="R430" s="82"/>
      <c r="S430" s="80"/>
      <c r="T430" s="82"/>
      <c r="U430" s="80"/>
      <c r="V430" s="82"/>
      <c r="W430" s="80"/>
      <c r="X430" s="82"/>
      <c r="Y430" s="80"/>
      <c r="Z430" s="210">
        <f t="shared" si="6"/>
        <v>0</v>
      </c>
      <c r="AA430" s="60"/>
      <c r="AB430" s="60"/>
    </row>
    <row r="431" spans="1:28" x14ac:dyDescent="0.25">
      <c r="A431" s="443"/>
      <c r="B431" s="443"/>
      <c r="C431" s="443"/>
      <c r="D431" s="330"/>
      <c r="E431" s="330"/>
      <c r="F431" s="330"/>
      <c r="G431" s="330"/>
      <c r="H431" s="330"/>
      <c r="I431" s="330"/>
      <c r="J431" s="330"/>
      <c r="K431" s="330"/>
      <c r="L431" s="82"/>
      <c r="M431" s="80"/>
      <c r="N431" s="82"/>
      <c r="O431" s="80"/>
      <c r="P431" s="82"/>
      <c r="Q431" s="80"/>
      <c r="R431" s="82"/>
      <c r="S431" s="80"/>
      <c r="T431" s="82"/>
      <c r="U431" s="80"/>
      <c r="V431" s="82"/>
      <c r="W431" s="80"/>
      <c r="X431" s="82"/>
      <c r="Y431" s="80"/>
      <c r="Z431" s="210">
        <f t="shared" si="6"/>
        <v>0</v>
      </c>
      <c r="AA431" s="60"/>
      <c r="AB431" s="60"/>
    </row>
    <row r="432" spans="1:28" x14ac:dyDescent="0.25">
      <c r="A432" s="443"/>
      <c r="B432" s="443"/>
      <c r="C432" s="443"/>
      <c r="D432" s="330"/>
      <c r="E432" s="330"/>
      <c r="F432" s="330"/>
      <c r="G432" s="330"/>
      <c r="H432" s="330"/>
      <c r="I432" s="330"/>
      <c r="J432" s="330"/>
      <c r="K432" s="330"/>
      <c r="L432" s="82"/>
      <c r="M432" s="80"/>
      <c r="N432" s="82"/>
      <c r="O432" s="80"/>
      <c r="P432" s="82"/>
      <c r="Q432" s="80"/>
      <c r="R432" s="82"/>
      <c r="S432" s="80"/>
      <c r="T432" s="82"/>
      <c r="U432" s="80"/>
      <c r="V432" s="82"/>
      <c r="W432" s="80"/>
      <c r="X432" s="82"/>
      <c r="Y432" s="80"/>
      <c r="Z432" s="210">
        <f t="shared" si="6"/>
        <v>0</v>
      </c>
      <c r="AA432" s="60"/>
      <c r="AB432" s="60"/>
    </row>
    <row r="433" spans="1:28" x14ac:dyDescent="0.25">
      <c r="A433" s="443"/>
      <c r="B433" s="443"/>
      <c r="C433" s="443"/>
      <c r="D433" s="330"/>
      <c r="E433" s="330"/>
      <c r="F433" s="330"/>
      <c r="G433" s="330"/>
      <c r="H433" s="330"/>
      <c r="I433" s="330"/>
      <c r="J433" s="330"/>
      <c r="K433" s="330"/>
      <c r="L433" s="82"/>
      <c r="M433" s="80"/>
      <c r="N433" s="82"/>
      <c r="O433" s="80"/>
      <c r="P433" s="82"/>
      <c r="Q433" s="80"/>
      <c r="R433" s="82"/>
      <c r="S433" s="80"/>
      <c r="T433" s="82"/>
      <c r="U433" s="80"/>
      <c r="V433" s="82"/>
      <c r="W433" s="80"/>
      <c r="X433" s="82"/>
      <c r="Y433" s="80"/>
      <c r="Z433" s="210">
        <f t="shared" si="6"/>
        <v>0</v>
      </c>
      <c r="AA433" s="60"/>
      <c r="AB433" s="60"/>
    </row>
    <row r="434" spans="1:28" x14ac:dyDescent="0.25">
      <c r="A434" s="443"/>
      <c r="B434" s="443"/>
      <c r="C434" s="443"/>
      <c r="D434" s="330"/>
      <c r="E434" s="330"/>
      <c r="F434" s="330"/>
      <c r="G434" s="330"/>
      <c r="H434" s="330"/>
      <c r="I434" s="330"/>
      <c r="J434" s="330"/>
      <c r="K434" s="330"/>
      <c r="L434" s="82"/>
      <c r="M434" s="80"/>
      <c r="N434" s="82"/>
      <c r="O434" s="80"/>
      <c r="P434" s="82"/>
      <c r="Q434" s="80"/>
      <c r="R434" s="82"/>
      <c r="S434" s="80"/>
      <c r="T434" s="82"/>
      <c r="U434" s="80"/>
      <c r="V434" s="82"/>
      <c r="W434" s="80"/>
      <c r="X434" s="82"/>
      <c r="Y434" s="80"/>
      <c r="Z434" s="210">
        <f t="shared" si="6"/>
        <v>0</v>
      </c>
      <c r="AA434" s="60"/>
      <c r="AB434" s="60"/>
    </row>
    <row r="435" spans="1:28" x14ac:dyDescent="0.25">
      <c r="A435" s="443"/>
      <c r="B435" s="443"/>
      <c r="C435" s="443"/>
      <c r="D435" s="330"/>
      <c r="E435" s="330"/>
      <c r="F435" s="330"/>
      <c r="G435" s="330"/>
      <c r="H435" s="330"/>
      <c r="I435" s="330"/>
      <c r="J435" s="330"/>
      <c r="K435" s="330"/>
      <c r="L435" s="82"/>
      <c r="M435" s="80"/>
      <c r="N435" s="82"/>
      <c r="O435" s="80"/>
      <c r="P435" s="82"/>
      <c r="Q435" s="80"/>
      <c r="R435" s="82"/>
      <c r="S435" s="80"/>
      <c r="T435" s="82"/>
      <c r="U435" s="80"/>
      <c r="V435" s="82"/>
      <c r="W435" s="80"/>
      <c r="X435" s="82"/>
      <c r="Y435" s="80"/>
      <c r="Z435" s="210">
        <f t="shared" si="6"/>
        <v>0</v>
      </c>
      <c r="AA435" s="60"/>
      <c r="AB435" s="60"/>
    </row>
    <row r="436" spans="1:28" x14ac:dyDescent="0.25">
      <c r="A436" s="443"/>
      <c r="B436" s="443"/>
      <c r="C436" s="443"/>
      <c r="D436" s="330"/>
      <c r="E436" s="330"/>
      <c r="F436" s="330"/>
      <c r="G436" s="330"/>
      <c r="H436" s="330"/>
      <c r="I436" s="330"/>
      <c r="J436" s="330"/>
      <c r="K436" s="330"/>
      <c r="L436" s="82"/>
      <c r="M436" s="80"/>
      <c r="N436" s="82"/>
      <c r="O436" s="80"/>
      <c r="P436" s="82"/>
      <c r="Q436" s="80"/>
      <c r="R436" s="82"/>
      <c r="S436" s="80"/>
      <c r="T436" s="82"/>
      <c r="U436" s="80"/>
      <c r="V436" s="82"/>
      <c r="W436" s="80"/>
      <c r="X436" s="82"/>
      <c r="Y436" s="80"/>
      <c r="Z436" s="210">
        <f t="shared" si="6"/>
        <v>0</v>
      </c>
      <c r="AA436" s="60"/>
      <c r="AB436" s="60"/>
    </row>
    <row r="437" spans="1:28" x14ac:dyDescent="0.25">
      <c r="A437" s="443"/>
      <c r="B437" s="443"/>
      <c r="C437" s="443"/>
      <c r="D437" s="330"/>
      <c r="E437" s="330"/>
      <c r="F437" s="330"/>
      <c r="G437" s="330"/>
      <c r="H437" s="330"/>
      <c r="I437" s="330"/>
      <c r="J437" s="330"/>
      <c r="K437" s="330"/>
      <c r="L437" s="82"/>
      <c r="M437" s="80"/>
      <c r="N437" s="82"/>
      <c r="O437" s="80"/>
      <c r="P437" s="82"/>
      <c r="Q437" s="80"/>
      <c r="R437" s="82"/>
      <c r="S437" s="80"/>
      <c r="T437" s="82"/>
      <c r="U437" s="80"/>
      <c r="V437" s="82"/>
      <c r="W437" s="80"/>
      <c r="X437" s="82"/>
      <c r="Y437" s="80"/>
      <c r="Z437" s="210">
        <f t="shared" si="6"/>
        <v>0</v>
      </c>
      <c r="AA437" s="60"/>
      <c r="AB437" s="60"/>
    </row>
    <row r="438" spans="1:28" x14ac:dyDescent="0.25">
      <c r="A438" s="443"/>
      <c r="B438" s="443"/>
      <c r="C438" s="443"/>
      <c r="D438" s="330"/>
      <c r="E438" s="330"/>
      <c r="F438" s="330"/>
      <c r="G438" s="330"/>
      <c r="H438" s="330"/>
      <c r="I438" s="330"/>
      <c r="J438" s="330"/>
      <c r="K438" s="330"/>
      <c r="L438" s="82"/>
      <c r="M438" s="80"/>
      <c r="N438" s="82"/>
      <c r="O438" s="80"/>
      <c r="P438" s="82"/>
      <c r="Q438" s="80"/>
      <c r="R438" s="82"/>
      <c r="S438" s="80"/>
      <c r="T438" s="82"/>
      <c r="U438" s="80"/>
      <c r="V438" s="82"/>
      <c r="W438" s="80"/>
      <c r="X438" s="82"/>
      <c r="Y438" s="80"/>
      <c r="Z438" s="210">
        <f t="shared" si="6"/>
        <v>0</v>
      </c>
      <c r="AA438" s="60"/>
      <c r="AB438" s="60"/>
    </row>
    <row r="439" spans="1:28" x14ac:dyDescent="0.25">
      <c r="A439" s="443"/>
      <c r="B439" s="443"/>
      <c r="C439" s="443"/>
      <c r="D439" s="330"/>
      <c r="E439" s="330"/>
      <c r="F439" s="330"/>
      <c r="G439" s="330"/>
      <c r="H439" s="330"/>
      <c r="I439" s="330"/>
      <c r="J439" s="330"/>
      <c r="K439" s="330"/>
      <c r="L439" s="82"/>
      <c r="M439" s="80"/>
      <c r="N439" s="82"/>
      <c r="O439" s="80"/>
      <c r="P439" s="82"/>
      <c r="Q439" s="80"/>
      <c r="R439" s="82"/>
      <c r="S439" s="80"/>
      <c r="T439" s="82"/>
      <c r="U439" s="80"/>
      <c r="V439" s="82"/>
      <c r="W439" s="80"/>
      <c r="X439" s="82"/>
      <c r="Y439" s="80"/>
      <c r="Z439" s="210">
        <f t="shared" si="6"/>
        <v>0</v>
      </c>
      <c r="AA439" s="60"/>
      <c r="AB439" s="60"/>
    </row>
    <row r="440" spans="1:28" x14ac:dyDescent="0.25">
      <c r="A440" s="443"/>
      <c r="B440" s="443"/>
      <c r="C440" s="443"/>
      <c r="D440" s="330"/>
      <c r="E440" s="330"/>
      <c r="F440" s="330"/>
      <c r="G440" s="330"/>
      <c r="H440" s="330"/>
      <c r="I440" s="330"/>
      <c r="J440" s="330"/>
      <c r="K440" s="330"/>
      <c r="L440" s="82"/>
      <c r="M440" s="80"/>
      <c r="N440" s="82"/>
      <c r="O440" s="80"/>
      <c r="P440" s="82"/>
      <c r="Q440" s="80"/>
      <c r="R440" s="82"/>
      <c r="S440" s="80"/>
      <c r="T440" s="82"/>
      <c r="U440" s="80"/>
      <c r="V440" s="82"/>
      <c r="W440" s="80"/>
      <c r="X440" s="82"/>
      <c r="Y440" s="80"/>
      <c r="Z440" s="210">
        <f t="shared" si="6"/>
        <v>0</v>
      </c>
      <c r="AA440" s="60"/>
      <c r="AB440" s="60"/>
    </row>
    <row r="441" spans="1:28" x14ac:dyDescent="0.25">
      <c r="A441" s="443"/>
      <c r="B441" s="443"/>
      <c r="C441" s="443"/>
      <c r="D441" s="330"/>
      <c r="E441" s="330"/>
      <c r="F441" s="330"/>
      <c r="G441" s="330"/>
      <c r="H441" s="330"/>
      <c r="I441" s="330"/>
      <c r="J441" s="330"/>
      <c r="K441" s="330"/>
      <c r="L441" s="82"/>
      <c r="M441" s="80"/>
      <c r="N441" s="82"/>
      <c r="O441" s="80"/>
      <c r="P441" s="82"/>
      <c r="Q441" s="80"/>
      <c r="R441" s="82"/>
      <c r="S441" s="80"/>
      <c r="T441" s="82"/>
      <c r="U441" s="80"/>
      <c r="V441" s="82"/>
      <c r="W441" s="80"/>
      <c r="X441" s="82"/>
      <c r="Y441" s="80"/>
      <c r="Z441" s="210">
        <f t="shared" si="6"/>
        <v>0</v>
      </c>
      <c r="AA441" s="60"/>
      <c r="AB441" s="60"/>
    </row>
    <row r="442" spans="1:28" x14ac:dyDescent="0.25">
      <c r="A442" s="443"/>
      <c r="B442" s="443"/>
      <c r="C442" s="443"/>
      <c r="D442" s="330"/>
      <c r="E442" s="330"/>
      <c r="F442" s="330"/>
      <c r="G442" s="330"/>
      <c r="H442" s="330"/>
      <c r="I442" s="330"/>
      <c r="J442" s="330"/>
      <c r="K442" s="330"/>
      <c r="L442" s="82"/>
      <c r="M442" s="80"/>
      <c r="N442" s="82"/>
      <c r="O442" s="80"/>
      <c r="P442" s="82"/>
      <c r="Q442" s="80"/>
      <c r="R442" s="82"/>
      <c r="S442" s="80"/>
      <c r="T442" s="82"/>
      <c r="U442" s="80"/>
      <c r="V442" s="82"/>
      <c r="W442" s="80"/>
      <c r="X442" s="82"/>
      <c r="Y442" s="80"/>
      <c r="Z442" s="210">
        <f t="shared" si="6"/>
        <v>0</v>
      </c>
      <c r="AA442" s="60"/>
      <c r="AB442" s="60"/>
    </row>
    <row r="443" spans="1:28" x14ac:dyDescent="0.25">
      <c r="A443" s="443"/>
      <c r="B443" s="443"/>
      <c r="C443" s="443"/>
      <c r="D443" s="330"/>
      <c r="E443" s="330"/>
      <c r="F443" s="330"/>
      <c r="G443" s="330"/>
      <c r="H443" s="330"/>
      <c r="I443" s="330"/>
      <c r="J443" s="330"/>
      <c r="K443" s="330"/>
      <c r="L443" s="82"/>
      <c r="M443" s="80"/>
      <c r="N443" s="82"/>
      <c r="O443" s="80"/>
      <c r="P443" s="82"/>
      <c r="Q443" s="80"/>
      <c r="R443" s="82"/>
      <c r="S443" s="80"/>
      <c r="T443" s="82"/>
      <c r="U443" s="80"/>
      <c r="V443" s="82"/>
      <c r="W443" s="80"/>
      <c r="X443" s="82"/>
      <c r="Y443" s="80"/>
      <c r="Z443" s="210">
        <f t="shared" si="6"/>
        <v>0</v>
      </c>
      <c r="AA443" s="60"/>
      <c r="AB443" s="60"/>
    </row>
    <row r="444" spans="1:28" x14ac:dyDescent="0.25">
      <c r="A444" s="443"/>
      <c r="B444" s="443"/>
      <c r="C444" s="443"/>
      <c r="D444" s="330"/>
      <c r="E444" s="330"/>
      <c r="F444" s="330"/>
      <c r="G444" s="330"/>
      <c r="H444" s="330"/>
      <c r="I444" s="330"/>
      <c r="J444" s="330"/>
      <c r="K444" s="330"/>
      <c r="L444" s="82"/>
      <c r="M444" s="80"/>
      <c r="N444" s="82"/>
      <c r="O444" s="80"/>
      <c r="P444" s="82"/>
      <c r="Q444" s="80"/>
      <c r="R444" s="82"/>
      <c r="S444" s="80"/>
      <c r="T444" s="82"/>
      <c r="U444" s="80"/>
      <c r="V444" s="82"/>
      <c r="W444" s="80"/>
      <c r="X444" s="82"/>
      <c r="Y444" s="80"/>
      <c r="Z444" s="210">
        <f t="shared" si="6"/>
        <v>0</v>
      </c>
      <c r="AA444" s="60"/>
      <c r="AB444" s="60"/>
    </row>
    <row r="445" spans="1:28" x14ac:dyDescent="0.25">
      <c r="A445" s="443"/>
      <c r="B445" s="443"/>
      <c r="C445" s="443"/>
      <c r="D445" s="330"/>
      <c r="E445" s="330"/>
      <c r="F445" s="330"/>
      <c r="G445" s="330"/>
      <c r="H445" s="330"/>
      <c r="I445" s="330"/>
      <c r="J445" s="330"/>
      <c r="K445" s="330"/>
      <c r="L445" s="82"/>
      <c r="M445" s="80"/>
      <c r="N445" s="82"/>
      <c r="O445" s="80"/>
      <c r="P445" s="82"/>
      <c r="Q445" s="80"/>
      <c r="R445" s="82"/>
      <c r="S445" s="80"/>
      <c r="T445" s="82"/>
      <c r="U445" s="80"/>
      <c r="V445" s="82"/>
      <c r="W445" s="80"/>
      <c r="X445" s="82"/>
      <c r="Y445" s="80"/>
      <c r="Z445" s="210">
        <f t="shared" si="6"/>
        <v>0</v>
      </c>
      <c r="AA445" s="60"/>
      <c r="AB445" s="60"/>
    </row>
    <row r="446" spans="1:28" x14ac:dyDescent="0.25">
      <c r="A446" s="443"/>
      <c r="B446" s="443"/>
      <c r="C446" s="443"/>
      <c r="D446" s="330"/>
      <c r="E446" s="330"/>
      <c r="F446" s="330"/>
      <c r="G446" s="330"/>
      <c r="H446" s="330"/>
      <c r="I446" s="330"/>
      <c r="J446" s="330"/>
      <c r="K446" s="330"/>
      <c r="L446" s="82"/>
      <c r="M446" s="80"/>
      <c r="N446" s="82"/>
      <c r="O446" s="80"/>
      <c r="P446" s="82"/>
      <c r="Q446" s="80"/>
      <c r="R446" s="82"/>
      <c r="S446" s="80"/>
      <c r="T446" s="82"/>
      <c r="U446" s="80"/>
      <c r="V446" s="82"/>
      <c r="W446" s="80"/>
      <c r="X446" s="82"/>
      <c r="Y446" s="80"/>
      <c r="Z446" s="210">
        <f t="shared" si="6"/>
        <v>0</v>
      </c>
      <c r="AA446" s="60"/>
      <c r="AB446" s="60"/>
    </row>
    <row r="447" spans="1:28" x14ac:dyDescent="0.25">
      <c r="A447" s="443"/>
      <c r="B447" s="443"/>
      <c r="C447" s="443"/>
      <c r="D447" s="330"/>
      <c r="E447" s="330"/>
      <c r="F447" s="330"/>
      <c r="G447" s="330"/>
      <c r="H447" s="330"/>
      <c r="I447" s="330"/>
      <c r="J447" s="330"/>
      <c r="K447" s="330"/>
      <c r="L447" s="82"/>
      <c r="M447" s="80"/>
      <c r="N447" s="82"/>
      <c r="O447" s="80"/>
      <c r="P447" s="82"/>
      <c r="Q447" s="80"/>
      <c r="R447" s="82"/>
      <c r="S447" s="80"/>
      <c r="T447" s="82"/>
      <c r="U447" s="80"/>
      <c r="V447" s="82"/>
      <c r="W447" s="80"/>
      <c r="X447" s="82"/>
      <c r="Y447" s="80"/>
      <c r="Z447" s="210">
        <f t="shared" si="6"/>
        <v>0</v>
      </c>
      <c r="AA447" s="60"/>
      <c r="AB447" s="60"/>
    </row>
    <row r="448" spans="1:28" x14ac:dyDescent="0.25">
      <c r="A448" s="443"/>
      <c r="B448" s="443"/>
      <c r="C448" s="443"/>
      <c r="D448" s="330"/>
      <c r="E448" s="330"/>
      <c r="F448" s="330"/>
      <c r="G448" s="330"/>
      <c r="H448" s="330"/>
      <c r="I448" s="330"/>
      <c r="J448" s="330"/>
      <c r="K448" s="330"/>
      <c r="L448" s="82"/>
      <c r="M448" s="80"/>
      <c r="N448" s="82"/>
      <c r="O448" s="80"/>
      <c r="P448" s="82"/>
      <c r="Q448" s="80"/>
      <c r="R448" s="82"/>
      <c r="S448" s="80"/>
      <c r="T448" s="82"/>
      <c r="U448" s="80"/>
      <c r="V448" s="82"/>
      <c r="W448" s="80"/>
      <c r="X448" s="82"/>
      <c r="Y448" s="80"/>
      <c r="Z448" s="210">
        <f t="shared" si="6"/>
        <v>0</v>
      </c>
      <c r="AA448" s="60"/>
      <c r="AB448" s="60"/>
    </row>
    <row r="449" spans="1:28" x14ac:dyDescent="0.25">
      <c r="A449" s="443"/>
      <c r="B449" s="443"/>
      <c r="C449" s="443"/>
      <c r="D449" s="330"/>
      <c r="E449" s="330"/>
      <c r="F449" s="330"/>
      <c r="G449" s="330"/>
      <c r="H449" s="330"/>
      <c r="I449" s="330"/>
      <c r="J449" s="330"/>
      <c r="K449" s="330"/>
      <c r="L449" s="82"/>
      <c r="M449" s="80"/>
      <c r="N449" s="82"/>
      <c r="O449" s="80"/>
      <c r="P449" s="82"/>
      <c r="Q449" s="80"/>
      <c r="R449" s="82"/>
      <c r="S449" s="80"/>
      <c r="T449" s="82"/>
      <c r="U449" s="80"/>
      <c r="V449" s="82"/>
      <c r="W449" s="80"/>
      <c r="X449" s="82"/>
      <c r="Y449" s="80"/>
      <c r="Z449" s="210">
        <f t="shared" si="6"/>
        <v>0</v>
      </c>
      <c r="AA449" s="60"/>
      <c r="AB449" s="60"/>
    </row>
    <row r="450" spans="1:28" x14ac:dyDescent="0.25">
      <c r="A450" s="443"/>
      <c r="B450" s="443"/>
      <c r="C450" s="443"/>
      <c r="D450" s="330"/>
      <c r="E450" s="330"/>
      <c r="F450" s="330"/>
      <c r="G450" s="330"/>
      <c r="H450" s="330"/>
      <c r="I450" s="330"/>
      <c r="J450" s="330"/>
      <c r="K450" s="330"/>
      <c r="L450" s="82"/>
      <c r="M450" s="80"/>
      <c r="N450" s="82"/>
      <c r="O450" s="80"/>
      <c r="P450" s="82"/>
      <c r="Q450" s="80"/>
      <c r="R450" s="82"/>
      <c r="S450" s="80"/>
      <c r="T450" s="82"/>
      <c r="U450" s="80"/>
      <c r="V450" s="82"/>
      <c r="W450" s="80"/>
      <c r="X450" s="82"/>
      <c r="Y450" s="80"/>
      <c r="Z450" s="210">
        <f t="shared" si="6"/>
        <v>0</v>
      </c>
      <c r="AA450" s="60"/>
      <c r="AB450" s="60"/>
    </row>
    <row r="451" spans="1:28" x14ac:dyDescent="0.25">
      <c r="A451" s="443"/>
      <c r="B451" s="443"/>
      <c r="C451" s="443"/>
      <c r="D451" s="330"/>
      <c r="E451" s="330"/>
      <c r="F451" s="330"/>
      <c r="G451" s="330"/>
      <c r="H451" s="330"/>
      <c r="I451" s="330"/>
      <c r="J451" s="330"/>
      <c r="K451" s="330"/>
      <c r="L451" s="82"/>
      <c r="M451" s="80"/>
      <c r="N451" s="82"/>
      <c r="O451" s="80"/>
      <c r="P451" s="82"/>
      <c r="Q451" s="80"/>
      <c r="R451" s="82"/>
      <c r="S451" s="80"/>
      <c r="T451" s="82"/>
      <c r="U451" s="80"/>
      <c r="V451" s="82"/>
      <c r="W451" s="80"/>
      <c r="X451" s="82"/>
      <c r="Y451" s="80"/>
      <c r="Z451" s="210">
        <f t="shared" si="6"/>
        <v>0</v>
      </c>
      <c r="AA451" s="60"/>
      <c r="AB451" s="60"/>
    </row>
    <row r="452" spans="1:28" x14ac:dyDescent="0.25">
      <c r="A452" s="443"/>
      <c r="B452" s="443"/>
      <c r="C452" s="443"/>
      <c r="D452" s="330"/>
      <c r="E452" s="330"/>
      <c r="F452" s="330"/>
      <c r="G452" s="330"/>
      <c r="H452" s="330"/>
      <c r="I452" s="330"/>
      <c r="J452" s="330"/>
      <c r="K452" s="330"/>
      <c r="L452" s="82"/>
      <c r="M452" s="80"/>
      <c r="N452" s="82"/>
      <c r="O452" s="80"/>
      <c r="P452" s="82"/>
      <c r="Q452" s="80"/>
      <c r="R452" s="82"/>
      <c r="S452" s="80"/>
      <c r="T452" s="82"/>
      <c r="U452" s="80"/>
      <c r="V452" s="82"/>
      <c r="W452" s="80"/>
      <c r="X452" s="82"/>
      <c r="Y452" s="80"/>
      <c r="Z452" s="210">
        <f t="shared" si="6"/>
        <v>0</v>
      </c>
      <c r="AA452" s="60"/>
      <c r="AB452" s="60"/>
    </row>
    <row r="453" spans="1:28" x14ac:dyDescent="0.25">
      <c r="A453" s="443"/>
      <c r="B453" s="443"/>
      <c r="C453" s="443"/>
      <c r="D453" s="330"/>
      <c r="E453" s="330"/>
      <c r="F453" s="330"/>
      <c r="G453" s="330"/>
      <c r="H453" s="330"/>
      <c r="I453" s="330"/>
      <c r="J453" s="330"/>
      <c r="K453" s="330"/>
      <c r="L453" s="82"/>
      <c r="M453" s="80"/>
      <c r="N453" s="82"/>
      <c r="O453" s="80"/>
      <c r="P453" s="82"/>
      <c r="Q453" s="80"/>
      <c r="R453" s="82"/>
      <c r="S453" s="80"/>
      <c r="T453" s="82"/>
      <c r="U453" s="80"/>
      <c r="V453" s="82"/>
      <c r="W453" s="80"/>
      <c r="X453" s="82"/>
      <c r="Y453" s="80"/>
      <c r="Z453" s="210">
        <f t="shared" si="6"/>
        <v>0</v>
      </c>
      <c r="AA453" s="60"/>
      <c r="AB453" s="60"/>
    </row>
    <row r="454" spans="1:28" x14ac:dyDescent="0.25">
      <c r="A454" s="443"/>
      <c r="B454" s="443"/>
      <c r="C454" s="443"/>
      <c r="D454" s="330"/>
      <c r="E454" s="330"/>
      <c r="F454" s="330"/>
      <c r="G454" s="330"/>
      <c r="H454" s="330"/>
      <c r="I454" s="330"/>
      <c r="J454" s="330"/>
      <c r="K454" s="330"/>
      <c r="L454" s="82"/>
      <c r="M454" s="80"/>
      <c r="N454" s="82"/>
      <c r="O454" s="80"/>
      <c r="P454" s="82"/>
      <c r="Q454" s="80"/>
      <c r="R454" s="82"/>
      <c r="S454" s="80"/>
      <c r="T454" s="82"/>
      <c r="U454" s="80"/>
      <c r="V454" s="82"/>
      <c r="W454" s="80"/>
      <c r="X454" s="82"/>
      <c r="Y454" s="80"/>
      <c r="Z454" s="210">
        <f t="shared" si="6"/>
        <v>0</v>
      </c>
      <c r="AA454" s="60"/>
      <c r="AB454" s="60"/>
    </row>
    <row r="455" spans="1:28" x14ac:dyDescent="0.25">
      <c r="A455" s="443"/>
      <c r="B455" s="443"/>
      <c r="C455" s="443"/>
      <c r="D455" s="330"/>
      <c r="E455" s="330"/>
      <c r="F455" s="330"/>
      <c r="G455" s="330"/>
      <c r="H455" s="330"/>
      <c r="I455" s="330"/>
      <c r="J455" s="330"/>
      <c r="K455" s="330"/>
      <c r="L455" s="82"/>
      <c r="M455" s="80"/>
      <c r="N455" s="82"/>
      <c r="O455" s="80"/>
      <c r="P455" s="82"/>
      <c r="Q455" s="80"/>
      <c r="R455" s="82"/>
      <c r="S455" s="80"/>
      <c r="T455" s="82"/>
      <c r="U455" s="80"/>
      <c r="V455" s="82"/>
      <c r="W455" s="80"/>
      <c r="X455" s="82"/>
      <c r="Y455" s="80"/>
      <c r="Z455" s="210">
        <f t="shared" si="6"/>
        <v>0</v>
      </c>
      <c r="AA455" s="60"/>
      <c r="AB455" s="60"/>
    </row>
    <row r="456" spans="1:28" x14ac:dyDescent="0.25">
      <c r="A456" s="443"/>
      <c r="B456" s="443"/>
      <c r="C456" s="443"/>
      <c r="D456" s="330"/>
      <c r="E456" s="330"/>
      <c r="F456" s="330"/>
      <c r="G456" s="330"/>
      <c r="H456" s="330"/>
      <c r="I456" s="330"/>
      <c r="J456" s="330"/>
      <c r="K456" s="330"/>
      <c r="L456" s="82"/>
      <c r="M456" s="80"/>
      <c r="N456" s="82"/>
      <c r="O456" s="80"/>
      <c r="P456" s="82"/>
      <c r="Q456" s="80"/>
      <c r="R456" s="82"/>
      <c r="S456" s="80"/>
      <c r="T456" s="82"/>
      <c r="U456" s="80"/>
      <c r="V456" s="82"/>
      <c r="W456" s="80"/>
      <c r="X456" s="82"/>
      <c r="Y456" s="80"/>
      <c r="Z456" s="210">
        <f t="shared" si="6"/>
        <v>0</v>
      </c>
      <c r="AA456" s="60"/>
      <c r="AB456" s="60"/>
    </row>
    <row r="457" spans="1:28" x14ac:dyDescent="0.25">
      <c r="A457" s="443"/>
      <c r="B457" s="443"/>
      <c r="C457" s="443"/>
      <c r="D457" s="330"/>
      <c r="E457" s="330"/>
      <c r="F457" s="330"/>
      <c r="G457" s="330"/>
      <c r="H457" s="330"/>
      <c r="I457" s="330"/>
      <c r="J457" s="330"/>
      <c r="K457" s="330"/>
      <c r="L457" s="82"/>
      <c r="M457" s="80"/>
      <c r="N457" s="82"/>
      <c r="O457" s="80"/>
      <c r="P457" s="82"/>
      <c r="Q457" s="80"/>
      <c r="R457" s="82"/>
      <c r="S457" s="80"/>
      <c r="T457" s="82"/>
      <c r="U457" s="80"/>
      <c r="V457" s="82"/>
      <c r="W457" s="80"/>
      <c r="X457" s="82"/>
      <c r="Y457" s="80"/>
      <c r="Z457" s="210">
        <f t="shared" si="6"/>
        <v>0</v>
      </c>
      <c r="AA457" s="60"/>
      <c r="AB457" s="60"/>
    </row>
    <row r="458" spans="1:28" x14ac:dyDescent="0.25">
      <c r="A458" s="443"/>
      <c r="B458" s="443"/>
      <c r="C458" s="443"/>
      <c r="D458" s="330"/>
      <c r="E458" s="330"/>
      <c r="F458" s="330"/>
      <c r="G458" s="330"/>
      <c r="H458" s="330"/>
      <c r="I458" s="330"/>
      <c r="J458" s="330"/>
      <c r="K458" s="330"/>
      <c r="L458" s="82"/>
      <c r="M458" s="80"/>
      <c r="N458" s="82"/>
      <c r="O458" s="80"/>
      <c r="P458" s="82"/>
      <c r="Q458" s="80"/>
      <c r="R458" s="82"/>
      <c r="S458" s="80"/>
      <c r="T458" s="82"/>
      <c r="U458" s="80"/>
      <c r="V458" s="82"/>
      <c r="W458" s="80"/>
      <c r="X458" s="82"/>
      <c r="Y458" s="80"/>
      <c r="Z458" s="210">
        <f t="shared" si="6"/>
        <v>0</v>
      </c>
      <c r="AA458" s="60"/>
      <c r="AB458" s="60"/>
    </row>
    <row r="459" spans="1:28" x14ac:dyDescent="0.25">
      <c r="A459" s="443"/>
      <c r="B459" s="443"/>
      <c r="C459" s="443"/>
      <c r="D459" s="330"/>
      <c r="E459" s="330"/>
      <c r="F459" s="330"/>
      <c r="G459" s="330"/>
      <c r="H459" s="330"/>
      <c r="I459" s="330"/>
      <c r="J459" s="330"/>
      <c r="K459" s="330"/>
      <c r="L459" s="82"/>
      <c r="M459" s="80"/>
      <c r="N459" s="82"/>
      <c r="O459" s="80"/>
      <c r="P459" s="82"/>
      <c r="Q459" s="80"/>
      <c r="R459" s="82"/>
      <c r="S459" s="80"/>
      <c r="T459" s="82"/>
      <c r="U459" s="80"/>
      <c r="V459" s="82"/>
      <c r="W459" s="80"/>
      <c r="X459" s="82"/>
      <c r="Y459" s="80"/>
      <c r="Z459" s="210">
        <f t="shared" ref="Z459:Z501" si="7">SUM(L459:Y459)</f>
        <v>0</v>
      </c>
      <c r="AA459" s="60"/>
      <c r="AB459" s="60"/>
    </row>
    <row r="460" spans="1:28" x14ac:dyDescent="0.25">
      <c r="A460" s="443"/>
      <c r="B460" s="443"/>
      <c r="C460" s="443"/>
      <c r="D460" s="330"/>
      <c r="E460" s="330"/>
      <c r="F460" s="330"/>
      <c r="G460" s="330"/>
      <c r="H460" s="330"/>
      <c r="I460" s="330"/>
      <c r="J460" s="330"/>
      <c r="K460" s="330"/>
      <c r="L460" s="82"/>
      <c r="M460" s="80"/>
      <c r="N460" s="82"/>
      <c r="O460" s="80"/>
      <c r="P460" s="82"/>
      <c r="Q460" s="80"/>
      <c r="R460" s="82"/>
      <c r="S460" s="80"/>
      <c r="T460" s="82"/>
      <c r="U460" s="80"/>
      <c r="V460" s="82"/>
      <c r="W460" s="80"/>
      <c r="X460" s="82"/>
      <c r="Y460" s="80"/>
      <c r="Z460" s="210">
        <f t="shared" si="7"/>
        <v>0</v>
      </c>
      <c r="AA460" s="60"/>
      <c r="AB460" s="60"/>
    </row>
    <row r="461" spans="1:28" x14ac:dyDescent="0.25">
      <c r="A461" s="443"/>
      <c r="B461" s="443"/>
      <c r="C461" s="443"/>
      <c r="D461" s="330"/>
      <c r="E461" s="330"/>
      <c r="F461" s="330"/>
      <c r="G461" s="330"/>
      <c r="H461" s="330"/>
      <c r="I461" s="330"/>
      <c r="J461" s="330"/>
      <c r="K461" s="330"/>
      <c r="L461" s="82"/>
      <c r="M461" s="80"/>
      <c r="N461" s="82"/>
      <c r="O461" s="80"/>
      <c r="P461" s="82"/>
      <c r="Q461" s="80"/>
      <c r="R461" s="82"/>
      <c r="S461" s="80"/>
      <c r="T461" s="82"/>
      <c r="U461" s="80"/>
      <c r="V461" s="82"/>
      <c r="W461" s="80"/>
      <c r="X461" s="82"/>
      <c r="Y461" s="80"/>
      <c r="Z461" s="210">
        <f t="shared" si="7"/>
        <v>0</v>
      </c>
      <c r="AA461" s="60"/>
      <c r="AB461" s="60"/>
    </row>
    <row r="462" spans="1:28" x14ac:dyDescent="0.25">
      <c r="A462" s="443"/>
      <c r="B462" s="443"/>
      <c r="C462" s="443"/>
      <c r="D462" s="330"/>
      <c r="E462" s="330"/>
      <c r="F462" s="330"/>
      <c r="G462" s="330"/>
      <c r="H462" s="330"/>
      <c r="I462" s="330"/>
      <c r="J462" s="330"/>
      <c r="K462" s="330"/>
      <c r="L462" s="82"/>
      <c r="M462" s="80"/>
      <c r="N462" s="82"/>
      <c r="O462" s="80"/>
      <c r="P462" s="82"/>
      <c r="Q462" s="80"/>
      <c r="R462" s="82"/>
      <c r="S462" s="80"/>
      <c r="T462" s="82"/>
      <c r="U462" s="80"/>
      <c r="V462" s="82"/>
      <c r="W462" s="80"/>
      <c r="X462" s="82"/>
      <c r="Y462" s="80"/>
      <c r="Z462" s="210">
        <f t="shared" si="7"/>
        <v>0</v>
      </c>
      <c r="AA462" s="60"/>
      <c r="AB462" s="60"/>
    </row>
    <row r="463" spans="1:28" x14ac:dyDescent="0.25">
      <c r="A463" s="443"/>
      <c r="B463" s="443"/>
      <c r="C463" s="443"/>
      <c r="D463" s="330"/>
      <c r="E463" s="330"/>
      <c r="F463" s="330"/>
      <c r="G463" s="330"/>
      <c r="H463" s="330"/>
      <c r="I463" s="330"/>
      <c r="J463" s="330"/>
      <c r="K463" s="330"/>
      <c r="L463" s="82"/>
      <c r="M463" s="80"/>
      <c r="N463" s="82"/>
      <c r="O463" s="80"/>
      <c r="P463" s="82"/>
      <c r="Q463" s="80"/>
      <c r="R463" s="82"/>
      <c r="S463" s="80"/>
      <c r="T463" s="82"/>
      <c r="U463" s="80"/>
      <c r="V463" s="82"/>
      <c r="W463" s="80"/>
      <c r="X463" s="82"/>
      <c r="Y463" s="80"/>
      <c r="Z463" s="210">
        <f t="shared" si="7"/>
        <v>0</v>
      </c>
      <c r="AA463" s="60"/>
      <c r="AB463" s="60"/>
    </row>
    <row r="464" spans="1:28" x14ac:dyDescent="0.25">
      <c r="A464" s="443"/>
      <c r="B464" s="443"/>
      <c r="C464" s="443"/>
      <c r="D464" s="330"/>
      <c r="E464" s="330"/>
      <c r="F464" s="330"/>
      <c r="G464" s="330"/>
      <c r="H464" s="330"/>
      <c r="I464" s="330"/>
      <c r="J464" s="330"/>
      <c r="K464" s="330"/>
      <c r="L464" s="82"/>
      <c r="M464" s="80"/>
      <c r="N464" s="82"/>
      <c r="O464" s="80"/>
      <c r="P464" s="82"/>
      <c r="Q464" s="80"/>
      <c r="R464" s="82"/>
      <c r="S464" s="80"/>
      <c r="T464" s="82"/>
      <c r="U464" s="80"/>
      <c r="V464" s="82"/>
      <c r="W464" s="80"/>
      <c r="X464" s="82"/>
      <c r="Y464" s="80"/>
      <c r="Z464" s="210">
        <f t="shared" si="7"/>
        <v>0</v>
      </c>
      <c r="AA464" s="60"/>
      <c r="AB464" s="60"/>
    </row>
    <row r="465" spans="1:28" x14ac:dyDescent="0.25">
      <c r="A465" s="443"/>
      <c r="B465" s="443"/>
      <c r="C465" s="443"/>
      <c r="D465" s="330"/>
      <c r="E465" s="330"/>
      <c r="F465" s="330"/>
      <c r="G465" s="330"/>
      <c r="H465" s="330"/>
      <c r="I465" s="330"/>
      <c r="J465" s="330"/>
      <c r="K465" s="330"/>
      <c r="L465" s="82"/>
      <c r="M465" s="80"/>
      <c r="N465" s="82"/>
      <c r="O465" s="80"/>
      <c r="P465" s="82"/>
      <c r="Q465" s="80"/>
      <c r="R465" s="82"/>
      <c r="S465" s="80"/>
      <c r="T465" s="82"/>
      <c r="U465" s="80"/>
      <c r="V465" s="82"/>
      <c r="W465" s="80"/>
      <c r="X465" s="82"/>
      <c r="Y465" s="80"/>
      <c r="Z465" s="210">
        <f t="shared" si="7"/>
        <v>0</v>
      </c>
      <c r="AA465" s="60"/>
      <c r="AB465" s="60"/>
    </row>
    <row r="466" spans="1:28" x14ac:dyDescent="0.25">
      <c r="A466" s="443"/>
      <c r="B466" s="443"/>
      <c r="C466" s="443"/>
      <c r="D466" s="330"/>
      <c r="E466" s="330"/>
      <c r="F466" s="330"/>
      <c r="G466" s="330"/>
      <c r="H466" s="330"/>
      <c r="I466" s="330"/>
      <c r="J466" s="330"/>
      <c r="K466" s="330"/>
      <c r="L466" s="82"/>
      <c r="M466" s="80"/>
      <c r="N466" s="82"/>
      <c r="O466" s="80"/>
      <c r="P466" s="82"/>
      <c r="Q466" s="80"/>
      <c r="R466" s="82"/>
      <c r="S466" s="80"/>
      <c r="T466" s="82"/>
      <c r="U466" s="80"/>
      <c r="V466" s="82"/>
      <c r="W466" s="80"/>
      <c r="X466" s="82"/>
      <c r="Y466" s="80"/>
      <c r="Z466" s="210">
        <f t="shared" si="7"/>
        <v>0</v>
      </c>
      <c r="AA466" s="60"/>
      <c r="AB466" s="60"/>
    </row>
    <row r="467" spans="1:28" x14ac:dyDescent="0.25">
      <c r="A467" s="443"/>
      <c r="B467" s="443"/>
      <c r="C467" s="443"/>
      <c r="D467" s="330"/>
      <c r="E467" s="330"/>
      <c r="F467" s="330"/>
      <c r="G467" s="330"/>
      <c r="H467" s="330"/>
      <c r="I467" s="330"/>
      <c r="J467" s="330"/>
      <c r="K467" s="330"/>
      <c r="L467" s="82"/>
      <c r="M467" s="80"/>
      <c r="N467" s="82"/>
      <c r="O467" s="80"/>
      <c r="P467" s="82"/>
      <c r="Q467" s="80"/>
      <c r="R467" s="82"/>
      <c r="S467" s="80"/>
      <c r="T467" s="82"/>
      <c r="U467" s="80"/>
      <c r="V467" s="82"/>
      <c r="W467" s="80"/>
      <c r="X467" s="82"/>
      <c r="Y467" s="80"/>
      <c r="Z467" s="210">
        <f t="shared" si="7"/>
        <v>0</v>
      </c>
      <c r="AA467" s="60"/>
      <c r="AB467" s="60"/>
    </row>
    <row r="468" spans="1:28" x14ac:dyDescent="0.25">
      <c r="A468" s="443"/>
      <c r="B468" s="443"/>
      <c r="C468" s="443"/>
      <c r="D468" s="330"/>
      <c r="E468" s="330"/>
      <c r="F468" s="330"/>
      <c r="G468" s="330"/>
      <c r="H468" s="330"/>
      <c r="I468" s="330"/>
      <c r="J468" s="330"/>
      <c r="K468" s="330"/>
      <c r="L468" s="82"/>
      <c r="M468" s="80"/>
      <c r="N468" s="82"/>
      <c r="O468" s="80"/>
      <c r="P468" s="82"/>
      <c r="Q468" s="80"/>
      <c r="R468" s="82"/>
      <c r="S468" s="80"/>
      <c r="T468" s="82"/>
      <c r="U468" s="80"/>
      <c r="V468" s="82"/>
      <c r="W468" s="80"/>
      <c r="X468" s="82"/>
      <c r="Y468" s="80"/>
      <c r="Z468" s="210">
        <f t="shared" si="7"/>
        <v>0</v>
      </c>
      <c r="AA468" s="60"/>
      <c r="AB468" s="60"/>
    </row>
    <row r="469" spans="1:28" x14ac:dyDescent="0.25">
      <c r="A469" s="443"/>
      <c r="B469" s="443"/>
      <c r="C469" s="443"/>
      <c r="D469" s="330"/>
      <c r="E469" s="330"/>
      <c r="F469" s="330"/>
      <c r="G469" s="330"/>
      <c r="H469" s="330"/>
      <c r="I469" s="330"/>
      <c r="J469" s="330"/>
      <c r="K469" s="330"/>
      <c r="L469" s="82"/>
      <c r="M469" s="80"/>
      <c r="N469" s="82"/>
      <c r="O469" s="80"/>
      <c r="P469" s="82"/>
      <c r="Q469" s="80"/>
      <c r="R469" s="82"/>
      <c r="S469" s="80"/>
      <c r="T469" s="82"/>
      <c r="U469" s="80"/>
      <c r="V469" s="82"/>
      <c r="W469" s="80"/>
      <c r="X469" s="82"/>
      <c r="Y469" s="80"/>
      <c r="Z469" s="210">
        <f t="shared" si="7"/>
        <v>0</v>
      </c>
      <c r="AA469" s="60"/>
      <c r="AB469" s="60"/>
    </row>
    <row r="470" spans="1:28" x14ac:dyDescent="0.25">
      <c r="A470" s="443"/>
      <c r="B470" s="443"/>
      <c r="C470" s="443"/>
      <c r="D470" s="330"/>
      <c r="E470" s="330"/>
      <c r="F470" s="330"/>
      <c r="G470" s="330"/>
      <c r="H470" s="330"/>
      <c r="I470" s="330"/>
      <c r="J470" s="330"/>
      <c r="K470" s="330"/>
      <c r="L470" s="82"/>
      <c r="M470" s="80"/>
      <c r="N470" s="82"/>
      <c r="O470" s="80"/>
      <c r="P470" s="82"/>
      <c r="Q470" s="80"/>
      <c r="R470" s="82"/>
      <c r="S470" s="80"/>
      <c r="T470" s="82"/>
      <c r="U470" s="80"/>
      <c r="V470" s="82"/>
      <c r="W470" s="80"/>
      <c r="X470" s="82"/>
      <c r="Y470" s="80"/>
      <c r="Z470" s="210">
        <f t="shared" si="7"/>
        <v>0</v>
      </c>
      <c r="AA470" s="60"/>
      <c r="AB470" s="60"/>
    </row>
    <row r="471" spans="1:28" x14ac:dyDescent="0.25">
      <c r="A471" s="443"/>
      <c r="B471" s="443"/>
      <c r="C471" s="443"/>
      <c r="D471" s="330"/>
      <c r="E471" s="330"/>
      <c r="F471" s="330"/>
      <c r="G471" s="330"/>
      <c r="H471" s="330"/>
      <c r="I471" s="330"/>
      <c r="J471" s="330"/>
      <c r="K471" s="330"/>
      <c r="L471" s="82"/>
      <c r="M471" s="80"/>
      <c r="N471" s="82"/>
      <c r="O471" s="80"/>
      <c r="P471" s="82"/>
      <c r="Q471" s="80"/>
      <c r="R471" s="82"/>
      <c r="S471" s="80"/>
      <c r="T471" s="82"/>
      <c r="U471" s="80"/>
      <c r="V471" s="82"/>
      <c r="W471" s="80"/>
      <c r="X471" s="82"/>
      <c r="Y471" s="80"/>
      <c r="Z471" s="210">
        <f t="shared" si="7"/>
        <v>0</v>
      </c>
      <c r="AA471" s="60"/>
      <c r="AB471" s="60"/>
    </row>
    <row r="472" spans="1:28" x14ac:dyDescent="0.25">
      <c r="A472" s="443"/>
      <c r="B472" s="443"/>
      <c r="C472" s="443"/>
      <c r="D472" s="330"/>
      <c r="E472" s="330"/>
      <c r="F472" s="330"/>
      <c r="G472" s="330"/>
      <c r="H472" s="330"/>
      <c r="I472" s="330"/>
      <c r="J472" s="330"/>
      <c r="K472" s="330"/>
      <c r="L472" s="82"/>
      <c r="M472" s="80"/>
      <c r="N472" s="82"/>
      <c r="O472" s="80"/>
      <c r="P472" s="82"/>
      <c r="Q472" s="80"/>
      <c r="R472" s="82"/>
      <c r="S472" s="80"/>
      <c r="T472" s="82"/>
      <c r="U472" s="80"/>
      <c r="V472" s="82"/>
      <c r="W472" s="80"/>
      <c r="X472" s="82"/>
      <c r="Y472" s="80"/>
      <c r="Z472" s="210">
        <f t="shared" si="7"/>
        <v>0</v>
      </c>
      <c r="AA472" s="60"/>
      <c r="AB472" s="60"/>
    </row>
    <row r="473" spans="1:28" x14ac:dyDescent="0.25">
      <c r="A473" s="443"/>
      <c r="B473" s="443"/>
      <c r="C473" s="443"/>
      <c r="D473" s="330"/>
      <c r="E473" s="330"/>
      <c r="F473" s="330"/>
      <c r="G473" s="330"/>
      <c r="H473" s="330"/>
      <c r="I473" s="330"/>
      <c r="J473" s="330"/>
      <c r="K473" s="330"/>
      <c r="L473" s="82"/>
      <c r="M473" s="80"/>
      <c r="N473" s="82"/>
      <c r="O473" s="80"/>
      <c r="P473" s="82"/>
      <c r="Q473" s="80"/>
      <c r="R473" s="82"/>
      <c r="S473" s="80"/>
      <c r="T473" s="82"/>
      <c r="U473" s="80"/>
      <c r="V473" s="82"/>
      <c r="W473" s="80"/>
      <c r="X473" s="82"/>
      <c r="Y473" s="80"/>
      <c r="Z473" s="210">
        <f t="shared" si="7"/>
        <v>0</v>
      </c>
      <c r="AA473" s="60"/>
      <c r="AB473" s="60"/>
    </row>
    <row r="474" spans="1:28" x14ac:dyDescent="0.25">
      <c r="A474" s="443"/>
      <c r="B474" s="443"/>
      <c r="C474" s="443"/>
      <c r="D474" s="330"/>
      <c r="E474" s="330"/>
      <c r="F474" s="330"/>
      <c r="G474" s="330"/>
      <c r="H474" s="330"/>
      <c r="I474" s="330"/>
      <c r="J474" s="330"/>
      <c r="K474" s="330"/>
      <c r="L474" s="82"/>
      <c r="M474" s="80"/>
      <c r="N474" s="82"/>
      <c r="O474" s="80"/>
      <c r="P474" s="82"/>
      <c r="Q474" s="80"/>
      <c r="R474" s="82"/>
      <c r="S474" s="80"/>
      <c r="T474" s="82"/>
      <c r="U474" s="80"/>
      <c r="V474" s="82"/>
      <c r="W474" s="80"/>
      <c r="X474" s="82"/>
      <c r="Y474" s="80"/>
      <c r="Z474" s="210">
        <f t="shared" si="7"/>
        <v>0</v>
      </c>
      <c r="AA474" s="60"/>
      <c r="AB474" s="60"/>
    </row>
    <row r="475" spans="1:28" x14ac:dyDescent="0.25">
      <c r="A475" s="443"/>
      <c r="B475" s="443"/>
      <c r="C475" s="443"/>
      <c r="D475" s="330"/>
      <c r="E475" s="330"/>
      <c r="F475" s="330"/>
      <c r="G475" s="330"/>
      <c r="H475" s="330"/>
      <c r="I475" s="330"/>
      <c r="J475" s="330"/>
      <c r="K475" s="330"/>
      <c r="L475" s="82"/>
      <c r="M475" s="80"/>
      <c r="N475" s="82"/>
      <c r="O475" s="80"/>
      <c r="P475" s="82"/>
      <c r="Q475" s="80"/>
      <c r="R475" s="82"/>
      <c r="S475" s="80"/>
      <c r="T475" s="82"/>
      <c r="U475" s="80"/>
      <c r="V475" s="82"/>
      <c r="W475" s="80"/>
      <c r="X475" s="82"/>
      <c r="Y475" s="80"/>
      <c r="Z475" s="210">
        <f t="shared" si="7"/>
        <v>0</v>
      </c>
      <c r="AA475" s="60"/>
      <c r="AB475" s="60"/>
    </row>
    <row r="476" spans="1:28" x14ac:dyDescent="0.25">
      <c r="A476" s="443"/>
      <c r="B476" s="443"/>
      <c r="C476" s="443"/>
      <c r="D476" s="330"/>
      <c r="E476" s="330"/>
      <c r="F476" s="330"/>
      <c r="G476" s="330"/>
      <c r="H476" s="330"/>
      <c r="I476" s="330"/>
      <c r="J476" s="330"/>
      <c r="K476" s="330"/>
      <c r="L476" s="82"/>
      <c r="M476" s="80"/>
      <c r="N476" s="82"/>
      <c r="O476" s="80"/>
      <c r="P476" s="82"/>
      <c r="Q476" s="80"/>
      <c r="R476" s="82"/>
      <c r="S476" s="80"/>
      <c r="T476" s="82"/>
      <c r="U476" s="80"/>
      <c r="V476" s="82"/>
      <c r="W476" s="80"/>
      <c r="X476" s="82"/>
      <c r="Y476" s="80"/>
      <c r="Z476" s="210">
        <f t="shared" si="7"/>
        <v>0</v>
      </c>
      <c r="AA476" s="60"/>
      <c r="AB476" s="60"/>
    </row>
    <row r="477" spans="1:28" x14ac:dyDescent="0.25">
      <c r="A477" s="443"/>
      <c r="B477" s="443"/>
      <c r="C477" s="443"/>
      <c r="D477" s="330"/>
      <c r="E477" s="330"/>
      <c r="F477" s="330"/>
      <c r="G477" s="330"/>
      <c r="H477" s="330"/>
      <c r="I477" s="330"/>
      <c r="J477" s="330"/>
      <c r="K477" s="330"/>
      <c r="L477" s="82"/>
      <c r="M477" s="80"/>
      <c r="N477" s="82"/>
      <c r="O477" s="80"/>
      <c r="P477" s="82"/>
      <c r="Q477" s="80"/>
      <c r="R477" s="82"/>
      <c r="S477" s="80"/>
      <c r="T477" s="82"/>
      <c r="U477" s="80"/>
      <c r="V477" s="82"/>
      <c r="W477" s="80"/>
      <c r="X477" s="82"/>
      <c r="Y477" s="80"/>
      <c r="Z477" s="210">
        <f t="shared" si="7"/>
        <v>0</v>
      </c>
      <c r="AA477" s="60"/>
      <c r="AB477" s="60"/>
    </row>
    <row r="478" spans="1:28" x14ac:dyDescent="0.25">
      <c r="A478" s="443"/>
      <c r="B478" s="443"/>
      <c r="C478" s="443"/>
      <c r="D478" s="330"/>
      <c r="E478" s="330"/>
      <c r="F478" s="330"/>
      <c r="G478" s="330"/>
      <c r="H478" s="330"/>
      <c r="I478" s="330"/>
      <c r="J478" s="330"/>
      <c r="K478" s="330"/>
      <c r="L478" s="82"/>
      <c r="M478" s="80"/>
      <c r="N478" s="82"/>
      <c r="O478" s="80"/>
      <c r="P478" s="82"/>
      <c r="Q478" s="80"/>
      <c r="R478" s="82"/>
      <c r="S478" s="80"/>
      <c r="T478" s="82"/>
      <c r="U478" s="80"/>
      <c r="V478" s="82"/>
      <c r="W478" s="80"/>
      <c r="X478" s="82"/>
      <c r="Y478" s="80"/>
      <c r="Z478" s="210">
        <f t="shared" si="7"/>
        <v>0</v>
      </c>
      <c r="AA478" s="60"/>
      <c r="AB478" s="60"/>
    </row>
    <row r="479" spans="1:28" x14ac:dyDescent="0.25">
      <c r="A479" s="443"/>
      <c r="B479" s="443"/>
      <c r="C479" s="443"/>
      <c r="D479" s="330"/>
      <c r="E479" s="330"/>
      <c r="F479" s="330"/>
      <c r="G479" s="330"/>
      <c r="H479" s="330"/>
      <c r="I479" s="330"/>
      <c r="J479" s="330"/>
      <c r="K479" s="330"/>
      <c r="L479" s="82"/>
      <c r="M479" s="80"/>
      <c r="N479" s="82"/>
      <c r="O479" s="80"/>
      <c r="P479" s="82"/>
      <c r="Q479" s="80"/>
      <c r="R479" s="82"/>
      <c r="S479" s="80"/>
      <c r="T479" s="82"/>
      <c r="U479" s="80"/>
      <c r="V479" s="82"/>
      <c r="W479" s="80"/>
      <c r="X479" s="82"/>
      <c r="Y479" s="80"/>
      <c r="Z479" s="210">
        <f t="shared" si="7"/>
        <v>0</v>
      </c>
      <c r="AA479" s="60"/>
      <c r="AB479" s="60"/>
    </row>
    <row r="480" spans="1:28" x14ac:dyDescent="0.25">
      <c r="A480" s="443"/>
      <c r="B480" s="443"/>
      <c r="C480" s="443"/>
      <c r="D480" s="330"/>
      <c r="E480" s="330"/>
      <c r="F480" s="330"/>
      <c r="G480" s="330"/>
      <c r="H480" s="330"/>
      <c r="I480" s="330"/>
      <c r="J480" s="330"/>
      <c r="K480" s="330"/>
      <c r="L480" s="82"/>
      <c r="M480" s="80"/>
      <c r="N480" s="82"/>
      <c r="O480" s="80"/>
      <c r="P480" s="82"/>
      <c r="Q480" s="80"/>
      <c r="R480" s="82"/>
      <c r="S480" s="80"/>
      <c r="T480" s="82"/>
      <c r="U480" s="80"/>
      <c r="V480" s="82"/>
      <c r="W480" s="80"/>
      <c r="X480" s="82"/>
      <c r="Y480" s="80"/>
      <c r="Z480" s="210">
        <f t="shared" si="7"/>
        <v>0</v>
      </c>
      <c r="AA480" s="60"/>
      <c r="AB480" s="60"/>
    </row>
    <row r="481" spans="1:28" x14ac:dyDescent="0.25">
      <c r="A481" s="443"/>
      <c r="B481" s="443"/>
      <c r="C481" s="443"/>
      <c r="D481" s="330"/>
      <c r="E481" s="330"/>
      <c r="F481" s="330"/>
      <c r="G481" s="330"/>
      <c r="H481" s="330"/>
      <c r="I481" s="330"/>
      <c r="J481" s="330"/>
      <c r="K481" s="330"/>
      <c r="L481" s="82"/>
      <c r="M481" s="80"/>
      <c r="N481" s="82"/>
      <c r="O481" s="80"/>
      <c r="P481" s="82"/>
      <c r="Q481" s="80"/>
      <c r="R481" s="82"/>
      <c r="S481" s="80"/>
      <c r="T481" s="82"/>
      <c r="U481" s="80"/>
      <c r="V481" s="82"/>
      <c r="W481" s="80"/>
      <c r="X481" s="82"/>
      <c r="Y481" s="80"/>
      <c r="Z481" s="210">
        <f t="shared" si="7"/>
        <v>0</v>
      </c>
      <c r="AA481" s="60"/>
      <c r="AB481" s="60"/>
    </row>
    <row r="482" spans="1:28" x14ac:dyDescent="0.25">
      <c r="A482" s="443"/>
      <c r="B482" s="443"/>
      <c r="C482" s="443"/>
      <c r="D482" s="330" t="s">
        <v>185</v>
      </c>
      <c r="E482" s="330"/>
      <c r="F482" s="330"/>
      <c r="G482" s="330"/>
      <c r="H482" s="330"/>
      <c r="I482" s="330"/>
      <c r="J482" s="330"/>
      <c r="K482" s="330"/>
      <c r="L482" s="82"/>
      <c r="M482" s="80"/>
      <c r="N482" s="82"/>
      <c r="O482" s="80"/>
      <c r="P482" s="82"/>
      <c r="Q482" s="80"/>
      <c r="R482" s="82"/>
      <c r="S482" s="80"/>
      <c r="T482" s="82"/>
      <c r="U482" s="80"/>
      <c r="V482" s="82"/>
      <c r="W482" s="80"/>
      <c r="X482" s="82"/>
      <c r="Y482" s="80"/>
      <c r="Z482" s="210">
        <f t="shared" si="7"/>
        <v>0</v>
      </c>
      <c r="AA482" s="60"/>
      <c r="AB482" s="60"/>
    </row>
    <row r="483" spans="1:28" x14ac:dyDescent="0.25">
      <c r="A483" s="443"/>
      <c r="B483" s="443"/>
      <c r="C483" s="443"/>
      <c r="D483" s="330" t="s">
        <v>186</v>
      </c>
      <c r="E483" s="330"/>
      <c r="F483" s="330"/>
      <c r="G483" s="330"/>
      <c r="H483" s="330"/>
      <c r="I483" s="330"/>
      <c r="J483" s="330"/>
      <c r="K483" s="330"/>
      <c r="L483" s="82"/>
      <c r="M483" s="80"/>
      <c r="N483" s="82"/>
      <c r="O483" s="80"/>
      <c r="P483" s="82"/>
      <c r="Q483" s="80"/>
      <c r="R483" s="82"/>
      <c r="S483" s="80"/>
      <c r="T483" s="82"/>
      <c r="U483" s="80"/>
      <c r="V483" s="82"/>
      <c r="W483" s="80"/>
      <c r="X483" s="82"/>
      <c r="Y483" s="80"/>
      <c r="Z483" s="210">
        <f t="shared" si="7"/>
        <v>0</v>
      </c>
      <c r="AA483" s="60"/>
      <c r="AB483" s="60"/>
    </row>
    <row r="484" spans="1:28" x14ac:dyDescent="0.25">
      <c r="A484" s="443"/>
      <c r="B484" s="443"/>
      <c r="C484" s="443"/>
      <c r="D484" s="330" t="s">
        <v>188</v>
      </c>
      <c r="E484" s="330"/>
      <c r="F484" s="330"/>
      <c r="G484" s="330"/>
      <c r="H484" s="330"/>
      <c r="I484" s="330"/>
      <c r="J484" s="330"/>
      <c r="K484" s="330"/>
      <c r="L484" s="82"/>
      <c r="M484" s="80"/>
      <c r="N484" s="82"/>
      <c r="O484" s="80"/>
      <c r="P484" s="82"/>
      <c r="Q484" s="80"/>
      <c r="R484" s="82"/>
      <c r="S484" s="80"/>
      <c r="T484" s="82"/>
      <c r="U484" s="80"/>
      <c r="V484" s="82"/>
      <c r="W484" s="80"/>
      <c r="X484" s="82"/>
      <c r="Y484" s="80"/>
      <c r="Z484" s="210">
        <f t="shared" si="7"/>
        <v>0</v>
      </c>
      <c r="AA484" s="60"/>
      <c r="AB484" s="60"/>
    </row>
    <row r="485" spans="1:28" x14ac:dyDescent="0.25">
      <c r="A485" s="443"/>
      <c r="B485" s="443"/>
      <c r="C485" s="443"/>
      <c r="D485" s="330"/>
      <c r="E485" s="330"/>
      <c r="F485" s="330"/>
      <c r="G485" s="330"/>
      <c r="H485" s="330"/>
      <c r="I485" s="330"/>
      <c r="J485" s="330"/>
      <c r="K485" s="330"/>
      <c r="L485" s="82"/>
      <c r="M485" s="80"/>
      <c r="N485" s="82"/>
      <c r="O485" s="80"/>
      <c r="P485" s="82"/>
      <c r="Q485" s="80"/>
      <c r="R485" s="82"/>
      <c r="S485" s="80"/>
      <c r="T485" s="82"/>
      <c r="U485" s="80"/>
      <c r="V485" s="82"/>
      <c r="W485" s="80"/>
      <c r="X485" s="82"/>
      <c r="Y485" s="80"/>
      <c r="Z485" s="210">
        <f t="shared" si="7"/>
        <v>0</v>
      </c>
      <c r="AA485" s="60"/>
      <c r="AB485" s="60"/>
    </row>
    <row r="486" spans="1:28" x14ac:dyDescent="0.25">
      <c r="A486" s="443"/>
      <c r="B486" s="443"/>
      <c r="C486" s="443"/>
      <c r="D486" s="330"/>
      <c r="E486" s="330"/>
      <c r="F486" s="330"/>
      <c r="G486" s="330"/>
      <c r="H486" s="330"/>
      <c r="I486" s="330"/>
      <c r="J486" s="330"/>
      <c r="K486" s="330"/>
      <c r="L486" s="82"/>
      <c r="M486" s="80"/>
      <c r="N486" s="82"/>
      <c r="O486" s="80"/>
      <c r="P486" s="82"/>
      <c r="Q486" s="80"/>
      <c r="R486" s="82"/>
      <c r="S486" s="80"/>
      <c r="T486" s="82"/>
      <c r="U486" s="80"/>
      <c r="V486" s="82"/>
      <c r="W486" s="80"/>
      <c r="X486" s="82"/>
      <c r="Y486" s="80"/>
      <c r="Z486" s="210">
        <f t="shared" si="7"/>
        <v>0</v>
      </c>
      <c r="AA486" s="60"/>
      <c r="AB486" s="60"/>
    </row>
    <row r="487" spans="1:28" x14ac:dyDescent="0.25">
      <c r="A487" s="443"/>
      <c r="B487" s="443"/>
      <c r="C487" s="443"/>
      <c r="D487" s="330"/>
      <c r="E487" s="330"/>
      <c r="F487" s="330"/>
      <c r="G487" s="330"/>
      <c r="H487" s="330"/>
      <c r="I487" s="330"/>
      <c r="J487" s="330"/>
      <c r="K487" s="330"/>
      <c r="L487" s="82"/>
      <c r="M487" s="80"/>
      <c r="N487" s="82"/>
      <c r="O487" s="80"/>
      <c r="P487" s="82"/>
      <c r="Q487" s="80"/>
      <c r="R487" s="82"/>
      <c r="S487" s="80"/>
      <c r="T487" s="82"/>
      <c r="U487" s="80"/>
      <c r="V487" s="82"/>
      <c r="W487" s="80"/>
      <c r="X487" s="82"/>
      <c r="Y487" s="80"/>
      <c r="Z487" s="210">
        <f t="shared" si="7"/>
        <v>0</v>
      </c>
      <c r="AA487" s="60"/>
      <c r="AB487" s="60"/>
    </row>
    <row r="488" spans="1:28" x14ac:dyDescent="0.25">
      <c r="A488" s="443"/>
      <c r="B488" s="443"/>
      <c r="C488" s="443"/>
      <c r="D488" s="330"/>
      <c r="E488" s="330"/>
      <c r="F488" s="330"/>
      <c r="G488" s="330"/>
      <c r="H488" s="330"/>
      <c r="I488" s="330"/>
      <c r="J488" s="330"/>
      <c r="K488" s="330"/>
      <c r="L488" s="82"/>
      <c r="M488" s="80"/>
      <c r="N488" s="82"/>
      <c r="O488" s="80"/>
      <c r="P488" s="82"/>
      <c r="Q488" s="80"/>
      <c r="R488" s="82"/>
      <c r="S488" s="80"/>
      <c r="T488" s="82"/>
      <c r="U488" s="80"/>
      <c r="V488" s="82"/>
      <c r="W488" s="80"/>
      <c r="X488" s="82"/>
      <c r="Y488" s="80"/>
      <c r="Z488" s="210">
        <f t="shared" si="7"/>
        <v>0</v>
      </c>
      <c r="AA488" s="60"/>
      <c r="AB488" s="60"/>
    </row>
    <row r="489" spans="1:28" x14ac:dyDescent="0.25">
      <c r="A489" s="443"/>
      <c r="B489" s="443"/>
      <c r="C489" s="443"/>
      <c r="D489" s="330"/>
      <c r="E489" s="330"/>
      <c r="F489" s="330"/>
      <c r="G489" s="330"/>
      <c r="H489" s="330"/>
      <c r="I489" s="330"/>
      <c r="J489" s="330"/>
      <c r="K489" s="330"/>
      <c r="L489" s="82"/>
      <c r="M489" s="80"/>
      <c r="N489" s="82"/>
      <c r="O489" s="80"/>
      <c r="P489" s="82"/>
      <c r="Q489" s="80"/>
      <c r="R489" s="82"/>
      <c r="S489" s="80"/>
      <c r="T489" s="82"/>
      <c r="U489" s="80"/>
      <c r="V489" s="82"/>
      <c r="W489" s="80"/>
      <c r="X489" s="82"/>
      <c r="Y489" s="80"/>
      <c r="Z489" s="210">
        <f t="shared" si="7"/>
        <v>0</v>
      </c>
      <c r="AA489" s="60"/>
      <c r="AB489" s="60"/>
    </row>
    <row r="490" spans="1:28" x14ac:dyDescent="0.25">
      <c r="A490" s="443"/>
      <c r="B490" s="443"/>
      <c r="C490" s="443"/>
      <c r="D490" s="330"/>
      <c r="E490" s="330"/>
      <c r="F490" s="330"/>
      <c r="G490" s="330"/>
      <c r="H490" s="330"/>
      <c r="I490" s="330"/>
      <c r="J490" s="330"/>
      <c r="K490" s="330"/>
      <c r="L490" s="82"/>
      <c r="M490" s="80"/>
      <c r="N490" s="82"/>
      <c r="O490" s="80"/>
      <c r="P490" s="82"/>
      <c r="Q490" s="80"/>
      <c r="R490" s="82"/>
      <c r="S490" s="80"/>
      <c r="T490" s="82"/>
      <c r="U490" s="80"/>
      <c r="V490" s="82"/>
      <c r="W490" s="80"/>
      <c r="X490" s="82"/>
      <c r="Y490" s="80"/>
      <c r="Z490" s="210">
        <f t="shared" si="7"/>
        <v>0</v>
      </c>
      <c r="AA490" s="60"/>
      <c r="AB490" s="60"/>
    </row>
    <row r="491" spans="1:28" x14ac:dyDescent="0.25">
      <c r="A491" s="443"/>
      <c r="B491" s="443"/>
      <c r="C491" s="443"/>
      <c r="D491" s="330"/>
      <c r="E491" s="330"/>
      <c r="F491" s="330"/>
      <c r="G491" s="330"/>
      <c r="H491" s="330"/>
      <c r="I491" s="330"/>
      <c r="J491" s="330"/>
      <c r="K491" s="330"/>
      <c r="L491" s="82"/>
      <c r="M491" s="80"/>
      <c r="N491" s="82"/>
      <c r="O491" s="80"/>
      <c r="P491" s="82"/>
      <c r="Q491" s="80"/>
      <c r="R491" s="82"/>
      <c r="S491" s="80"/>
      <c r="T491" s="82"/>
      <c r="U491" s="80"/>
      <c r="V491" s="82"/>
      <c r="W491" s="80"/>
      <c r="X491" s="82"/>
      <c r="Y491" s="80"/>
      <c r="Z491" s="210">
        <f t="shared" si="7"/>
        <v>0</v>
      </c>
      <c r="AA491" s="60"/>
      <c r="AB491" s="60"/>
    </row>
    <row r="492" spans="1:28" x14ac:dyDescent="0.25">
      <c r="A492" s="443"/>
      <c r="B492" s="443"/>
      <c r="C492" s="443"/>
      <c r="D492" s="330"/>
      <c r="E492" s="330"/>
      <c r="F492" s="330"/>
      <c r="G492" s="330"/>
      <c r="H492" s="330"/>
      <c r="I492" s="330"/>
      <c r="J492" s="330"/>
      <c r="K492" s="330"/>
      <c r="L492" s="82"/>
      <c r="M492" s="80"/>
      <c r="N492" s="82"/>
      <c r="O492" s="80"/>
      <c r="P492" s="82"/>
      <c r="Q492" s="80"/>
      <c r="R492" s="82"/>
      <c r="S492" s="80"/>
      <c r="T492" s="82"/>
      <c r="U492" s="80"/>
      <c r="V492" s="82"/>
      <c r="W492" s="80"/>
      <c r="X492" s="82"/>
      <c r="Y492" s="80"/>
      <c r="Z492" s="210">
        <f t="shared" si="7"/>
        <v>0</v>
      </c>
      <c r="AA492" s="60"/>
      <c r="AB492" s="60"/>
    </row>
    <row r="493" spans="1:28" x14ac:dyDescent="0.25">
      <c r="A493" s="443"/>
      <c r="B493" s="443"/>
      <c r="C493" s="443"/>
      <c r="D493" s="330"/>
      <c r="E493" s="330"/>
      <c r="F493" s="330"/>
      <c r="G493" s="330"/>
      <c r="H493" s="330"/>
      <c r="I493" s="330"/>
      <c r="J493" s="330"/>
      <c r="K493" s="330"/>
      <c r="L493" s="82"/>
      <c r="M493" s="80"/>
      <c r="N493" s="82"/>
      <c r="O493" s="80"/>
      <c r="P493" s="82"/>
      <c r="Q493" s="80"/>
      <c r="R493" s="82"/>
      <c r="S493" s="80"/>
      <c r="T493" s="82"/>
      <c r="U493" s="80"/>
      <c r="V493" s="82"/>
      <c r="W493" s="80"/>
      <c r="X493" s="82"/>
      <c r="Y493" s="80"/>
      <c r="Z493" s="210">
        <f t="shared" si="7"/>
        <v>0</v>
      </c>
      <c r="AA493" s="60"/>
      <c r="AB493" s="60"/>
    </row>
    <row r="494" spans="1:28" x14ac:dyDescent="0.25">
      <c r="A494" s="443"/>
      <c r="B494" s="443"/>
      <c r="C494" s="443"/>
      <c r="D494" s="330"/>
      <c r="E494" s="330"/>
      <c r="F494" s="330"/>
      <c r="G494" s="330"/>
      <c r="H494" s="330"/>
      <c r="I494" s="330"/>
      <c r="J494" s="330"/>
      <c r="K494" s="330"/>
      <c r="L494" s="82"/>
      <c r="M494" s="80"/>
      <c r="N494" s="82"/>
      <c r="O494" s="80"/>
      <c r="P494" s="82"/>
      <c r="Q494" s="80"/>
      <c r="R494" s="82"/>
      <c r="S494" s="80"/>
      <c r="T494" s="82"/>
      <c r="U494" s="80"/>
      <c r="V494" s="82"/>
      <c r="W494" s="80"/>
      <c r="X494" s="82"/>
      <c r="Y494" s="80"/>
      <c r="Z494" s="210">
        <f t="shared" si="7"/>
        <v>0</v>
      </c>
      <c r="AA494" s="60"/>
      <c r="AB494" s="60"/>
    </row>
    <row r="495" spans="1:28" x14ac:dyDescent="0.25">
      <c r="A495" s="443"/>
      <c r="B495" s="443"/>
      <c r="C495" s="443"/>
      <c r="D495" s="330"/>
      <c r="E495" s="330"/>
      <c r="F495" s="330"/>
      <c r="G495" s="330"/>
      <c r="H495" s="330"/>
      <c r="I495" s="330"/>
      <c r="J495" s="330"/>
      <c r="K495" s="330"/>
      <c r="L495" s="82"/>
      <c r="M495" s="80"/>
      <c r="N495" s="82"/>
      <c r="O495" s="80"/>
      <c r="P495" s="82"/>
      <c r="Q495" s="80"/>
      <c r="R495" s="82"/>
      <c r="S495" s="80"/>
      <c r="T495" s="82"/>
      <c r="U495" s="80"/>
      <c r="V495" s="82"/>
      <c r="W495" s="80"/>
      <c r="X495" s="82"/>
      <c r="Y495" s="80"/>
      <c r="Z495" s="210">
        <f t="shared" si="7"/>
        <v>0</v>
      </c>
      <c r="AA495" s="60"/>
      <c r="AB495" s="60"/>
    </row>
    <row r="496" spans="1:28" x14ac:dyDescent="0.25">
      <c r="A496" s="443"/>
      <c r="B496" s="443"/>
      <c r="C496" s="443"/>
      <c r="D496" s="330"/>
      <c r="E496" s="330"/>
      <c r="F496" s="330"/>
      <c r="G496" s="330"/>
      <c r="H496" s="330"/>
      <c r="I496" s="330"/>
      <c r="J496" s="330"/>
      <c r="K496" s="330"/>
      <c r="L496" s="82"/>
      <c r="M496" s="80"/>
      <c r="N496" s="82"/>
      <c r="O496" s="80"/>
      <c r="P496" s="82"/>
      <c r="Q496" s="80"/>
      <c r="R496" s="82"/>
      <c r="S496" s="80"/>
      <c r="T496" s="82"/>
      <c r="U496" s="80"/>
      <c r="V496" s="82"/>
      <c r="W496" s="80"/>
      <c r="X496" s="82"/>
      <c r="Y496" s="80"/>
      <c r="Z496" s="210">
        <f t="shared" si="7"/>
        <v>0</v>
      </c>
      <c r="AA496" s="60"/>
      <c r="AB496" s="60"/>
    </row>
    <row r="497" spans="1:28" x14ac:dyDescent="0.25">
      <c r="A497" s="443"/>
      <c r="B497" s="443"/>
      <c r="C497" s="443"/>
      <c r="D497" s="330"/>
      <c r="E497" s="330"/>
      <c r="F497" s="330"/>
      <c r="G497" s="330"/>
      <c r="H497" s="330"/>
      <c r="I497" s="330"/>
      <c r="J497" s="330"/>
      <c r="K497" s="330"/>
      <c r="L497" s="82"/>
      <c r="M497" s="80"/>
      <c r="N497" s="82"/>
      <c r="O497" s="80"/>
      <c r="P497" s="82"/>
      <c r="Q497" s="80"/>
      <c r="R497" s="82"/>
      <c r="S497" s="80"/>
      <c r="T497" s="82"/>
      <c r="U497" s="80"/>
      <c r="V497" s="82"/>
      <c r="W497" s="80"/>
      <c r="X497" s="82"/>
      <c r="Y497" s="80"/>
      <c r="Z497" s="210">
        <f t="shared" si="7"/>
        <v>0</v>
      </c>
      <c r="AA497" s="60"/>
      <c r="AB497" s="60"/>
    </row>
    <row r="498" spans="1:28" x14ac:dyDescent="0.25">
      <c r="A498" s="443"/>
      <c r="B498" s="443"/>
      <c r="C498" s="443"/>
      <c r="D498" s="330"/>
      <c r="E498" s="330"/>
      <c r="F498" s="330"/>
      <c r="G498" s="330"/>
      <c r="H498" s="330"/>
      <c r="I498" s="330"/>
      <c r="J498" s="330"/>
      <c r="K498" s="330"/>
      <c r="L498" s="82"/>
      <c r="M498" s="80"/>
      <c r="N498" s="82"/>
      <c r="O498" s="80"/>
      <c r="P498" s="82"/>
      <c r="Q498" s="80"/>
      <c r="R498" s="82"/>
      <c r="S498" s="80"/>
      <c r="T498" s="82"/>
      <c r="U498" s="80"/>
      <c r="V498" s="82"/>
      <c r="W498" s="80"/>
      <c r="X498" s="82"/>
      <c r="Y498" s="80"/>
      <c r="Z498" s="210">
        <f t="shared" si="7"/>
        <v>0</v>
      </c>
      <c r="AA498" s="60"/>
      <c r="AB498" s="60"/>
    </row>
    <row r="499" spans="1:28" x14ac:dyDescent="0.25">
      <c r="A499" s="443"/>
      <c r="B499" s="443"/>
      <c r="C499" s="443"/>
      <c r="D499" s="330"/>
      <c r="E499" s="330"/>
      <c r="F499" s="330"/>
      <c r="G499" s="330"/>
      <c r="H499" s="330"/>
      <c r="I499" s="330"/>
      <c r="J499" s="330"/>
      <c r="K499" s="330"/>
      <c r="L499" s="82"/>
      <c r="M499" s="80"/>
      <c r="N499" s="82"/>
      <c r="O499" s="80"/>
      <c r="P499" s="82"/>
      <c r="Q499" s="80"/>
      <c r="R499" s="82"/>
      <c r="S499" s="80"/>
      <c r="T499" s="82"/>
      <c r="U499" s="80"/>
      <c r="V499" s="82"/>
      <c r="W499" s="80"/>
      <c r="X499" s="82"/>
      <c r="Y499" s="80"/>
      <c r="Z499" s="210">
        <f t="shared" si="7"/>
        <v>0</v>
      </c>
      <c r="AA499" s="60"/>
      <c r="AB499" s="60"/>
    </row>
    <row r="500" spans="1:28" x14ac:dyDescent="0.25">
      <c r="A500" s="443"/>
      <c r="B500" s="443"/>
      <c r="C500" s="443"/>
      <c r="D500" s="330"/>
      <c r="E500" s="330"/>
      <c r="F500" s="330"/>
      <c r="G500" s="330"/>
      <c r="H500" s="330"/>
      <c r="I500" s="330"/>
      <c r="J500" s="330"/>
      <c r="K500" s="330"/>
      <c r="L500" s="82"/>
      <c r="M500" s="80"/>
      <c r="N500" s="82"/>
      <c r="O500" s="80"/>
      <c r="P500" s="82"/>
      <c r="Q500" s="80"/>
      <c r="R500" s="82"/>
      <c r="S500" s="80"/>
      <c r="T500" s="82"/>
      <c r="U500" s="80"/>
      <c r="V500" s="82"/>
      <c r="W500" s="80"/>
      <c r="X500" s="82"/>
      <c r="Y500" s="80"/>
      <c r="Z500" s="210">
        <f t="shared" si="7"/>
        <v>0</v>
      </c>
      <c r="AA500" s="60"/>
      <c r="AB500" s="60"/>
    </row>
    <row r="501" spans="1:28" x14ac:dyDescent="0.25">
      <c r="A501" s="443"/>
      <c r="B501" s="443"/>
      <c r="C501" s="443"/>
      <c r="D501" s="330"/>
      <c r="E501" s="330"/>
      <c r="F501" s="330"/>
      <c r="G501" s="330"/>
      <c r="H501" s="330"/>
      <c r="I501" s="330"/>
      <c r="J501" s="330"/>
      <c r="K501" s="330"/>
      <c r="L501" s="82"/>
      <c r="M501" s="80"/>
      <c r="N501" s="82"/>
      <c r="O501" s="80"/>
      <c r="P501" s="82"/>
      <c r="Q501" s="80"/>
      <c r="R501" s="82"/>
      <c r="S501" s="80"/>
      <c r="T501" s="82"/>
      <c r="U501" s="80"/>
      <c r="V501" s="82"/>
      <c r="W501" s="80"/>
      <c r="X501" s="82"/>
      <c r="Y501" s="80"/>
      <c r="Z501" s="210">
        <f t="shared" si="7"/>
        <v>0</v>
      </c>
      <c r="AA501" s="60"/>
      <c r="AB501" s="60"/>
    </row>
    <row r="502" spans="1:28" x14ac:dyDescent="0.25">
      <c r="A502" s="98"/>
      <c r="B502" s="98"/>
      <c r="C502" s="98"/>
      <c r="D502" s="98"/>
      <c r="E502" s="98"/>
      <c r="F502" s="98"/>
      <c r="G502" s="98"/>
      <c r="H502" s="98"/>
      <c r="I502" s="98"/>
      <c r="J502" s="98"/>
      <c r="K502" s="98"/>
      <c r="L502" s="3">
        <f>SUM(L10:L501)</f>
        <v>0</v>
      </c>
      <c r="M502" s="3">
        <f t="shared" ref="M502:Y502" si="8">SUM(M10:M501)</f>
        <v>0</v>
      </c>
      <c r="N502" s="3">
        <f t="shared" si="8"/>
        <v>0</v>
      </c>
      <c r="O502" s="3">
        <f t="shared" si="8"/>
        <v>0</v>
      </c>
      <c r="P502" s="3">
        <f t="shared" si="8"/>
        <v>0</v>
      </c>
      <c r="Q502" s="3">
        <f t="shared" si="8"/>
        <v>0</v>
      </c>
      <c r="R502" s="3">
        <f t="shared" si="8"/>
        <v>0</v>
      </c>
      <c r="S502" s="3">
        <f t="shared" si="8"/>
        <v>0</v>
      </c>
      <c r="T502" s="3">
        <f t="shared" si="8"/>
        <v>0</v>
      </c>
      <c r="U502" s="3">
        <f t="shared" si="8"/>
        <v>0</v>
      </c>
      <c r="V502" s="3">
        <f t="shared" si="8"/>
        <v>0</v>
      </c>
      <c r="W502" s="3">
        <f t="shared" si="8"/>
        <v>0</v>
      </c>
      <c r="X502" s="3">
        <f t="shared" si="8"/>
        <v>0</v>
      </c>
      <c r="Y502" s="3">
        <f t="shared" si="8"/>
        <v>0</v>
      </c>
      <c r="Z502" s="3">
        <f>SUM(Z10:Z501)</f>
        <v>0</v>
      </c>
      <c r="AA502" s="98"/>
      <c r="AB502" s="98"/>
    </row>
  </sheetData>
  <sheetProtection algorithmName="SHA-512" hashValue="aw54soO+DfAPg1Dsu/DoMkASk9g6r4e3/kXwWJ3BVYRQOq0TEF8Rbc18JmNZ2pF2cVHY5JLa3icrgnr812qeAg==" saltValue="DQ+U9mL1lgVvo6b8nth9rg==" spinCount="100000" sheet="1" objects="1" scenarios="1" selectLockedCells="1"/>
  <mergeCells count="1003">
    <mergeCell ref="A5:F5"/>
    <mergeCell ref="G5:K5"/>
    <mergeCell ref="L5:P5"/>
    <mergeCell ref="R5:T5"/>
    <mergeCell ref="U5:AB5"/>
    <mergeCell ref="A6:AB6"/>
    <mergeCell ref="A1:AB2"/>
    <mergeCell ref="A3:F3"/>
    <mergeCell ref="G3:P3"/>
    <mergeCell ref="R3:T3"/>
    <mergeCell ref="U3:AB3"/>
    <mergeCell ref="A4:F4"/>
    <mergeCell ref="G4:P4"/>
    <mergeCell ref="R4:T4"/>
    <mergeCell ref="U4:AB4"/>
    <mergeCell ref="A15:C15"/>
    <mergeCell ref="D15:K15"/>
    <mergeCell ref="A7:AB7"/>
    <mergeCell ref="A16:C16"/>
    <mergeCell ref="D16:K16"/>
    <mergeCell ref="A17:C17"/>
    <mergeCell ref="D17:K17"/>
    <mergeCell ref="A12:C12"/>
    <mergeCell ref="D12:K12"/>
    <mergeCell ref="A13:C13"/>
    <mergeCell ref="D13:K13"/>
    <mergeCell ref="A14:C14"/>
    <mergeCell ref="D14:K14"/>
    <mergeCell ref="A9:C9"/>
    <mergeCell ref="D9:K9"/>
    <mergeCell ref="A10:C10"/>
    <mergeCell ref="D10:K10"/>
    <mergeCell ref="A11:C11"/>
    <mergeCell ref="D11:K11"/>
    <mergeCell ref="A24:C24"/>
    <mergeCell ref="D24:K24"/>
    <mergeCell ref="A25:C25"/>
    <mergeCell ref="D25:K25"/>
    <mergeCell ref="A26:C26"/>
    <mergeCell ref="D26:K26"/>
    <mergeCell ref="A21:C21"/>
    <mergeCell ref="D21:K21"/>
    <mergeCell ref="A22:C22"/>
    <mergeCell ref="D22:K22"/>
    <mergeCell ref="A23:C23"/>
    <mergeCell ref="D23:K23"/>
    <mergeCell ref="A18:C18"/>
    <mergeCell ref="D18:K18"/>
    <mergeCell ref="A19:C19"/>
    <mergeCell ref="D19:K19"/>
    <mergeCell ref="A20:C20"/>
    <mergeCell ref="D20:K20"/>
    <mergeCell ref="A33:C33"/>
    <mergeCell ref="D33:K33"/>
    <mergeCell ref="A34:C34"/>
    <mergeCell ref="D34:K34"/>
    <mergeCell ref="A35:C35"/>
    <mergeCell ref="D35:K35"/>
    <mergeCell ref="A30:C30"/>
    <mergeCell ref="D30:K30"/>
    <mergeCell ref="A31:C31"/>
    <mergeCell ref="D31:K31"/>
    <mergeCell ref="A32:C32"/>
    <mergeCell ref="D32:K32"/>
    <mergeCell ref="A27:C27"/>
    <mergeCell ref="D27:K27"/>
    <mergeCell ref="A28:C28"/>
    <mergeCell ref="D28:K28"/>
    <mergeCell ref="A29:C29"/>
    <mergeCell ref="D29:K29"/>
    <mergeCell ref="A42:C42"/>
    <mergeCell ref="D42:K42"/>
    <mergeCell ref="A43:C43"/>
    <mergeCell ref="D43:K43"/>
    <mergeCell ref="A44:C44"/>
    <mergeCell ref="D44:K44"/>
    <mergeCell ref="A39:C39"/>
    <mergeCell ref="D39:K39"/>
    <mergeCell ref="A40:C40"/>
    <mergeCell ref="D40:K40"/>
    <mergeCell ref="A41:C41"/>
    <mergeCell ref="D41:K41"/>
    <mergeCell ref="A36:C36"/>
    <mergeCell ref="D36:K36"/>
    <mergeCell ref="A37:C37"/>
    <mergeCell ref="D37:K37"/>
    <mergeCell ref="A38:C38"/>
    <mergeCell ref="D38:K38"/>
    <mergeCell ref="A51:C51"/>
    <mergeCell ref="D51:K51"/>
    <mergeCell ref="A52:C52"/>
    <mergeCell ref="D52:K52"/>
    <mergeCell ref="A53:C53"/>
    <mergeCell ref="D53:K53"/>
    <mergeCell ref="A48:C48"/>
    <mergeCell ref="D48:K48"/>
    <mergeCell ref="A49:C49"/>
    <mergeCell ref="D49:K49"/>
    <mergeCell ref="A50:C50"/>
    <mergeCell ref="D50:K50"/>
    <mergeCell ref="A45:C45"/>
    <mergeCell ref="D45:K45"/>
    <mergeCell ref="A46:C46"/>
    <mergeCell ref="D46:K46"/>
    <mergeCell ref="A47:C47"/>
    <mergeCell ref="D47:K47"/>
    <mergeCell ref="A60:C60"/>
    <mergeCell ref="D60:K60"/>
    <mergeCell ref="A61:C61"/>
    <mergeCell ref="D61:K61"/>
    <mergeCell ref="A62:C62"/>
    <mergeCell ref="D62:K62"/>
    <mergeCell ref="A57:C57"/>
    <mergeCell ref="D57:K57"/>
    <mergeCell ref="A58:C58"/>
    <mergeCell ref="D58:K58"/>
    <mergeCell ref="A59:C59"/>
    <mergeCell ref="D59:K59"/>
    <mergeCell ref="A54:C54"/>
    <mergeCell ref="D54:K54"/>
    <mergeCell ref="A55:C55"/>
    <mergeCell ref="D55:K55"/>
    <mergeCell ref="A56:C56"/>
    <mergeCell ref="D56:K56"/>
    <mergeCell ref="A69:C69"/>
    <mergeCell ref="D69:K69"/>
    <mergeCell ref="A70:C70"/>
    <mergeCell ref="D70:K70"/>
    <mergeCell ref="A71:C71"/>
    <mergeCell ref="D71:K71"/>
    <mergeCell ref="A66:C66"/>
    <mergeCell ref="D66:K66"/>
    <mergeCell ref="A67:C67"/>
    <mergeCell ref="D67:K67"/>
    <mergeCell ref="A68:C68"/>
    <mergeCell ref="D68:K68"/>
    <mergeCell ref="A63:C63"/>
    <mergeCell ref="D63:K63"/>
    <mergeCell ref="A64:C64"/>
    <mergeCell ref="D64:K64"/>
    <mergeCell ref="A65:C65"/>
    <mergeCell ref="D65:K65"/>
    <mergeCell ref="A78:C78"/>
    <mergeCell ref="D78:K78"/>
    <mergeCell ref="A79:C79"/>
    <mergeCell ref="D79:K79"/>
    <mergeCell ref="A80:C80"/>
    <mergeCell ref="D80:K80"/>
    <mergeCell ref="A75:C75"/>
    <mergeCell ref="D75:K75"/>
    <mergeCell ref="A76:C76"/>
    <mergeCell ref="D76:K76"/>
    <mergeCell ref="A77:C77"/>
    <mergeCell ref="D77:K77"/>
    <mergeCell ref="A72:C72"/>
    <mergeCell ref="D72:K72"/>
    <mergeCell ref="A73:C73"/>
    <mergeCell ref="D73:K73"/>
    <mergeCell ref="A74:C74"/>
    <mergeCell ref="D74:K74"/>
    <mergeCell ref="A87:C87"/>
    <mergeCell ref="D87:K87"/>
    <mergeCell ref="A88:C88"/>
    <mergeCell ref="D88:K88"/>
    <mergeCell ref="A89:C89"/>
    <mergeCell ref="D89:K89"/>
    <mergeCell ref="A84:C84"/>
    <mergeCell ref="D84:K84"/>
    <mergeCell ref="A85:C85"/>
    <mergeCell ref="D85:K85"/>
    <mergeCell ref="A86:C86"/>
    <mergeCell ref="D86:K86"/>
    <mergeCell ref="A81:C81"/>
    <mergeCell ref="D81:K81"/>
    <mergeCell ref="A82:C82"/>
    <mergeCell ref="D82:K82"/>
    <mergeCell ref="A83:C83"/>
    <mergeCell ref="D83:K83"/>
    <mergeCell ref="A96:C96"/>
    <mergeCell ref="D96:K96"/>
    <mergeCell ref="A97:C97"/>
    <mergeCell ref="D97:K97"/>
    <mergeCell ref="A98:C98"/>
    <mergeCell ref="D98:K98"/>
    <mergeCell ref="A93:C93"/>
    <mergeCell ref="D93:K93"/>
    <mergeCell ref="A94:C94"/>
    <mergeCell ref="D94:K94"/>
    <mergeCell ref="A95:C95"/>
    <mergeCell ref="D95:K95"/>
    <mergeCell ref="A90:C90"/>
    <mergeCell ref="D90:K90"/>
    <mergeCell ref="A91:C91"/>
    <mergeCell ref="D91:K91"/>
    <mergeCell ref="A92:C92"/>
    <mergeCell ref="D92:K92"/>
    <mergeCell ref="A105:C105"/>
    <mergeCell ref="D105:K105"/>
    <mergeCell ref="A106:C106"/>
    <mergeCell ref="D106:K106"/>
    <mergeCell ref="A107:C107"/>
    <mergeCell ref="D107:K107"/>
    <mergeCell ref="A102:C102"/>
    <mergeCell ref="D102:K102"/>
    <mergeCell ref="A103:C103"/>
    <mergeCell ref="D103:K103"/>
    <mergeCell ref="A104:C104"/>
    <mergeCell ref="D104:K104"/>
    <mergeCell ref="A99:C99"/>
    <mergeCell ref="D99:K99"/>
    <mergeCell ref="A100:C100"/>
    <mergeCell ref="D100:K100"/>
    <mergeCell ref="A101:C101"/>
    <mergeCell ref="D101:K101"/>
    <mergeCell ref="A114:C114"/>
    <mergeCell ref="D114:K114"/>
    <mergeCell ref="A115:C115"/>
    <mergeCell ref="D115:K115"/>
    <mergeCell ref="A116:C116"/>
    <mergeCell ref="D116:K116"/>
    <mergeCell ref="A111:C111"/>
    <mergeCell ref="D111:K111"/>
    <mergeCell ref="A112:C112"/>
    <mergeCell ref="D112:K112"/>
    <mergeCell ref="A113:C113"/>
    <mergeCell ref="D113:K113"/>
    <mergeCell ref="A108:C108"/>
    <mergeCell ref="D108:K108"/>
    <mergeCell ref="A109:C109"/>
    <mergeCell ref="D109:K109"/>
    <mergeCell ref="A110:C110"/>
    <mergeCell ref="D110:K110"/>
    <mergeCell ref="A123:C123"/>
    <mergeCell ref="D123:K123"/>
    <mergeCell ref="A124:C124"/>
    <mergeCell ref="D124:K124"/>
    <mergeCell ref="A125:C125"/>
    <mergeCell ref="D125:K125"/>
    <mergeCell ref="A120:C120"/>
    <mergeCell ref="D120:K120"/>
    <mergeCell ref="A121:C121"/>
    <mergeCell ref="D121:K121"/>
    <mergeCell ref="A122:C122"/>
    <mergeCell ref="D122:K122"/>
    <mergeCell ref="A117:C117"/>
    <mergeCell ref="D117:K117"/>
    <mergeCell ref="A118:C118"/>
    <mergeCell ref="D118:K118"/>
    <mergeCell ref="A119:C119"/>
    <mergeCell ref="D119:K119"/>
    <mergeCell ref="A132:C132"/>
    <mergeCell ref="D132:K132"/>
    <mergeCell ref="A133:C133"/>
    <mergeCell ref="D133:K133"/>
    <mergeCell ref="A134:C134"/>
    <mergeCell ref="D134:K134"/>
    <mergeCell ref="A129:C129"/>
    <mergeCell ref="D129:K129"/>
    <mergeCell ref="A130:C130"/>
    <mergeCell ref="D130:K130"/>
    <mergeCell ref="A131:C131"/>
    <mergeCell ref="D131:K131"/>
    <mergeCell ref="A126:C126"/>
    <mergeCell ref="D126:K126"/>
    <mergeCell ref="A127:C127"/>
    <mergeCell ref="D127:K127"/>
    <mergeCell ref="A128:C128"/>
    <mergeCell ref="D128:K128"/>
    <mergeCell ref="A141:C141"/>
    <mergeCell ref="D141:K141"/>
    <mergeCell ref="A142:C142"/>
    <mergeCell ref="D142:K142"/>
    <mergeCell ref="A143:C143"/>
    <mergeCell ref="D143:K143"/>
    <mergeCell ref="A138:C138"/>
    <mergeCell ref="D138:K138"/>
    <mergeCell ref="A139:C139"/>
    <mergeCell ref="D139:K139"/>
    <mergeCell ref="A140:C140"/>
    <mergeCell ref="D140:K140"/>
    <mergeCell ref="A135:C135"/>
    <mergeCell ref="D135:K135"/>
    <mergeCell ref="A136:C136"/>
    <mergeCell ref="D136:K136"/>
    <mergeCell ref="A137:C137"/>
    <mergeCell ref="D137:K137"/>
    <mergeCell ref="A150:C150"/>
    <mergeCell ref="D150:K150"/>
    <mergeCell ref="A151:C151"/>
    <mergeCell ref="D151:K151"/>
    <mergeCell ref="A152:C152"/>
    <mergeCell ref="D152:K152"/>
    <mergeCell ref="A147:C147"/>
    <mergeCell ref="D147:K147"/>
    <mergeCell ref="A148:C148"/>
    <mergeCell ref="D148:K148"/>
    <mergeCell ref="A149:C149"/>
    <mergeCell ref="D149:K149"/>
    <mergeCell ref="A144:C144"/>
    <mergeCell ref="D144:K144"/>
    <mergeCell ref="A145:C145"/>
    <mergeCell ref="D145:K145"/>
    <mergeCell ref="A146:C146"/>
    <mergeCell ref="D146:K146"/>
    <mergeCell ref="A159:C159"/>
    <mergeCell ref="D159:K159"/>
    <mergeCell ref="A160:C160"/>
    <mergeCell ref="D160:K160"/>
    <mergeCell ref="A161:C161"/>
    <mergeCell ref="D161:K161"/>
    <mergeCell ref="A156:C156"/>
    <mergeCell ref="D156:K156"/>
    <mergeCell ref="A157:C157"/>
    <mergeCell ref="D157:K157"/>
    <mergeCell ref="A158:C158"/>
    <mergeCell ref="D158:K158"/>
    <mergeCell ref="A153:C153"/>
    <mergeCell ref="D153:K153"/>
    <mergeCell ref="A154:C154"/>
    <mergeCell ref="D154:K154"/>
    <mergeCell ref="A155:C155"/>
    <mergeCell ref="D155:K155"/>
    <mergeCell ref="A168:C168"/>
    <mergeCell ref="D168:K168"/>
    <mergeCell ref="A169:C169"/>
    <mergeCell ref="D169:K169"/>
    <mergeCell ref="A170:C170"/>
    <mergeCell ref="D170:K170"/>
    <mergeCell ref="A165:C165"/>
    <mergeCell ref="D165:K165"/>
    <mergeCell ref="A166:C166"/>
    <mergeCell ref="D166:K166"/>
    <mergeCell ref="A167:C167"/>
    <mergeCell ref="D167:K167"/>
    <mergeCell ref="A162:C162"/>
    <mergeCell ref="D162:K162"/>
    <mergeCell ref="A163:C163"/>
    <mergeCell ref="D163:K163"/>
    <mergeCell ref="A164:C164"/>
    <mergeCell ref="D164:K164"/>
    <mergeCell ref="A177:C177"/>
    <mergeCell ref="D177:K177"/>
    <mergeCell ref="A178:C178"/>
    <mergeCell ref="D178:K178"/>
    <mergeCell ref="A179:C179"/>
    <mergeCell ref="D179:K179"/>
    <mergeCell ref="A174:C174"/>
    <mergeCell ref="D174:K174"/>
    <mergeCell ref="A175:C175"/>
    <mergeCell ref="D175:K175"/>
    <mergeCell ref="A176:C176"/>
    <mergeCell ref="D176:K176"/>
    <mergeCell ref="A171:C171"/>
    <mergeCell ref="D171:K171"/>
    <mergeCell ref="A172:C172"/>
    <mergeCell ref="D172:K172"/>
    <mergeCell ref="A173:C173"/>
    <mergeCell ref="D173:K173"/>
    <mergeCell ref="A186:C186"/>
    <mergeCell ref="D186:K186"/>
    <mergeCell ref="A187:C187"/>
    <mergeCell ref="D187:K187"/>
    <mergeCell ref="A188:C188"/>
    <mergeCell ref="D188:K188"/>
    <mergeCell ref="A183:C183"/>
    <mergeCell ref="D183:K183"/>
    <mergeCell ref="A184:C184"/>
    <mergeCell ref="D184:K184"/>
    <mergeCell ref="A185:C185"/>
    <mergeCell ref="D185:K185"/>
    <mergeCell ref="A180:C180"/>
    <mergeCell ref="D180:K180"/>
    <mergeCell ref="A181:C181"/>
    <mergeCell ref="D181:K181"/>
    <mergeCell ref="A182:C182"/>
    <mergeCell ref="D182:K182"/>
    <mergeCell ref="A195:C195"/>
    <mergeCell ref="D195:K195"/>
    <mergeCell ref="A196:C196"/>
    <mergeCell ref="D196:K196"/>
    <mergeCell ref="A197:C197"/>
    <mergeCell ref="D197:K197"/>
    <mergeCell ref="A192:C192"/>
    <mergeCell ref="D192:K192"/>
    <mergeCell ref="A193:C193"/>
    <mergeCell ref="D193:K193"/>
    <mergeCell ref="A194:C194"/>
    <mergeCell ref="D194:K194"/>
    <mergeCell ref="A189:C189"/>
    <mergeCell ref="D189:K189"/>
    <mergeCell ref="A190:C190"/>
    <mergeCell ref="D190:K190"/>
    <mergeCell ref="A191:C191"/>
    <mergeCell ref="D191:K191"/>
    <mergeCell ref="A204:C204"/>
    <mergeCell ref="D204:K204"/>
    <mergeCell ref="A205:C205"/>
    <mergeCell ref="D205:K205"/>
    <mergeCell ref="A206:C206"/>
    <mergeCell ref="D206:K206"/>
    <mergeCell ref="A201:C201"/>
    <mergeCell ref="D201:K201"/>
    <mergeCell ref="A202:C202"/>
    <mergeCell ref="D202:K202"/>
    <mergeCell ref="A203:C203"/>
    <mergeCell ref="D203:K203"/>
    <mergeCell ref="A198:C198"/>
    <mergeCell ref="D198:K198"/>
    <mergeCell ref="A199:C199"/>
    <mergeCell ref="D199:K199"/>
    <mergeCell ref="A200:C200"/>
    <mergeCell ref="D200:K200"/>
    <mergeCell ref="A213:C213"/>
    <mergeCell ref="D213:K213"/>
    <mergeCell ref="A214:C214"/>
    <mergeCell ref="D214:K214"/>
    <mergeCell ref="A215:C215"/>
    <mergeCell ref="D215:K215"/>
    <mergeCell ref="A210:C210"/>
    <mergeCell ref="D210:K210"/>
    <mergeCell ref="A211:C211"/>
    <mergeCell ref="D211:K211"/>
    <mergeCell ref="A212:C212"/>
    <mergeCell ref="D212:K212"/>
    <mergeCell ref="A207:C207"/>
    <mergeCell ref="D207:K207"/>
    <mergeCell ref="A208:C208"/>
    <mergeCell ref="D208:K208"/>
    <mergeCell ref="A209:C209"/>
    <mergeCell ref="D209:K209"/>
    <mergeCell ref="A222:C222"/>
    <mergeCell ref="D222:K222"/>
    <mergeCell ref="A223:C223"/>
    <mergeCell ref="D223:K223"/>
    <mergeCell ref="A224:C224"/>
    <mergeCell ref="D224:K224"/>
    <mergeCell ref="A219:C219"/>
    <mergeCell ref="D219:K219"/>
    <mergeCell ref="A220:C220"/>
    <mergeCell ref="D220:K220"/>
    <mergeCell ref="A221:C221"/>
    <mergeCell ref="D221:K221"/>
    <mergeCell ref="A216:C216"/>
    <mergeCell ref="D216:K216"/>
    <mergeCell ref="A217:C217"/>
    <mergeCell ref="D217:K217"/>
    <mergeCell ref="A218:C218"/>
    <mergeCell ref="D218:K218"/>
    <mergeCell ref="A231:C231"/>
    <mergeCell ref="D231:K231"/>
    <mergeCell ref="A232:C232"/>
    <mergeCell ref="D232:K232"/>
    <mergeCell ref="A233:C233"/>
    <mergeCell ref="D233:K233"/>
    <mergeCell ref="A228:C228"/>
    <mergeCell ref="D228:K228"/>
    <mergeCell ref="A229:C229"/>
    <mergeCell ref="D229:K229"/>
    <mergeCell ref="A230:C230"/>
    <mergeCell ref="D230:K230"/>
    <mergeCell ref="A225:C225"/>
    <mergeCell ref="D225:K225"/>
    <mergeCell ref="A226:C226"/>
    <mergeCell ref="D226:K226"/>
    <mergeCell ref="A227:C227"/>
    <mergeCell ref="D227:K227"/>
    <mergeCell ref="A240:C240"/>
    <mergeCell ref="D240:K240"/>
    <mergeCell ref="A241:C241"/>
    <mergeCell ref="D241:K241"/>
    <mergeCell ref="A242:C242"/>
    <mergeCell ref="D242:K242"/>
    <mergeCell ref="A237:C237"/>
    <mergeCell ref="D237:K237"/>
    <mergeCell ref="A238:C238"/>
    <mergeCell ref="D238:K238"/>
    <mergeCell ref="A239:C239"/>
    <mergeCell ref="D239:K239"/>
    <mergeCell ref="A234:C234"/>
    <mergeCell ref="D234:K234"/>
    <mergeCell ref="A235:C235"/>
    <mergeCell ref="D235:K235"/>
    <mergeCell ref="A236:C236"/>
    <mergeCell ref="D236:K236"/>
    <mergeCell ref="A249:C249"/>
    <mergeCell ref="D249:K249"/>
    <mergeCell ref="A250:C250"/>
    <mergeCell ref="D250:K250"/>
    <mergeCell ref="A251:C251"/>
    <mergeCell ref="D251:K251"/>
    <mergeCell ref="A246:C246"/>
    <mergeCell ref="D246:K246"/>
    <mergeCell ref="A247:C247"/>
    <mergeCell ref="D247:K247"/>
    <mergeCell ref="A248:C248"/>
    <mergeCell ref="D248:K248"/>
    <mergeCell ref="A243:C243"/>
    <mergeCell ref="D243:K243"/>
    <mergeCell ref="A244:C244"/>
    <mergeCell ref="D244:K244"/>
    <mergeCell ref="A245:C245"/>
    <mergeCell ref="D245:K245"/>
    <mergeCell ref="A258:C258"/>
    <mergeCell ref="D258:K258"/>
    <mergeCell ref="A259:C259"/>
    <mergeCell ref="D259:K259"/>
    <mergeCell ref="A260:C260"/>
    <mergeCell ref="D260:K260"/>
    <mergeCell ref="A255:C255"/>
    <mergeCell ref="D255:K255"/>
    <mergeCell ref="A256:C256"/>
    <mergeCell ref="D256:K256"/>
    <mergeCell ref="A257:C257"/>
    <mergeCell ref="D257:K257"/>
    <mergeCell ref="A252:C252"/>
    <mergeCell ref="D252:K252"/>
    <mergeCell ref="A253:C253"/>
    <mergeCell ref="D253:K253"/>
    <mergeCell ref="A254:C254"/>
    <mergeCell ref="D254:K254"/>
    <mergeCell ref="A267:C267"/>
    <mergeCell ref="D267:K267"/>
    <mergeCell ref="A268:C268"/>
    <mergeCell ref="D268:K268"/>
    <mergeCell ref="A269:C269"/>
    <mergeCell ref="D269:K269"/>
    <mergeCell ref="A264:C264"/>
    <mergeCell ref="D264:K264"/>
    <mergeCell ref="A265:C265"/>
    <mergeCell ref="D265:K265"/>
    <mergeCell ref="A266:C266"/>
    <mergeCell ref="D266:K266"/>
    <mergeCell ref="A261:C261"/>
    <mergeCell ref="D261:K261"/>
    <mergeCell ref="A262:C262"/>
    <mergeCell ref="D262:K262"/>
    <mergeCell ref="A263:C263"/>
    <mergeCell ref="D263:K263"/>
    <mergeCell ref="A276:C276"/>
    <mergeCell ref="D276:K276"/>
    <mergeCell ref="A277:C277"/>
    <mergeCell ref="D277:K277"/>
    <mergeCell ref="A278:C278"/>
    <mergeCell ref="D278:K278"/>
    <mergeCell ref="A273:C273"/>
    <mergeCell ref="D273:K273"/>
    <mergeCell ref="A274:C274"/>
    <mergeCell ref="D274:K274"/>
    <mergeCell ref="A275:C275"/>
    <mergeCell ref="D275:K275"/>
    <mergeCell ref="A270:C270"/>
    <mergeCell ref="D270:K270"/>
    <mergeCell ref="A271:C271"/>
    <mergeCell ref="D271:K271"/>
    <mergeCell ref="A272:C272"/>
    <mergeCell ref="D272:K272"/>
    <mergeCell ref="A285:C285"/>
    <mergeCell ref="D285:K285"/>
    <mergeCell ref="A286:C286"/>
    <mergeCell ref="D286:K286"/>
    <mergeCell ref="A287:C287"/>
    <mergeCell ref="D287:K287"/>
    <mergeCell ref="A282:C282"/>
    <mergeCell ref="D282:K282"/>
    <mergeCell ref="A283:C283"/>
    <mergeCell ref="D283:K283"/>
    <mergeCell ref="A284:C284"/>
    <mergeCell ref="D284:K284"/>
    <mergeCell ref="A279:C279"/>
    <mergeCell ref="D279:K279"/>
    <mergeCell ref="A280:C280"/>
    <mergeCell ref="D280:K280"/>
    <mergeCell ref="A281:C281"/>
    <mergeCell ref="D281:K281"/>
    <mergeCell ref="A294:C294"/>
    <mergeCell ref="D294:K294"/>
    <mergeCell ref="A295:C295"/>
    <mergeCell ref="D295:K295"/>
    <mergeCell ref="A296:C296"/>
    <mergeCell ref="D296:K296"/>
    <mergeCell ref="A291:C291"/>
    <mergeCell ref="D291:K291"/>
    <mergeCell ref="A292:C292"/>
    <mergeCell ref="D292:K292"/>
    <mergeCell ref="A293:C293"/>
    <mergeCell ref="D293:K293"/>
    <mergeCell ref="A288:C288"/>
    <mergeCell ref="D288:K288"/>
    <mergeCell ref="A289:C289"/>
    <mergeCell ref="D289:K289"/>
    <mergeCell ref="A290:C290"/>
    <mergeCell ref="D290:K290"/>
    <mergeCell ref="A303:C303"/>
    <mergeCell ref="D303:K303"/>
    <mergeCell ref="A304:C304"/>
    <mergeCell ref="D304:K304"/>
    <mergeCell ref="A305:C305"/>
    <mergeCell ref="D305:K305"/>
    <mergeCell ref="A300:C300"/>
    <mergeCell ref="D300:K300"/>
    <mergeCell ref="A301:C301"/>
    <mergeCell ref="D301:K301"/>
    <mergeCell ref="A302:C302"/>
    <mergeCell ref="D302:K302"/>
    <mergeCell ref="A297:C297"/>
    <mergeCell ref="D297:K297"/>
    <mergeCell ref="A298:C298"/>
    <mergeCell ref="D298:K298"/>
    <mergeCell ref="A299:C299"/>
    <mergeCell ref="D299:K299"/>
    <mergeCell ref="A312:C312"/>
    <mergeCell ref="D312:K312"/>
    <mergeCell ref="A313:C313"/>
    <mergeCell ref="D313:K313"/>
    <mergeCell ref="A314:C314"/>
    <mergeCell ref="D314:K314"/>
    <mergeCell ref="A309:C309"/>
    <mergeCell ref="D309:K309"/>
    <mergeCell ref="A310:C310"/>
    <mergeCell ref="D310:K310"/>
    <mergeCell ref="A311:C311"/>
    <mergeCell ref="D311:K311"/>
    <mergeCell ref="A306:C306"/>
    <mergeCell ref="D306:K306"/>
    <mergeCell ref="A307:C307"/>
    <mergeCell ref="D307:K307"/>
    <mergeCell ref="A308:C308"/>
    <mergeCell ref="D308:K308"/>
    <mergeCell ref="A321:C321"/>
    <mergeCell ref="D321:K321"/>
    <mergeCell ref="A322:C322"/>
    <mergeCell ref="D322:K322"/>
    <mergeCell ref="A323:C323"/>
    <mergeCell ref="D323:K323"/>
    <mergeCell ref="A318:C318"/>
    <mergeCell ref="D318:K318"/>
    <mergeCell ref="A319:C319"/>
    <mergeCell ref="D319:K319"/>
    <mergeCell ref="A320:C320"/>
    <mergeCell ref="D320:K320"/>
    <mergeCell ref="A315:C315"/>
    <mergeCell ref="D315:K315"/>
    <mergeCell ref="A316:C316"/>
    <mergeCell ref="D316:K316"/>
    <mergeCell ref="A317:C317"/>
    <mergeCell ref="D317:K317"/>
    <mergeCell ref="A330:C330"/>
    <mergeCell ref="D330:K330"/>
    <mergeCell ref="A331:C331"/>
    <mergeCell ref="D331:K331"/>
    <mergeCell ref="A332:C332"/>
    <mergeCell ref="D332:K332"/>
    <mergeCell ref="A327:C327"/>
    <mergeCell ref="D327:K327"/>
    <mergeCell ref="A328:C328"/>
    <mergeCell ref="D328:K328"/>
    <mergeCell ref="A329:C329"/>
    <mergeCell ref="D329:K329"/>
    <mergeCell ref="A324:C324"/>
    <mergeCell ref="D324:K324"/>
    <mergeCell ref="A325:C325"/>
    <mergeCell ref="D325:K325"/>
    <mergeCell ref="A326:C326"/>
    <mergeCell ref="D326:K326"/>
    <mergeCell ref="A339:C339"/>
    <mergeCell ref="D339:K339"/>
    <mergeCell ref="A340:C340"/>
    <mergeCell ref="D340:K340"/>
    <mergeCell ref="A341:C341"/>
    <mergeCell ref="D341:K341"/>
    <mergeCell ref="A336:C336"/>
    <mergeCell ref="D336:K336"/>
    <mergeCell ref="A337:C337"/>
    <mergeCell ref="D337:K337"/>
    <mergeCell ref="A338:C338"/>
    <mergeCell ref="D338:K338"/>
    <mergeCell ref="A333:C333"/>
    <mergeCell ref="D333:K333"/>
    <mergeCell ref="A334:C334"/>
    <mergeCell ref="D334:K334"/>
    <mergeCell ref="A335:C335"/>
    <mergeCell ref="D335:K335"/>
    <mergeCell ref="A348:C348"/>
    <mergeCell ref="D348:K348"/>
    <mergeCell ref="A349:C349"/>
    <mergeCell ref="D349:K349"/>
    <mergeCell ref="A350:C350"/>
    <mergeCell ref="D350:K350"/>
    <mergeCell ref="A345:C345"/>
    <mergeCell ref="D345:K345"/>
    <mergeCell ref="A346:C346"/>
    <mergeCell ref="D346:K346"/>
    <mergeCell ref="A347:C347"/>
    <mergeCell ref="D347:K347"/>
    <mergeCell ref="A342:C342"/>
    <mergeCell ref="D342:K342"/>
    <mergeCell ref="A343:C343"/>
    <mergeCell ref="D343:K343"/>
    <mergeCell ref="A344:C344"/>
    <mergeCell ref="D344:K344"/>
    <mergeCell ref="A357:C357"/>
    <mergeCell ref="D357:K357"/>
    <mergeCell ref="A358:C358"/>
    <mergeCell ref="D358:K358"/>
    <mergeCell ref="A359:C359"/>
    <mergeCell ref="D359:K359"/>
    <mergeCell ref="A354:C354"/>
    <mergeCell ref="D354:K354"/>
    <mergeCell ref="A355:C355"/>
    <mergeCell ref="D355:K355"/>
    <mergeCell ref="A356:C356"/>
    <mergeCell ref="D356:K356"/>
    <mergeCell ref="A351:C351"/>
    <mergeCell ref="D351:K351"/>
    <mergeCell ref="A352:C352"/>
    <mergeCell ref="D352:K352"/>
    <mergeCell ref="A353:C353"/>
    <mergeCell ref="D353:K353"/>
    <mergeCell ref="A366:C366"/>
    <mergeCell ref="D366:K366"/>
    <mergeCell ref="A367:C367"/>
    <mergeCell ref="D367:K367"/>
    <mergeCell ref="A368:C368"/>
    <mergeCell ref="D368:K368"/>
    <mergeCell ref="A363:C363"/>
    <mergeCell ref="D363:K363"/>
    <mergeCell ref="A364:C364"/>
    <mergeCell ref="D364:K364"/>
    <mergeCell ref="A365:C365"/>
    <mergeCell ref="D365:K365"/>
    <mergeCell ref="A360:C360"/>
    <mergeCell ref="D360:K360"/>
    <mergeCell ref="A361:C361"/>
    <mergeCell ref="D361:K361"/>
    <mergeCell ref="A362:C362"/>
    <mergeCell ref="D362:K362"/>
    <mergeCell ref="A375:C375"/>
    <mergeCell ref="D375:K375"/>
    <mergeCell ref="A376:C376"/>
    <mergeCell ref="D376:K376"/>
    <mergeCell ref="A377:C377"/>
    <mergeCell ref="D377:K377"/>
    <mergeCell ref="A372:C372"/>
    <mergeCell ref="D372:K372"/>
    <mergeCell ref="A373:C373"/>
    <mergeCell ref="D373:K373"/>
    <mergeCell ref="A374:C374"/>
    <mergeCell ref="D374:K374"/>
    <mergeCell ref="A369:C369"/>
    <mergeCell ref="D369:K369"/>
    <mergeCell ref="A370:C370"/>
    <mergeCell ref="D370:K370"/>
    <mergeCell ref="A371:C371"/>
    <mergeCell ref="D371:K371"/>
    <mergeCell ref="A384:C384"/>
    <mergeCell ref="D384:K384"/>
    <mergeCell ref="A385:C385"/>
    <mergeCell ref="D385:K385"/>
    <mergeCell ref="A386:C386"/>
    <mergeCell ref="D386:K386"/>
    <mergeCell ref="A381:C381"/>
    <mergeCell ref="D381:K381"/>
    <mergeCell ref="A382:C382"/>
    <mergeCell ref="D382:K382"/>
    <mergeCell ref="A383:C383"/>
    <mergeCell ref="D383:K383"/>
    <mergeCell ref="A378:C378"/>
    <mergeCell ref="D378:K378"/>
    <mergeCell ref="A379:C379"/>
    <mergeCell ref="D379:K379"/>
    <mergeCell ref="A380:C380"/>
    <mergeCell ref="D380:K380"/>
    <mergeCell ref="A393:C393"/>
    <mergeCell ref="D393:K393"/>
    <mergeCell ref="A394:C394"/>
    <mergeCell ref="D394:K394"/>
    <mergeCell ref="A395:C395"/>
    <mergeCell ref="D395:K395"/>
    <mergeCell ref="A390:C390"/>
    <mergeCell ref="D390:K390"/>
    <mergeCell ref="A391:C391"/>
    <mergeCell ref="D391:K391"/>
    <mergeCell ref="A392:C392"/>
    <mergeCell ref="D392:K392"/>
    <mergeCell ref="A387:C387"/>
    <mergeCell ref="D387:K387"/>
    <mergeCell ref="A388:C388"/>
    <mergeCell ref="D388:K388"/>
    <mergeCell ref="A389:C389"/>
    <mergeCell ref="D389:K389"/>
    <mergeCell ref="A402:C402"/>
    <mergeCell ref="D402:K402"/>
    <mergeCell ref="A403:C403"/>
    <mergeCell ref="D403:K403"/>
    <mergeCell ref="A404:C404"/>
    <mergeCell ref="D404:K404"/>
    <mergeCell ref="A399:C399"/>
    <mergeCell ref="D399:K399"/>
    <mergeCell ref="A400:C400"/>
    <mergeCell ref="D400:K400"/>
    <mergeCell ref="A401:C401"/>
    <mergeCell ref="D401:K401"/>
    <mergeCell ref="A396:C396"/>
    <mergeCell ref="D396:K396"/>
    <mergeCell ref="A397:C397"/>
    <mergeCell ref="D397:K397"/>
    <mergeCell ref="A398:C398"/>
    <mergeCell ref="D398:K398"/>
    <mergeCell ref="A411:C411"/>
    <mergeCell ref="D411:K411"/>
    <mergeCell ref="A412:C412"/>
    <mergeCell ref="D412:K412"/>
    <mergeCell ref="A413:C413"/>
    <mergeCell ref="D413:K413"/>
    <mergeCell ref="A408:C408"/>
    <mergeCell ref="D408:K408"/>
    <mergeCell ref="A409:C409"/>
    <mergeCell ref="D409:K409"/>
    <mergeCell ref="A410:C410"/>
    <mergeCell ref="D410:K410"/>
    <mergeCell ref="A405:C405"/>
    <mergeCell ref="D405:K405"/>
    <mergeCell ref="A406:C406"/>
    <mergeCell ref="D406:K406"/>
    <mergeCell ref="A407:C407"/>
    <mergeCell ref="D407:K407"/>
    <mergeCell ref="A420:C420"/>
    <mergeCell ref="D420:K420"/>
    <mergeCell ref="A421:C421"/>
    <mergeCell ref="D421:K421"/>
    <mergeCell ref="A422:C422"/>
    <mergeCell ref="D422:K422"/>
    <mergeCell ref="A417:C417"/>
    <mergeCell ref="D417:K417"/>
    <mergeCell ref="A418:C418"/>
    <mergeCell ref="D418:K418"/>
    <mergeCell ref="A419:C419"/>
    <mergeCell ref="D419:K419"/>
    <mergeCell ref="A414:C414"/>
    <mergeCell ref="D414:K414"/>
    <mergeCell ref="A415:C415"/>
    <mergeCell ref="D415:K415"/>
    <mergeCell ref="A416:C416"/>
    <mergeCell ref="D416:K416"/>
    <mergeCell ref="A429:C429"/>
    <mergeCell ref="D429:K429"/>
    <mergeCell ref="A430:C430"/>
    <mergeCell ref="D430:K430"/>
    <mergeCell ref="A431:C431"/>
    <mergeCell ref="D431:K431"/>
    <mergeCell ref="A426:C426"/>
    <mergeCell ref="D426:K426"/>
    <mergeCell ref="A427:C427"/>
    <mergeCell ref="D427:K427"/>
    <mergeCell ref="A428:C428"/>
    <mergeCell ref="D428:K428"/>
    <mergeCell ref="A423:C423"/>
    <mergeCell ref="D423:K423"/>
    <mergeCell ref="A424:C424"/>
    <mergeCell ref="D424:K424"/>
    <mergeCell ref="A425:C425"/>
    <mergeCell ref="D425:K425"/>
    <mergeCell ref="A438:C438"/>
    <mergeCell ref="D438:K438"/>
    <mergeCell ref="A439:C439"/>
    <mergeCell ref="D439:K439"/>
    <mergeCell ref="A440:C440"/>
    <mergeCell ref="D440:K440"/>
    <mergeCell ref="A435:C435"/>
    <mergeCell ref="D435:K435"/>
    <mergeCell ref="A436:C436"/>
    <mergeCell ref="D436:K436"/>
    <mergeCell ref="A437:C437"/>
    <mergeCell ref="D437:K437"/>
    <mergeCell ref="A432:C432"/>
    <mergeCell ref="D432:K432"/>
    <mergeCell ref="A433:C433"/>
    <mergeCell ref="D433:K433"/>
    <mergeCell ref="A434:C434"/>
    <mergeCell ref="D434:K434"/>
    <mergeCell ref="A447:C447"/>
    <mergeCell ref="D447:K447"/>
    <mergeCell ref="A448:C448"/>
    <mergeCell ref="D448:K448"/>
    <mergeCell ref="A449:C449"/>
    <mergeCell ref="D449:K449"/>
    <mergeCell ref="A444:C444"/>
    <mergeCell ref="D444:K444"/>
    <mergeCell ref="A445:C445"/>
    <mergeCell ref="D445:K445"/>
    <mergeCell ref="A446:C446"/>
    <mergeCell ref="D446:K446"/>
    <mergeCell ref="A441:C441"/>
    <mergeCell ref="D441:K441"/>
    <mergeCell ref="A442:C442"/>
    <mergeCell ref="D442:K442"/>
    <mergeCell ref="A443:C443"/>
    <mergeCell ref="D443:K443"/>
    <mergeCell ref="A456:C456"/>
    <mergeCell ref="D456:K456"/>
    <mergeCell ref="A457:C457"/>
    <mergeCell ref="D457:K457"/>
    <mergeCell ref="A458:C458"/>
    <mergeCell ref="D458:K458"/>
    <mergeCell ref="A453:C453"/>
    <mergeCell ref="D453:K453"/>
    <mergeCell ref="A454:C454"/>
    <mergeCell ref="D454:K454"/>
    <mergeCell ref="A455:C455"/>
    <mergeCell ref="D455:K455"/>
    <mergeCell ref="A450:C450"/>
    <mergeCell ref="D450:K450"/>
    <mergeCell ref="A451:C451"/>
    <mergeCell ref="D451:K451"/>
    <mergeCell ref="A452:C452"/>
    <mergeCell ref="D452:K452"/>
    <mergeCell ref="A465:C465"/>
    <mergeCell ref="D465:K465"/>
    <mergeCell ref="A477:C477"/>
    <mergeCell ref="D477:K477"/>
    <mergeCell ref="A478:C478"/>
    <mergeCell ref="A466:C466"/>
    <mergeCell ref="D466:K466"/>
    <mergeCell ref="A467:C467"/>
    <mergeCell ref="D467:K467"/>
    <mergeCell ref="A462:C462"/>
    <mergeCell ref="D462:K462"/>
    <mergeCell ref="A463:C463"/>
    <mergeCell ref="D463:K463"/>
    <mergeCell ref="A464:C464"/>
    <mergeCell ref="D464:K464"/>
    <mergeCell ref="A459:C459"/>
    <mergeCell ref="D459:K459"/>
    <mergeCell ref="A460:C460"/>
    <mergeCell ref="D460:K460"/>
    <mergeCell ref="A461:C461"/>
    <mergeCell ref="D461:K461"/>
    <mergeCell ref="A474:C474"/>
    <mergeCell ref="D474:K474"/>
    <mergeCell ref="D491:K491"/>
    <mergeCell ref="A486:C486"/>
    <mergeCell ref="D486:K486"/>
    <mergeCell ref="A475:C475"/>
    <mergeCell ref="D475:K475"/>
    <mergeCell ref="A476:C476"/>
    <mergeCell ref="D476:K476"/>
    <mergeCell ref="A471:C471"/>
    <mergeCell ref="D471:K471"/>
    <mergeCell ref="A472:C472"/>
    <mergeCell ref="D472:K472"/>
    <mergeCell ref="A473:C473"/>
    <mergeCell ref="D473:K473"/>
    <mergeCell ref="A468:C468"/>
    <mergeCell ref="D468:K468"/>
    <mergeCell ref="A469:C469"/>
    <mergeCell ref="D469:K469"/>
    <mergeCell ref="A470:C470"/>
    <mergeCell ref="D470:K470"/>
    <mergeCell ref="D487:K487"/>
    <mergeCell ref="A483:C483"/>
    <mergeCell ref="D483:K483"/>
    <mergeCell ref="A484:C484"/>
    <mergeCell ref="D484:K484"/>
    <mergeCell ref="A485:C485"/>
    <mergeCell ref="D485:K485"/>
    <mergeCell ref="A480:C480"/>
    <mergeCell ref="D480:K480"/>
    <mergeCell ref="A481:C481"/>
    <mergeCell ref="D481:K481"/>
    <mergeCell ref="A482:C482"/>
    <mergeCell ref="D482:K482"/>
    <mergeCell ref="A487:C487"/>
    <mergeCell ref="A488:C488"/>
    <mergeCell ref="D488:K488"/>
    <mergeCell ref="D478:K478"/>
    <mergeCell ref="A479:C479"/>
    <mergeCell ref="D479:K479"/>
    <mergeCell ref="A501:C501"/>
    <mergeCell ref="D501:K501"/>
    <mergeCell ref="A8:AB8"/>
    <mergeCell ref="A498:C498"/>
    <mergeCell ref="D498:K498"/>
    <mergeCell ref="A499:C499"/>
    <mergeCell ref="D499:K499"/>
    <mergeCell ref="A500:C500"/>
    <mergeCell ref="D500:K500"/>
    <mergeCell ref="A495:C495"/>
    <mergeCell ref="D495:K495"/>
    <mergeCell ref="A496:C496"/>
    <mergeCell ref="D496:K496"/>
    <mergeCell ref="A497:C497"/>
    <mergeCell ref="D497:K497"/>
    <mergeCell ref="A492:C492"/>
    <mergeCell ref="D492:K492"/>
    <mergeCell ref="A493:C493"/>
    <mergeCell ref="D493:K493"/>
    <mergeCell ref="A494:C494"/>
    <mergeCell ref="D494:K494"/>
    <mergeCell ref="A489:C489"/>
    <mergeCell ref="D489:K489"/>
    <mergeCell ref="A490:C490"/>
    <mergeCell ref="D490:K490"/>
    <mergeCell ref="A491:C491"/>
  </mergeCells>
  <pageMargins left="0.7" right="0.7" top="0.75" bottom="0.75" header="0.3" footer="0.3"/>
  <pageSetup scale="35" fitToHeight="0" orientation="landscape" r:id="rId1"/>
  <headerFooter>
    <oddFooter>&amp;LRevised 2/28/19&amp;C&amp;A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CB1087"/>
  <sheetViews>
    <sheetView tabSelected="1" zoomScale="80" zoomScaleNormal="80" workbookViewId="0">
      <pane xSplit="3" ySplit="10" topLeftCell="D391" activePane="bottomRight" state="frozen"/>
      <selection pane="topRight" activeCell="D19" sqref="D19:K22"/>
      <selection pane="bottomLeft" activeCell="D19" sqref="D19:K22"/>
      <selection pane="bottomRight" activeCell="K275" sqref="K275:L438"/>
    </sheetView>
  </sheetViews>
  <sheetFormatPr defaultRowHeight="15" x14ac:dyDescent="0.25"/>
  <cols>
    <col min="1" max="1" width="7.28515625" customWidth="1"/>
    <col min="2" max="3" width="6.7109375" customWidth="1"/>
    <col min="4" max="4" width="13.140625" style="98" customWidth="1"/>
    <col min="5" max="10" width="5.7109375" customWidth="1"/>
    <col min="11" max="11" width="8.42578125" style="98" customWidth="1"/>
    <col min="12" max="12" width="8.85546875" customWidth="1"/>
    <col min="13" max="15" width="6.28515625" customWidth="1"/>
    <col min="16" max="17" width="6.28515625" style="98" customWidth="1"/>
    <col min="18" max="25" width="6.28515625" customWidth="1"/>
    <col min="26" max="26" width="7.140625" customWidth="1"/>
    <col min="27" max="33" width="6.28515625" customWidth="1"/>
    <col min="34" max="44" width="5.7109375" customWidth="1"/>
    <col min="45" max="45" width="17" style="98" customWidth="1"/>
    <col min="46" max="48" width="5.7109375" style="98" customWidth="1"/>
    <col min="49" max="49" width="6.5703125" style="98" customWidth="1"/>
    <col min="50" max="50" width="6" style="98" customWidth="1"/>
    <col min="51" max="51" width="18.42578125" style="98" customWidth="1"/>
    <col min="52" max="54" width="7.5703125" style="98" customWidth="1"/>
    <col min="55" max="56" width="8.7109375" customWidth="1"/>
    <col min="57" max="57" width="9.28515625" customWidth="1"/>
    <col min="67" max="67" width="14.42578125" customWidth="1"/>
    <col min="68" max="68" width="13.28515625" customWidth="1"/>
    <col min="69" max="69" width="9" customWidth="1"/>
    <col min="70" max="70" width="15.5703125" customWidth="1"/>
    <col min="71" max="71" width="10" customWidth="1"/>
    <col min="72" max="72" width="5.85546875" customWidth="1"/>
    <col min="73" max="73" width="40.7109375" customWidth="1"/>
    <col min="74" max="74" width="19.5703125" customWidth="1"/>
    <col min="75" max="75" width="9.28515625" customWidth="1"/>
    <col min="76" max="76" width="51.28515625" customWidth="1"/>
    <col min="77" max="77" width="25.7109375" customWidth="1"/>
    <col min="78" max="78" width="13.7109375" customWidth="1"/>
    <col min="79" max="80" width="11.7109375" customWidth="1"/>
  </cols>
  <sheetData>
    <row r="1" spans="1:80" ht="18.75" customHeight="1" x14ac:dyDescent="0.25">
      <c r="A1" s="455" t="s">
        <v>106</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c r="AH1" s="455"/>
      <c r="AI1" s="456"/>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70"/>
      <c r="BY1" s="98"/>
      <c r="BZ1" s="98"/>
      <c r="CA1" s="98"/>
      <c r="CB1" s="98"/>
    </row>
    <row r="2" spans="1:80" x14ac:dyDescent="0.25">
      <c r="A2" s="455"/>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6"/>
      <c r="AJ2" s="269"/>
      <c r="AK2" s="269"/>
      <c r="AL2" s="269"/>
      <c r="AM2" s="269"/>
      <c r="AN2" s="269"/>
      <c r="AO2" s="269"/>
      <c r="AP2" s="269"/>
      <c r="AQ2" s="269"/>
      <c r="AR2" s="269"/>
      <c r="AS2" s="269"/>
      <c r="AT2" s="269"/>
      <c r="AU2" s="269"/>
      <c r="AV2" s="269"/>
      <c r="AW2" s="269"/>
      <c r="AX2" s="269"/>
      <c r="AY2" s="269"/>
      <c r="AZ2" s="269"/>
      <c r="BA2" s="269"/>
      <c r="BB2" s="269"/>
      <c r="BC2" s="269"/>
      <c r="BD2" s="269"/>
      <c r="BE2" s="269"/>
      <c r="BF2" s="269"/>
      <c r="BG2" s="269"/>
      <c r="BH2" s="269"/>
      <c r="BI2" s="269"/>
      <c r="BJ2" s="269"/>
      <c r="BK2" s="269"/>
      <c r="BL2" s="269"/>
      <c r="BM2" s="269"/>
      <c r="BN2" s="269"/>
      <c r="BO2" s="269"/>
      <c r="BP2" s="269"/>
      <c r="BQ2" s="269"/>
      <c r="BR2" s="269"/>
      <c r="BS2" s="269"/>
      <c r="BT2" s="269"/>
      <c r="BU2" s="269"/>
      <c r="BV2" s="269"/>
      <c r="BW2" s="269"/>
      <c r="BX2" s="270"/>
      <c r="BY2" s="98"/>
      <c r="BZ2" s="98"/>
      <c r="CA2" s="98"/>
      <c r="CB2" s="98"/>
    </row>
    <row r="3" spans="1:80" x14ac:dyDescent="0.25">
      <c r="A3" s="366" t="s">
        <v>107</v>
      </c>
      <c r="B3" s="367"/>
      <c r="C3" s="367"/>
      <c r="D3" s="367"/>
      <c r="E3" s="367"/>
      <c r="F3" s="367"/>
      <c r="G3" s="368"/>
      <c r="H3" s="436" t="str">
        <f>Setup!G3</f>
        <v>Expanded School Mental Health</v>
      </c>
      <c r="I3" s="437"/>
      <c r="J3" s="437"/>
      <c r="K3" s="437"/>
      <c r="L3" s="437"/>
      <c r="M3" s="437"/>
      <c r="N3" s="437"/>
      <c r="O3" s="437"/>
      <c r="P3" s="437"/>
      <c r="Q3" s="437"/>
      <c r="R3" s="437"/>
      <c r="S3" s="437"/>
      <c r="T3" s="437"/>
      <c r="U3" s="437"/>
      <c r="V3" s="438"/>
      <c r="W3" s="157"/>
      <c r="X3" s="366" t="s">
        <v>109</v>
      </c>
      <c r="Y3" s="367"/>
      <c r="Z3" s="368"/>
      <c r="AA3" s="439">
        <f>Setup!U3</f>
        <v>0</v>
      </c>
      <c r="AB3" s="439"/>
      <c r="AC3" s="439"/>
      <c r="AD3" s="439"/>
      <c r="AE3" s="439"/>
      <c r="AF3" s="439"/>
      <c r="AG3" s="439"/>
      <c r="AH3" s="439"/>
      <c r="AI3" s="43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70"/>
      <c r="BY3" s="98"/>
      <c r="BZ3" s="98"/>
      <c r="CA3" s="98"/>
      <c r="CB3" s="98"/>
    </row>
    <row r="4" spans="1:80" x14ac:dyDescent="0.25">
      <c r="A4" s="366" t="s">
        <v>110</v>
      </c>
      <c r="B4" s="367"/>
      <c r="C4" s="367"/>
      <c r="D4" s="367"/>
      <c r="E4" s="367"/>
      <c r="F4" s="367"/>
      <c r="G4" s="368"/>
      <c r="H4" s="440">
        <f>Setup!G4</f>
        <v>0</v>
      </c>
      <c r="I4" s="441"/>
      <c r="J4" s="441"/>
      <c r="K4" s="441"/>
      <c r="L4" s="441"/>
      <c r="M4" s="441"/>
      <c r="N4" s="441"/>
      <c r="O4" s="441"/>
      <c r="P4" s="441"/>
      <c r="Q4" s="441"/>
      <c r="R4" s="441"/>
      <c r="S4" s="441"/>
      <c r="T4" s="441"/>
      <c r="U4" s="441"/>
      <c r="V4" s="442"/>
      <c r="W4" s="157"/>
      <c r="X4" s="366" t="s">
        <v>114</v>
      </c>
      <c r="Y4" s="367"/>
      <c r="Z4" s="368"/>
      <c r="AA4" s="610">
        <f>Setup!U6</f>
        <v>0</v>
      </c>
      <c r="AB4" s="610"/>
      <c r="AC4" s="610"/>
      <c r="AD4" s="610"/>
      <c r="AE4" s="610"/>
      <c r="AF4" s="610"/>
      <c r="AG4" s="610"/>
      <c r="AH4" s="610"/>
      <c r="AI4" s="610"/>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70"/>
      <c r="BY4" s="98"/>
      <c r="BZ4" s="98"/>
      <c r="CA4" s="98"/>
      <c r="CB4" s="98"/>
    </row>
    <row r="5" spans="1:80" ht="29.25" customHeight="1" x14ac:dyDescent="0.25">
      <c r="A5" s="355" t="s">
        <v>115</v>
      </c>
      <c r="B5" s="356"/>
      <c r="C5" s="356"/>
      <c r="D5" s="356"/>
      <c r="E5" s="356"/>
      <c r="F5" s="356"/>
      <c r="G5" s="357"/>
      <c r="H5" s="420">
        <f>Setup!G7</f>
        <v>0</v>
      </c>
      <c r="I5" s="421"/>
      <c r="J5" s="421"/>
      <c r="K5" s="421"/>
      <c r="L5" s="421"/>
      <c r="M5" s="422"/>
      <c r="N5" s="420">
        <f>Setup!L7</f>
        <v>0</v>
      </c>
      <c r="O5" s="421"/>
      <c r="P5" s="421"/>
      <c r="Q5" s="421"/>
      <c r="R5" s="421"/>
      <c r="S5" s="421"/>
      <c r="T5" s="421"/>
      <c r="U5" s="421"/>
      <c r="V5" s="422"/>
      <c r="W5" s="157"/>
      <c r="X5" s="343" t="s">
        <v>118</v>
      </c>
      <c r="Y5" s="344"/>
      <c r="Z5" s="345"/>
      <c r="AA5" s="426">
        <f>Setup!U7</f>
        <v>0</v>
      </c>
      <c r="AB5" s="427"/>
      <c r="AC5" s="427"/>
      <c r="AD5" s="427"/>
      <c r="AE5" s="427"/>
      <c r="AF5" s="427"/>
      <c r="AG5" s="427"/>
      <c r="AH5" s="427"/>
      <c r="AI5" s="428"/>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70"/>
      <c r="BY5" s="98"/>
      <c r="BZ5" s="98"/>
      <c r="CA5" s="98"/>
      <c r="CB5" s="98"/>
    </row>
    <row r="6" spans="1:80" x14ac:dyDescent="0.25">
      <c r="A6" s="607" t="s">
        <v>119</v>
      </c>
      <c r="B6" s="608"/>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269"/>
      <c r="BO6" s="269"/>
      <c r="BP6" s="269"/>
      <c r="BQ6" s="269"/>
      <c r="BR6" s="269"/>
      <c r="BS6" s="269"/>
      <c r="BT6" s="269"/>
      <c r="BU6" s="269"/>
      <c r="BV6" s="269"/>
      <c r="BW6" s="269"/>
      <c r="BX6" s="270"/>
      <c r="BY6" s="98"/>
      <c r="BZ6" s="98"/>
      <c r="CA6" s="98"/>
      <c r="CB6" s="98"/>
    </row>
    <row r="7" spans="1:80" ht="18.75" customHeight="1" x14ac:dyDescent="0.3">
      <c r="A7" s="611" t="s">
        <v>190</v>
      </c>
      <c r="B7" s="612"/>
      <c r="C7" s="612"/>
      <c r="D7" s="612"/>
      <c r="E7" s="612"/>
      <c r="F7" s="612"/>
      <c r="G7" s="612"/>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3"/>
      <c r="AJ7" s="271"/>
      <c r="AK7" s="271"/>
      <c r="AL7" s="271"/>
      <c r="AM7" s="271"/>
      <c r="AN7" s="271"/>
      <c r="AO7" s="271"/>
      <c r="AP7" s="271"/>
      <c r="AQ7" s="271"/>
      <c r="AR7" s="271"/>
      <c r="AS7" s="271"/>
      <c r="AT7" s="271"/>
      <c r="AU7" s="271"/>
      <c r="AV7" s="271"/>
      <c r="AW7" s="271"/>
      <c r="AX7" s="271"/>
      <c r="AY7" s="271"/>
      <c r="AZ7" s="271"/>
      <c r="BA7" s="271"/>
      <c r="BB7" s="271"/>
      <c r="BC7" s="271"/>
      <c r="BD7" s="271"/>
      <c r="BE7" s="271"/>
      <c r="BF7" s="271"/>
      <c r="BG7" s="271"/>
      <c r="BH7" s="271"/>
      <c r="BI7" s="271"/>
      <c r="BJ7" s="271"/>
      <c r="BK7" s="271"/>
      <c r="BL7" s="271"/>
      <c r="BM7" s="271"/>
      <c r="BN7" s="271"/>
      <c r="BO7" s="271"/>
      <c r="BP7" s="271"/>
      <c r="BQ7" s="271"/>
      <c r="BR7" s="271"/>
      <c r="BS7" s="271"/>
      <c r="BT7" s="271"/>
      <c r="BU7" s="271"/>
      <c r="BV7" s="271"/>
      <c r="BW7" s="271"/>
      <c r="BX7" s="272"/>
      <c r="BY7" s="51"/>
      <c r="BZ7" s="51"/>
      <c r="CA7" s="51"/>
      <c r="CB7" s="51"/>
    </row>
    <row r="8" spans="1:80" ht="30" customHeight="1" x14ac:dyDescent="0.35">
      <c r="A8" s="583" t="s">
        <v>191</v>
      </c>
      <c r="B8" s="584"/>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55" t="s">
        <v>192</v>
      </c>
      <c r="AD8" s="555"/>
      <c r="AE8" s="555"/>
      <c r="AF8" s="555"/>
      <c r="AG8" s="555"/>
      <c r="AH8" s="555"/>
      <c r="AI8" s="555"/>
      <c r="AJ8" s="555"/>
      <c r="AK8" s="555"/>
      <c r="AL8" s="555"/>
      <c r="AM8" s="555"/>
      <c r="AN8" s="555"/>
      <c r="AO8" s="555"/>
      <c r="AP8" s="555"/>
      <c r="AQ8" s="555"/>
      <c r="AR8" s="556"/>
      <c r="AS8" s="599" t="s">
        <v>193</v>
      </c>
      <c r="AT8" s="600"/>
      <c r="AU8" s="600"/>
      <c r="AV8" s="600"/>
      <c r="AW8" s="600"/>
      <c r="AX8" s="601"/>
      <c r="AY8" s="602" t="s">
        <v>194</v>
      </c>
      <c r="AZ8" s="603"/>
      <c r="BA8" s="603"/>
      <c r="BB8" s="603"/>
      <c r="BC8" s="578" t="s">
        <v>195</v>
      </c>
      <c r="BD8" s="579"/>
      <c r="BE8" s="579"/>
      <c r="BF8" s="579"/>
      <c r="BG8" s="579"/>
      <c r="BH8" s="579"/>
      <c r="BI8" s="579"/>
      <c r="BJ8" s="579"/>
      <c r="BK8" s="579"/>
      <c r="BL8" s="579"/>
      <c r="BM8" s="579"/>
      <c r="BN8" s="579"/>
      <c r="BO8" s="579"/>
      <c r="BP8" s="579"/>
      <c r="BQ8" s="579"/>
      <c r="BR8" s="580"/>
      <c r="BS8" s="575" t="s">
        <v>196</v>
      </c>
      <c r="BT8" s="576"/>
      <c r="BU8" s="576"/>
      <c r="BV8" s="576"/>
      <c r="BW8" s="577"/>
      <c r="BX8" s="267" t="s">
        <v>197</v>
      </c>
      <c r="BY8" s="98"/>
      <c r="BZ8" s="98"/>
      <c r="CA8" s="98"/>
      <c r="CB8" s="98"/>
    </row>
    <row r="9" spans="1:80" ht="18.75" customHeight="1" x14ac:dyDescent="0.25">
      <c r="A9" s="178" t="s">
        <v>198</v>
      </c>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
      <c r="BY9" s="98"/>
      <c r="BZ9" s="98"/>
      <c r="CA9" s="98"/>
      <c r="CB9" s="98"/>
    </row>
    <row r="10" spans="1:80" ht="95.25" thickBot="1" x14ac:dyDescent="0.3">
      <c r="A10" s="266" t="s">
        <v>199</v>
      </c>
      <c r="B10" s="594" t="s">
        <v>200</v>
      </c>
      <c r="C10" s="595"/>
      <c r="D10" s="265" t="s">
        <v>201</v>
      </c>
      <c r="E10" s="596" t="s">
        <v>202</v>
      </c>
      <c r="F10" s="596"/>
      <c r="G10" s="597" t="s">
        <v>203</v>
      </c>
      <c r="H10" s="597"/>
      <c r="I10" s="598" t="s">
        <v>67</v>
      </c>
      <c r="J10" s="598"/>
      <c r="K10" s="284" t="s">
        <v>204</v>
      </c>
      <c r="L10" s="180" t="s">
        <v>205</v>
      </c>
      <c r="M10" s="181" t="s">
        <v>206</v>
      </c>
      <c r="N10" s="552" t="s">
        <v>207</v>
      </c>
      <c r="O10" s="552"/>
      <c r="P10" s="581" t="s">
        <v>208</v>
      </c>
      <c r="Q10" s="582"/>
      <c r="R10" s="553" t="s">
        <v>209</v>
      </c>
      <c r="S10" s="554"/>
      <c r="T10" s="548" t="s">
        <v>210</v>
      </c>
      <c r="U10" s="549"/>
      <c r="V10" s="182" t="s">
        <v>211</v>
      </c>
      <c r="W10" s="550" t="s">
        <v>212</v>
      </c>
      <c r="X10" s="550"/>
      <c r="Y10" s="550"/>
      <c r="Z10" s="183" t="s">
        <v>213</v>
      </c>
      <c r="AA10" s="551" t="s">
        <v>214</v>
      </c>
      <c r="AB10" s="551"/>
      <c r="AC10" s="614" t="s">
        <v>215</v>
      </c>
      <c r="AD10" s="614"/>
      <c r="AE10" s="614"/>
      <c r="AF10" s="184" t="s">
        <v>216</v>
      </c>
      <c r="AG10" s="184" t="s">
        <v>217</v>
      </c>
      <c r="AH10" s="184" t="s">
        <v>218</v>
      </c>
      <c r="AI10" s="184" t="s">
        <v>219</v>
      </c>
      <c r="AJ10" s="184" t="s">
        <v>220</v>
      </c>
      <c r="AK10" s="184" t="s">
        <v>221</v>
      </c>
      <c r="AL10" s="184" t="s">
        <v>222</v>
      </c>
      <c r="AM10" s="184" t="s">
        <v>223</v>
      </c>
      <c r="AN10" s="184" t="s">
        <v>224</v>
      </c>
      <c r="AO10" s="184" t="s">
        <v>225</v>
      </c>
      <c r="AP10" s="184" t="s">
        <v>226</v>
      </c>
      <c r="AQ10" s="185" t="s">
        <v>227</v>
      </c>
      <c r="AR10" s="186" t="s">
        <v>228</v>
      </c>
      <c r="AS10" s="187" t="s">
        <v>215</v>
      </c>
      <c r="AT10" s="188" t="s">
        <v>229</v>
      </c>
      <c r="AU10" s="188" t="s">
        <v>230</v>
      </c>
      <c r="AV10" s="188" t="s">
        <v>231</v>
      </c>
      <c r="AW10" s="188" t="s">
        <v>232</v>
      </c>
      <c r="AX10" s="189" t="s">
        <v>233</v>
      </c>
      <c r="AY10" s="190" t="s">
        <v>215</v>
      </c>
      <c r="AZ10" s="191" t="s">
        <v>234</v>
      </c>
      <c r="BA10" s="191" t="s">
        <v>235</v>
      </c>
      <c r="BB10" s="192" t="s">
        <v>236</v>
      </c>
      <c r="BC10" s="545" t="s">
        <v>237</v>
      </c>
      <c r="BD10" s="546"/>
      <c r="BE10" s="193" t="s">
        <v>238</v>
      </c>
      <c r="BF10" s="193" t="s">
        <v>239</v>
      </c>
      <c r="BG10" s="193" t="s">
        <v>240</v>
      </c>
      <c r="BH10" s="193" t="s">
        <v>241</v>
      </c>
      <c r="BI10" s="193" t="s">
        <v>242</v>
      </c>
      <c r="BJ10" s="193" t="s">
        <v>243</v>
      </c>
      <c r="BK10" s="193" t="s">
        <v>244</v>
      </c>
      <c r="BL10" s="193" t="s">
        <v>245</v>
      </c>
      <c r="BM10" s="193" t="s">
        <v>246</v>
      </c>
      <c r="BN10" s="193" t="s">
        <v>247</v>
      </c>
      <c r="BO10" s="193" t="s">
        <v>248</v>
      </c>
      <c r="BP10" s="193" t="s">
        <v>249</v>
      </c>
      <c r="BQ10" s="194" t="s">
        <v>228</v>
      </c>
      <c r="BR10" s="195" t="s">
        <v>250</v>
      </c>
      <c r="BS10" s="547" t="s">
        <v>251</v>
      </c>
      <c r="BT10" s="547"/>
      <c r="BU10" s="196" t="s">
        <v>252</v>
      </c>
      <c r="BV10" s="197" t="s">
        <v>253</v>
      </c>
      <c r="BW10" s="198" t="s">
        <v>254</v>
      </c>
      <c r="BX10" s="268" t="s">
        <v>255</v>
      </c>
      <c r="BY10" s="98"/>
      <c r="BZ10" s="98"/>
      <c r="CA10" s="98"/>
      <c r="CB10" s="98"/>
    </row>
    <row r="11" spans="1:80" ht="15.75" thickTop="1" x14ac:dyDescent="0.25">
      <c r="A11" s="585">
        <v>1</v>
      </c>
      <c r="B11" s="588"/>
      <c r="C11" s="589"/>
      <c r="D11" s="604"/>
      <c r="E11" s="515"/>
      <c r="F11" s="516"/>
      <c r="G11" s="521"/>
      <c r="H11" s="522"/>
      <c r="I11" s="527"/>
      <c r="J11" s="528"/>
      <c r="K11" s="512" t="e">
        <f>INT(YEARFRAC(I11,AA11))</f>
        <v>#VALUE!</v>
      </c>
      <c r="L11" s="533">
        <f ca="1">INT(YEARFRAC(I11,TODAY()))</f>
        <v>121</v>
      </c>
      <c r="M11" s="536"/>
      <c r="N11" s="539"/>
      <c r="O11" s="540"/>
      <c r="P11" s="481"/>
      <c r="Q11" s="482"/>
      <c r="R11" s="515"/>
      <c r="S11" s="516"/>
      <c r="T11" s="487"/>
      <c r="U11" s="488"/>
      <c r="V11" s="491"/>
      <c r="W11" s="481"/>
      <c r="X11" s="494"/>
      <c r="Y11" s="482"/>
      <c r="Z11" s="497"/>
      <c r="AA11" s="500" t="s">
        <v>256</v>
      </c>
      <c r="AB11" s="501"/>
      <c r="AC11" s="506" t="s">
        <v>257</v>
      </c>
      <c r="AD11" s="507"/>
      <c r="AE11" s="507"/>
      <c r="AF11" s="510"/>
      <c r="AG11" s="510"/>
      <c r="AH11" s="510"/>
      <c r="AI11" s="510"/>
      <c r="AJ11" s="510"/>
      <c r="AK11" s="510"/>
      <c r="AL11" s="510"/>
      <c r="AM11" s="510"/>
      <c r="AN11" s="510"/>
      <c r="AO11" s="510"/>
      <c r="AP11" s="510"/>
      <c r="AQ11" s="465"/>
      <c r="AR11" s="467">
        <f>SUM(AF11:AQ12)</f>
        <v>0</v>
      </c>
      <c r="AS11" s="119" t="s">
        <v>257</v>
      </c>
      <c r="AT11" s="120"/>
      <c r="AU11" s="120"/>
      <c r="AV11" s="120"/>
      <c r="AW11" s="121"/>
      <c r="AX11" s="125">
        <f>SUM(AT11:AW11)</f>
        <v>0</v>
      </c>
      <c r="AY11" s="141" t="s">
        <v>257</v>
      </c>
      <c r="AZ11" s="137"/>
      <c r="BA11" s="137"/>
      <c r="BB11" s="134">
        <f>AZ11-BA11</f>
        <v>0</v>
      </c>
      <c r="BC11" s="469" t="s">
        <v>258</v>
      </c>
      <c r="BD11" s="470"/>
      <c r="BE11" s="13"/>
      <c r="BF11" s="16"/>
      <c r="BG11" s="13"/>
      <c r="BH11" s="16"/>
      <c r="BI11" s="13"/>
      <c r="BJ11" s="16"/>
      <c r="BK11" s="13"/>
      <c r="BL11" s="16"/>
      <c r="BM11" s="13"/>
      <c r="BN11" s="16"/>
      <c r="BO11" s="13"/>
      <c r="BP11" s="16"/>
      <c r="BQ11" s="106">
        <f>SUM(BE11:BP11)</f>
        <v>0</v>
      </c>
      <c r="BR11" s="566"/>
      <c r="BS11" s="569"/>
      <c r="BT11" s="570"/>
      <c r="BU11" s="557"/>
      <c r="BV11" s="560"/>
      <c r="BW11" s="563"/>
      <c r="BX11" s="615"/>
      <c r="BY11" s="98"/>
      <c r="BZ11" s="98"/>
      <c r="CA11" s="98"/>
      <c r="CB11" s="98"/>
    </row>
    <row r="12" spans="1:80" x14ac:dyDescent="0.25">
      <c r="A12" s="586"/>
      <c r="B12" s="590"/>
      <c r="C12" s="591"/>
      <c r="D12" s="605"/>
      <c r="E12" s="517"/>
      <c r="F12" s="518"/>
      <c r="G12" s="523"/>
      <c r="H12" s="524"/>
      <c r="I12" s="529"/>
      <c r="J12" s="530"/>
      <c r="K12" s="513"/>
      <c r="L12" s="534"/>
      <c r="M12" s="537"/>
      <c r="N12" s="541"/>
      <c r="O12" s="542"/>
      <c r="P12" s="483"/>
      <c r="Q12" s="484"/>
      <c r="R12" s="517"/>
      <c r="S12" s="518"/>
      <c r="T12" s="487"/>
      <c r="U12" s="488"/>
      <c r="V12" s="492"/>
      <c r="W12" s="483"/>
      <c r="X12" s="495"/>
      <c r="Y12" s="484"/>
      <c r="Z12" s="498"/>
      <c r="AA12" s="502"/>
      <c r="AB12" s="503"/>
      <c r="AC12" s="508"/>
      <c r="AD12" s="509"/>
      <c r="AE12" s="509"/>
      <c r="AF12" s="511"/>
      <c r="AG12" s="511"/>
      <c r="AH12" s="511"/>
      <c r="AI12" s="511"/>
      <c r="AJ12" s="511"/>
      <c r="AK12" s="511"/>
      <c r="AL12" s="511"/>
      <c r="AM12" s="511"/>
      <c r="AN12" s="511"/>
      <c r="AO12" s="511"/>
      <c r="AP12" s="511"/>
      <c r="AQ12" s="466"/>
      <c r="AR12" s="468"/>
      <c r="AS12" s="122" t="s">
        <v>259</v>
      </c>
      <c r="AT12" s="123"/>
      <c r="AU12" s="123"/>
      <c r="AV12" s="123"/>
      <c r="AW12" s="124"/>
      <c r="AX12" s="126">
        <f>SUM(AT12:AW12)</f>
        <v>0</v>
      </c>
      <c r="AY12" s="142" t="s">
        <v>259</v>
      </c>
      <c r="AZ12" s="138"/>
      <c r="BA12" s="138"/>
      <c r="BB12" s="135">
        <f>AZ12-BA12</f>
        <v>0</v>
      </c>
      <c r="BC12" s="474" t="s">
        <v>260</v>
      </c>
      <c r="BD12" s="475"/>
      <c r="BE12" s="14"/>
      <c r="BF12" s="17"/>
      <c r="BG12" s="14"/>
      <c r="BH12" s="17"/>
      <c r="BI12" s="14"/>
      <c r="BJ12" s="17"/>
      <c r="BK12" s="14"/>
      <c r="BL12" s="17"/>
      <c r="BM12" s="14"/>
      <c r="BN12" s="17"/>
      <c r="BO12" s="14"/>
      <c r="BP12" s="17"/>
      <c r="BQ12" s="107">
        <f>SUM(BE12:BP12)</f>
        <v>0</v>
      </c>
      <c r="BR12" s="567"/>
      <c r="BS12" s="571"/>
      <c r="BT12" s="572"/>
      <c r="BU12" s="558"/>
      <c r="BV12" s="561"/>
      <c r="BW12" s="564"/>
      <c r="BX12" s="616"/>
      <c r="BY12" s="98"/>
      <c r="BZ12" s="98"/>
      <c r="CA12" s="98"/>
      <c r="CB12" s="98"/>
    </row>
    <row r="13" spans="1:80" ht="15.75" thickBot="1" x14ac:dyDescent="0.3">
      <c r="A13" s="586"/>
      <c r="B13" s="590"/>
      <c r="C13" s="591"/>
      <c r="D13" s="605"/>
      <c r="E13" s="517"/>
      <c r="F13" s="518"/>
      <c r="G13" s="523"/>
      <c r="H13" s="524"/>
      <c r="I13" s="529"/>
      <c r="J13" s="530"/>
      <c r="K13" s="513"/>
      <c r="L13" s="534"/>
      <c r="M13" s="537"/>
      <c r="N13" s="541"/>
      <c r="O13" s="542"/>
      <c r="P13" s="483"/>
      <c r="Q13" s="484"/>
      <c r="R13" s="517"/>
      <c r="S13" s="518"/>
      <c r="T13" s="487"/>
      <c r="U13" s="488"/>
      <c r="V13" s="492"/>
      <c r="W13" s="483"/>
      <c r="X13" s="495"/>
      <c r="Y13" s="484"/>
      <c r="Z13" s="498"/>
      <c r="AA13" s="502"/>
      <c r="AB13" s="503"/>
      <c r="AC13" s="471" t="s">
        <v>259</v>
      </c>
      <c r="AD13" s="472"/>
      <c r="AE13" s="473"/>
      <c r="AF13" s="100"/>
      <c r="AG13" s="100"/>
      <c r="AH13" s="100"/>
      <c r="AI13" s="100"/>
      <c r="AJ13" s="100"/>
      <c r="AK13" s="100"/>
      <c r="AL13" s="100"/>
      <c r="AM13" s="100"/>
      <c r="AN13" s="100"/>
      <c r="AO13" s="100"/>
      <c r="AP13" s="100"/>
      <c r="AQ13" s="101"/>
      <c r="AR13" s="104">
        <f>SUM(AF13:AQ13)</f>
        <v>0</v>
      </c>
      <c r="AS13" s="128" t="s">
        <v>261</v>
      </c>
      <c r="AT13" s="129"/>
      <c r="AU13" s="129"/>
      <c r="AV13" s="129"/>
      <c r="AW13" s="130"/>
      <c r="AX13" s="126">
        <f>SUM(AT13:AW13)</f>
        <v>0</v>
      </c>
      <c r="AY13" s="143" t="s">
        <v>261</v>
      </c>
      <c r="AZ13" s="139"/>
      <c r="BA13" s="139"/>
      <c r="BB13" s="136">
        <f>AZ13-BA13</f>
        <v>0</v>
      </c>
      <c r="BC13" s="474" t="s">
        <v>262</v>
      </c>
      <c r="BD13" s="475"/>
      <c r="BE13" s="14"/>
      <c r="BF13" s="17"/>
      <c r="BG13" s="14"/>
      <c r="BH13" s="17"/>
      <c r="BI13" s="14"/>
      <c r="BJ13" s="17"/>
      <c r="BK13" s="14"/>
      <c r="BL13" s="17"/>
      <c r="BM13" s="14"/>
      <c r="BN13" s="17"/>
      <c r="BO13" s="14"/>
      <c r="BP13" s="17"/>
      <c r="BQ13" s="108">
        <f>SUM(BE13:BP13)</f>
        <v>0</v>
      </c>
      <c r="BR13" s="567"/>
      <c r="BS13" s="571"/>
      <c r="BT13" s="572"/>
      <c r="BU13" s="558"/>
      <c r="BV13" s="561"/>
      <c r="BW13" s="564"/>
      <c r="BX13" s="616"/>
      <c r="BY13" s="98"/>
      <c r="BZ13" s="98"/>
      <c r="CA13" s="98"/>
      <c r="CB13" s="98"/>
    </row>
    <row r="14" spans="1:80" ht="15.75" thickBot="1" x14ac:dyDescent="0.3">
      <c r="A14" s="587"/>
      <c r="B14" s="592"/>
      <c r="C14" s="593"/>
      <c r="D14" s="606"/>
      <c r="E14" s="519"/>
      <c r="F14" s="520"/>
      <c r="G14" s="525"/>
      <c r="H14" s="526"/>
      <c r="I14" s="531"/>
      <c r="J14" s="532"/>
      <c r="K14" s="514"/>
      <c r="L14" s="535"/>
      <c r="M14" s="538"/>
      <c r="N14" s="543"/>
      <c r="O14" s="544"/>
      <c r="P14" s="485"/>
      <c r="Q14" s="486"/>
      <c r="R14" s="519"/>
      <c r="S14" s="520"/>
      <c r="T14" s="489"/>
      <c r="U14" s="490"/>
      <c r="V14" s="493"/>
      <c r="W14" s="485"/>
      <c r="X14" s="496"/>
      <c r="Y14" s="486"/>
      <c r="Z14" s="499"/>
      <c r="AA14" s="504"/>
      <c r="AB14" s="505"/>
      <c r="AC14" s="476" t="s">
        <v>261</v>
      </c>
      <c r="AD14" s="477"/>
      <c r="AE14" s="478"/>
      <c r="AF14" s="102"/>
      <c r="AG14" s="102"/>
      <c r="AH14" s="102"/>
      <c r="AI14" s="102"/>
      <c r="AJ14" s="102"/>
      <c r="AK14" s="102"/>
      <c r="AL14" s="102"/>
      <c r="AM14" s="102"/>
      <c r="AN14" s="102"/>
      <c r="AO14" s="102"/>
      <c r="AP14" s="102"/>
      <c r="AQ14" s="103"/>
      <c r="AR14" s="105">
        <f>SUM(AF14:AQ14)</f>
        <v>0</v>
      </c>
      <c r="AS14" s="131" t="s">
        <v>161</v>
      </c>
      <c r="AT14" s="132">
        <f>SUM(AT11:AT13)</f>
        <v>0</v>
      </c>
      <c r="AU14" s="132">
        <f>SUM(AU11:AU13)</f>
        <v>0</v>
      </c>
      <c r="AV14" s="132">
        <f>SUM(AV11:AV13)</f>
        <v>0</v>
      </c>
      <c r="AW14" s="133">
        <f>SUM(AW11:AW13)</f>
        <v>0</v>
      </c>
      <c r="AX14" s="127">
        <f>SUM(AX11:AX13)</f>
        <v>0</v>
      </c>
      <c r="AY14" s="144" t="s">
        <v>161</v>
      </c>
      <c r="AZ14" s="140">
        <f>SUM(AZ11:AZ13)</f>
        <v>0</v>
      </c>
      <c r="BA14" s="140">
        <f>SUM(BA11:BA13)</f>
        <v>0</v>
      </c>
      <c r="BB14" s="140">
        <f>SUM(BB11:BB13)</f>
        <v>0</v>
      </c>
      <c r="BC14" s="479" t="s">
        <v>263</v>
      </c>
      <c r="BD14" s="480"/>
      <c r="BE14" s="15"/>
      <c r="BF14" s="18"/>
      <c r="BG14" s="15"/>
      <c r="BH14" s="18"/>
      <c r="BI14" s="15"/>
      <c r="BJ14" s="18"/>
      <c r="BK14" s="15"/>
      <c r="BL14" s="18"/>
      <c r="BM14" s="15"/>
      <c r="BN14" s="18"/>
      <c r="BO14" s="15"/>
      <c r="BP14" s="18"/>
      <c r="BQ14" s="109">
        <f>SUM(BE14:BP14)</f>
        <v>0</v>
      </c>
      <c r="BR14" s="568"/>
      <c r="BS14" s="573"/>
      <c r="BT14" s="574"/>
      <c r="BU14" s="559"/>
      <c r="BV14" s="562"/>
      <c r="BW14" s="565"/>
      <c r="BX14" s="617"/>
      <c r="BY14" s="98"/>
      <c r="BZ14" s="98"/>
      <c r="CA14" s="98"/>
      <c r="CB14" s="98"/>
    </row>
    <row r="15" spans="1:80" x14ac:dyDescent="0.25">
      <c r="A15" s="585">
        <v>2</v>
      </c>
      <c r="B15" s="588"/>
      <c r="C15" s="589"/>
      <c r="D15" s="604"/>
      <c r="E15" s="515"/>
      <c r="F15" s="516"/>
      <c r="G15" s="521"/>
      <c r="H15" s="522"/>
      <c r="I15" s="527"/>
      <c r="J15" s="528"/>
      <c r="K15" s="512" t="e">
        <f>INT(YEARFRAC(I15,AA15))</f>
        <v>#VALUE!</v>
      </c>
      <c r="L15" s="533">
        <f t="shared" ref="L15" ca="1" si="0">INT(YEARFRAC(I15,TODAY()))</f>
        <v>121</v>
      </c>
      <c r="M15" s="536"/>
      <c r="N15" s="539"/>
      <c r="O15" s="540"/>
      <c r="P15" s="481"/>
      <c r="Q15" s="482"/>
      <c r="R15" s="515"/>
      <c r="S15" s="516"/>
      <c r="T15" s="487"/>
      <c r="U15" s="488"/>
      <c r="V15" s="491"/>
      <c r="W15" s="481"/>
      <c r="X15" s="494"/>
      <c r="Y15" s="482"/>
      <c r="Z15" s="497"/>
      <c r="AA15" s="500" t="s">
        <v>256</v>
      </c>
      <c r="AB15" s="501"/>
      <c r="AC15" s="506" t="s">
        <v>257</v>
      </c>
      <c r="AD15" s="507"/>
      <c r="AE15" s="507"/>
      <c r="AF15" s="510"/>
      <c r="AG15" s="510"/>
      <c r="AH15" s="510"/>
      <c r="AI15" s="510"/>
      <c r="AJ15" s="510"/>
      <c r="AK15" s="510"/>
      <c r="AL15" s="510"/>
      <c r="AM15" s="510"/>
      <c r="AN15" s="510"/>
      <c r="AO15" s="510"/>
      <c r="AP15" s="510"/>
      <c r="AQ15" s="465"/>
      <c r="AR15" s="467">
        <f t="shared" ref="AR15" si="1">SUM(AF15:AQ16)</f>
        <v>0</v>
      </c>
      <c r="AS15" s="119" t="s">
        <v>257</v>
      </c>
      <c r="AT15" s="120"/>
      <c r="AU15" s="120"/>
      <c r="AV15" s="120"/>
      <c r="AW15" s="121"/>
      <c r="AX15" s="125">
        <f t="shared" ref="AX15:AX17" si="2">SUM(AT15:AW15)</f>
        <v>0</v>
      </c>
      <c r="AY15" s="141" t="s">
        <v>257</v>
      </c>
      <c r="AZ15" s="137"/>
      <c r="BA15" s="137"/>
      <c r="BB15" s="134">
        <f t="shared" ref="BB15:BB17" si="3">AZ15-BA15</f>
        <v>0</v>
      </c>
      <c r="BC15" s="469" t="s">
        <v>258</v>
      </c>
      <c r="BD15" s="470"/>
      <c r="BE15" s="13"/>
      <c r="BF15" s="16"/>
      <c r="BG15" s="13"/>
      <c r="BH15" s="16"/>
      <c r="BI15" s="13"/>
      <c r="BJ15" s="16"/>
      <c r="BK15" s="13"/>
      <c r="BL15" s="16"/>
      <c r="BM15" s="13"/>
      <c r="BN15" s="16"/>
      <c r="BO15" s="13"/>
      <c r="BP15" s="16"/>
      <c r="BQ15" s="106">
        <f t="shared" ref="BQ15:BQ78" si="4">SUM(BE15:BP15)</f>
        <v>0</v>
      </c>
      <c r="BR15" s="566"/>
      <c r="BS15" s="569"/>
      <c r="BT15" s="570"/>
      <c r="BU15" s="557"/>
      <c r="BV15" s="560"/>
      <c r="BW15" s="563"/>
      <c r="BX15" s="615"/>
      <c r="BY15" s="98"/>
      <c r="BZ15" s="98"/>
      <c r="CA15" s="98"/>
      <c r="CB15" s="98"/>
    </row>
    <row r="16" spans="1:80" x14ac:dyDescent="0.25">
      <c r="A16" s="586"/>
      <c r="B16" s="590"/>
      <c r="C16" s="591"/>
      <c r="D16" s="605"/>
      <c r="E16" s="517"/>
      <c r="F16" s="518"/>
      <c r="G16" s="523"/>
      <c r="H16" s="524"/>
      <c r="I16" s="529"/>
      <c r="J16" s="530"/>
      <c r="K16" s="513"/>
      <c r="L16" s="534"/>
      <c r="M16" s="537"/>
      <c r="N16" s="541"/>
      <c r="O16" s="542"/>
      <c r="P16" s="483"/>
      <c r="Q16" s="484"/>
      <c r="R16" s="517"/>
      <c r="S16" s="518"/>
      <c r="T16" s="487"/>
      <c r="U16" s="488"/>
      <c r="V16" s="492"/>
      <c r="W16" s="483"/>
      <c r="X16" s="495"/>
      <c r="Y16" s="484"/>
      <c r="Z16" s="498"/>
      <c r="AA16" s="502"/>
      <c r="AB16" s="503"/>
      <c r="AC16" s="508"/>
      <c r="AD16" s="509"/>
      <c r="AE16" s="509"/>
      <c r="AF16" s="511"/>
      <c r="AG16" s="511"/>
      <c r="AH16" s="511"/>
      <c r="AI16" s="511"/>
      <c r="AJ16" s="511"/>
      <c r="AK16" s="511"/>
      <c r="AL16" s="511"/>
      <c r="AM16" s="511"/>
      <c r="AN16" s="511"/>
      <c r="AO16" s="511"/>
      <c r="AP16" s="511"/>
      <c r="AQ16" s="466"/>
      <c r="AR16" s="468"/>
      <c r="AS16" s="122" t="s">
        <v>259</v>
      </c>
      <c r="AT16" s="123"/>
      <c r="AU16" s="123"/>
      <c r="AV16" s="123"/>
      <c r="AW16" s="124"/>
      <c r="AX16" s="126">
        <f t="shared" si="2"/>
        <v>0</v>
      </c>
      <c r="AY16" s="142" t="s">
        <v>259</v>
      </c>
      <c r="AZ16" s="138"/>
      <c r="BA16" s="138"/>
      <c r="BB16" s="135">
        <f t="shared" si="3"/>
        <v>0</v>
      </c>
      <c r="BC16" s="474" t="s">
        <v>260</v>
      </c>
      <c r="BD16" s="475"/>
      <c r="BE16" s="14"/>
      <c r="BF16" s="17"/>
      <c r="BG16" s="14"/>
      <c r="BH16" s="17"/>
      <c r="BI16" s="14"/>
      <c r="BJ16" s="17"/>
      <c r="BK16" s="14"/>
      <c r="BL16" s="17"/>
      <c r="BM16" s="14"/>
      <c r="BN16" s="17"/>
      <c r="BO16" s="14"/>
      <c r="BP16" s="17"/>
      <c r="BQ16" s="107">
        <f t="shared" si="4"/>
        <v>0</v>
      </c>
      <c r="BR16" s="567"/>
      <c r="BS16" s="571"/>
      <c r="BT16" s="572"/>
      <c r="BU16" s="558"/>
      <c r="BV16" s="561"/>
      <c r="BW16" s="564"/>
      <c r="BX16" s="616"/>
      <c r="BY16" s="98"/>
      <c r="BZ16" s="98"/>
      <c r="CA16" s="98"/>
      <c r="CB16" s="98"/>
    </row>
    <row r="17" spans="1:76" ht="15.75" thickBot="1" x14ac:dyDescent="0.3">
      <c r="A17" s="586"/>
      <c r="B17" s="590"/>
      <c r="C17" s="591"/>
      <c r="D17" s="605"/>
      <c r="E17" s="517"/>
      <c r="F17" s="518"/>
      <c r="G17" s="523"/>
      <c r="H17" s="524"/>
      <c r="I17" s="529"/>
      <c r="J17" s="530"/>
      <c r="K17" s="513"/>
      <c r="L17" s="534"/>
      <c r="M17" s="537"/>
      <c r="N17" s="541"/>
      <c r="O17" s="542"/>
      <c r="P17" s="483"/>
      <c r="Q17" s="484"/>
      <c r="R17" s="517"/>
      <c r="S17" s="518"/>
      <c r="T17" s="487"/>
      <c r="U17" s="488"/>
      <c r="V17" s="492"/>
      <c r="W17" s="483"/>
      <c r="X17" s="495"/>
      <c r="Y17" s="484"/>
      <c r="Z17" s="498"/>
      <c r="AA17" s="502"/>
      <c r="AB17" s="503"/>
      <c r="AC17" s="471" t="s">
        <v>259</v>
      </c>
      <c r="AD17" s="472"/>
      <c r="AE17" s="473"/>
      <c r="AF17" s="100"/>
      <c r="AG17" s="100"/>
      <c r="AH17" s="100"/>
      <c r="AI17" s="100"/>
      <c r="AJ17" s="100"/>
      <c r="AK17" s="100"/>
      <c r="AL17" s="100"/>
      <c r="AM17" s="100"/>
      <c r="AN17" s="100"/>
      <c r="AO17" s="100"/>
      <c r="AP17" s="100"/>
      <c r="AQ17" s="101"/>
      <c r="AR17" s="104">
        <f t="shared" ref="AR17:AR18" si="5">SUM(AF17:AQ17)</f>
        <v>0</v>
      </c>
      <c r="AS17" s="128" t="s">
        <v>261</v>
      </c>
      <c r="AT17" s="129"/>
      <c r="AU17" s="129"/>
      <c r="AV17" s="129"/>
      <c r="AW17" s="130"/>
      <c r="AX17" s="126">
        <f t="shared" si="2"/>
        <v>0</v>
      </c>
      <c r="AY17" s="143" t="s">
        <v>261</v>
      </c>
      <c r="AZ17" s="139"/>
      <c r="BA17" s="139"/>
      <c r="BB17" s="136">
        <f t="shared" si="3"/>
        <v>0</v>
      </c>
      <c r="BC17" s="474" t="s">
        <v>262</v>
      </c>
      <c r="BD17" s="475"/>
      <c r="BE17" s="14"/>
      <c r="BF17" s="17"/>
      <c r="BG17" s="14"/>
      <c r="BH17" s="17"/>
      <c r="BI17" s="14"/>
      <c r="BJ17" s="17"/>
      <c r="BK17" s="14"/>
      <c r="BL17" s="17"/>
      <c r="BM17" s="14"/>
      <c r="BN17" s="17"/>
      <c r="BO17" s="14"/>
      <c r="BP17" s="17"/>
      <c r="BQ17" s="108">
        <f t="shared" si="4"/>
        <v>0</v>
      </c>
      <c r="BR17" s="567"/>
      <c r="BS17" s="571"/>
      <c r="BT17" s="572"/>
      <c r="BU17" s="558"/>
      <c r="BV17" s="561"/>
      <c r="BW17" s="564"/>
      <c r="BX17" s="616"/>
    </row>
    <row r="18" spans="1:76" ht="15.75" thickBot="1" x14ac:dyDescent="0.3">
      <c r="A18" s="587"/>
      <c r="B18" s="592"/>
      <c r="C18" s="593"/>
      <c r="D18" s="606"/>
      <c r="E18" s="519"/>
      <c r="F18" s="520"/>
      <c r="G18" s="525"/>
      <c r="H18" s="526"/>
      <c r="I18" s="531"/>
      <c r="J18" s="532"/>
      <c r="K18" s="514"/>
      <c r="L18" s="535"/>
      <c r="M18" s="538"/>
      <c r="N18" s="543"/>
      <c r="O18" s="544"/>
      <c r="P18" s="485"/>
      <c r="Q18" s="486"/>
      <c r="R18" s="519"/>
      <c r="S18" s="520"/>
      <c r="T18" s="489"/>
      <c r="U18" s="490"/>
      <c r="V18" s="493"/>
      <c r="W18" s="485"/>
      <c r="X18" s="496"/>
      <c r="Y18" s="486"/>
      <c r="Z18" s="499"/>
      <c r="AA18" s="504"/>
      <c r="AB18" s="505"/>
      <c r="AC18" s="476" t="s">
        <v>261</v>
      </c>
      <c r="AD18" s="477"/>
      <c r="AE18" s="478"/>
      <c r="AF18" s="102"/>
      <c r="AG18" s="102"/>
      <c r="AH18" s="102"/>
      <c r="AI18" s="102"/>
      <c r="AJ18" s="102"/>
      <c r="AK18" s="102"/>
      <c r="AL18" s="102"/>
      <c r="AM18" s="102"/>
      <c r="AN18" s="102"/>
      <c r="AO18" s="102"/>
      <c r="AP18" s="102"/>
      <c r="AQ18" s="103"/>
      <c r="AR18" s="105">
        <f t="shared" si="5"/>
        <v>0</v>
      </c>
      <c r="AS18" s="131" t="s">
        <v>161</v>
      </c>
      <c r="AT18" s="132">
        <f t="shared" ref="AT18:AX18" si="6">SUM(AT15:AT17)</f>
        <v>0</v>
      </c>
      <c r="AU18" s="132">
        <f t="shared" si="6"/>
        <v>0</v>
      </c>
      <c r="AV18" s="132">
        <f t="shared" si="6"/>
        <v>0</v>
      </c>
      <c r="AW18" s="133">
        <f t="shared" si="6"/>
        <v>0</v>
      </c>
      <c r="AX18" s="127">
        <f t="shared" si="6"/>
        <v>0</v>
      </c>
      <c r="AY18" s="144" t="s">
        <v>161</v>
      </c>
      <c r="AZ18" s="140">
        <f t="shared" ref="AZ18:BB18" si="7">SUM(AZ15:AZ17)</f>
        <v>0</v>
      </c>
      <c r="BA18" s="140">
        <f t="shared" si="7"/>
        <v>0</v>
      </c>
      <c r="BB18" s="140">
        <f t="shared" si="7"/>
        <v>0</v>
      </c>
      <c r="BC18" s="479" t="s">
        <v>263</v>
      </c>
      <c r="BD18" s="480"/>
      <c r="BE18" s="15"/>
      <c r="BF18" s="18"/>
      <c r="BG18" s="15"/>
      <c r="BH18" s="18"/>
      <c r="BI18" s="15"/>
      <c r="BJ18" s="18"/>
      <c r="BK18" s="15"/>
      <c r="BL18" s="18"/>
      <c r="BM18" s="15"/>
      <c r="BN18" s="18"/>
      <c r="BO18" s="15"/>
      <c r="BP18" s="18"/>
      <c r="BQ18" s="109">
        <f t="shared" si="4"/>
        <v>0</v>
      </c>
      <c r="BR18" s="568"/>
      <c r="BS18" s="573"/>
      <c r="BT18" s="574"/>
      <c r="BU18" s="559"/>
      <c r="BV18" s="562"/>
      <c r="BW18" s="565"/>
      <c r="BX18" s="617"/>
    </row>
    <row r="19" spans="1:76" x14ac:dyDescent="0.25">
      <c r="A19" s="585">
        <v>3</v>
      </c>
      <c r="B19" s="588"/>
      <c r="C19" s="589"/>
      <c r="D19" s="604"/>
      <c r="E19" s="515"/>
      <c r="F19" s="516"/>
      <c r="G19" s="521"/>
      <c r="H19" s="522"/>
      <c r="I19" s="527"/>
      <c r="J19" s="528"/>
      <c r="K19" s="512" t="e">
        <f t="shared" ref="K19" si="8">INT(YEARFRAC(I19,AA19))</f>
        <v>#VALUE!</v>
      </c>
      <c r="L19" s="533">
        <f t="shared" ref="L19" ca="1" si="9">INT(YEARFRAC(I19,TODAY()))</f>
        <v>121</v>
      </c>
      <c r="M19" s="536"/>
      <c r="N19" s="539"/>
      <c r="O19" s="540"/>
      <c r="P19" s="481"/>
      <c r="Q19" s="482"/>
      <c r="R19" s="515"/>
      <c r="S19" s="516"/>
      <c r="T19" s="487"/>
      <c r="U19" s="488"/>
      <c r="V19" s="491"/>
      <c r="W19" s="481"/>
      <c r="X19" s="494"/>
      <c r="Y19" s="482"/>
      <c r="Z19" s="497"/>
      <c r="AA19" s="500" t="s">
        <v>256</v>
      </c>
      <c r="AB19" s="501"/>
      <c r="AC19" s="506" t="s">
        <v>257</v>
      </c>
      <c r="AD19" s="507"/>
      <c r="AE19" s="507"/>
      <c r="AF19" s="510"/>
      <c r="AG19" s="510"/>
      <c r="AH19" s="510"/>
      <c r="AI19" s="510"/>
      <c r="AJ19" s="510"/>
      <c r="AK19" s="510"/>
      <c r="AL19" s="510"/>
      <c r="AM19" s="510"/>
      <c r="AN19" s="510"/>
      <c r="AO19" s="510"/>
      <c r="AP19" s="510"/>
      <c r="AQ19" s="465"/>
      <c r="AR19" s="467">
        <f t="shared" ref="AR19" si="10">SUM(AF19:AQ20)</f>
        <v>0</v>
      </c>
      <c r="AS19" s="119" t="s">
        <v>257</v>
      </c>
      <c r="AT19" s="120"/>
      <c r="AU19" s="120"/>
      <c r="AV19" s="120"/>
      <c r="AW19" s="121"/>
      <c r="AX19" s="125">
        <f t="shared" ref="AX19:AX21" si="11">SUM(AT19:AW19)</f>
        <v>0</v>
      </c>
      <c r="AY19" s="141" t="s">
        <v>257</v>
      </c>
      <c r="AZ19" s="137"/>
      <c r="BA19" s="137"/>
      <c r="BB19" s="134">
        <f t="shared" ref="BB19:BB21" si="12">AZ19-BA19</f>
        <v>0</v>
      </c>
      <c r="BC19" s="469" t="s">
        <v>258</v>
      </c>
      <c r="BD19" s="470"/>
      <c r="BE19" s="13"/>
      <c r="BF19" s="16"/>
      <c r="BG19" s="13"/>
      <c r="BH19" s="16"/>
      <c r="BI19" s="13"/>
      <c r="BJ19" s="16"/>
      <c r="BK19" s="13"/>
      <c r="BL19" s="16"/>
      <c r="BM19" s="13"/>
      <c r="BN19" s="16"/>
      <c r="BO19" s="13"/>
      <c r="BP19" s="16"/>
      <c r="BQ19" s="106">
        <f t="shared" si="4"/>
        <v>0</v>
      </c>
      <c r="BR19" s="566"/>
      <c r="BS19" s="569"/>
      <c r="BT19" s="570"/>
      <c r="BU19" s="557"/>
      <c r="BV19" s="560"/>
      <c r="BW19" s="563"/>
      <c r="BX19" s="615"/>
    </row>
    <row r="20" spans="1:76" x14ac:dyDescent="0.25">
      <c r="A20" s="586"/>
      <c r="B20" s="590"/>
      <c r="C20" s="591"/>
      <c r="D20" s="605"/>
      <c r="E20" s="517"/>
      <c r="F20" s="518"/>
      <c r="G20" s="523"/>
      <c r="H20" s="524"/>
      <c r="I20" s="529"/>
      <c r="J20" s="530"/>
      <c r="K20" s="513"/>
      <c r="L20" s="534"/>
      <c r="M20" s="537"/>
      <c r="N20" s="541"/>
      <c r="O20" s="542"/>
      <c r="P20" s="483"/>
      <c r="Q20" s="484"/>
      <c r="R20" s="517"/>
      <c r="S20" s="518"/>
      <c r="T20" s="487"/>
      <c r="U20" s="488"/>
      <c r="V20" s="492"/>
      <c r="W20" s="483"/>
      <c r="X20" s="495"/>
      <c r="Y20" s="484"/>
      <c r="Z20" s="498"/>
      <c r="AA20" s="502"/>
      <c r="AB20" s="503"/>
      <c r="AC20" s="508"/>
      <c r="AD20" s="509"/>
      <c r="AE20" s="509"/>
      <c r="AF20" s="511"/>
      <c r="AG20" s="511"/>
      <c r="AH20" s="511"/>
      <c r="AI20" s="511"/>
      <c r="AJ20" s="511"/>
      <c r="AK20" s="511"/>
      <c r="AL20" s="511"/>
      <c r="AM20" s="511"/>
      <c r="AN20" s="511"/>
      <c r="AO20" s="511"/>
      <c r="AP20" s="511"/>
      <c r="AQ20" s="466"/>
      <c r="AR20" s="468"/>
      <c r="AS20" s="122" t="s">
        <v>259</v>
      </c>
      <c r="AT20" s="123"/>
      <c r="AU20" s="123"/>
      <c r="AV20" s="123"/>
      <c r="AW20" s="124"/>
      <c r="AX20" s="126">
        <f t="shared" si="11"/>
        <v>0</v>
      </c>
      <c r="AY20" s="142" t="s">
        <v>259</v>
      </c>
      <c r="AZ20" s="138"/>
      <c r="BA20" s="138"/>
      <c r="BB20" s="135">
        <f t="shared" si="12"/>
        <v>0</v>
      </c>
      <c r="BC20" s="474" t="s">
        <v>260</v>
      </c>
      <c r="BD20" s="475"/>
      <c r="BE20" s="14"/>
      <c r="BF20" s="17"/>
      <c r="BG20" s="14"/>
      <c r="BH20" s="17"/>
      <c r="BI20" s="14"/>
      <c r="BJ20" s="17"/>
      <c r="BK20" s="14"/>
      <c r="BL20" s="17"/>
      <c r="BM20" s="14"/>
      <c r="BN20" s="17"/>
      <c r="BO20" s="14"/>
      <c r="BP20" s="17"/>
      <c r="BQ20" s="107">
        <f t="shared" si="4"/>
        <v>0</v>
      </c>
      <c r="BR20" s="567"/>
      <c r="BS20" s="571"/>
      <c r="BT20" s="572"/>
      <c r="BU20" s="558"/>
      <c r="BV20" s="561"/>
      <c r="BW20" s="564"/>
      <c r="BX20" s="616"/>
    </row>
    <row r="21" spans="1:76" ht="15.75" thickBot="1" x14ac:dyDescent="0.3">
      <c r="A21" s="586"/>
      <c r="B21" s="590"/>
      <c r="C21" s="591"/>
      <c r="D21" s="605"/>
      <c r="E21" s="517"/>
      <c r="F21" s="518"/>
      <c r="G21" s="523"/>
      <c r="H21" s="524"/>
      <c r="I21" s="529"/>
      <c r="J21" s="530"/>
      <c r="K21" s="513"/>
      <c r="L21" s="534"/>
      <c r="M21" s="537"/>
      <c r="N21" s="541"/>
      <c r="O21" s="542"/>
      <c r="P21" s="483"/>
      <c r="Q21" s="484"/>
      <c r="R21" s="517"/>
      <c r="S21" s="518"/>
      <c r="T21" s="487"/>
      <c r="U21" s="488"/>
      <c r="V21" s="492"/>
      <c r="W21" s="483"/>
      <c r="X21" s="495"/>
      <c r="Y21" s="484"/>
      <c r="Z21" s="498"/>
      <c r="AA21" s="502"/>
      <c r="AB21" s="503"/>
      <c r="AC21" s="471" t="s">
        <v>259</v>
      </c>
      <c r="AD21" s="472"/>
      <c r="AE21" s="473"/>
      <c r="AF21" s="100"/>
      <c r="AG21" s="100"/>
      <c r="AH21" s="100"/>
      <c r="AI21" s="100"/>
      <c r="AJ21" s="100"/>
      <c r="AK21" s="100"/>
      <c r="AL21" s="100"/>
      <c r="AM21" s="100"/>
      <c r="AN21" s="100"/>
      <c r="AO21" s="100"/>
      <c r="AP21" s="100"/>
      <c r="AQ21" s="101"/>
      <c r="AR21" s="104">
        <f t="shared" ref="AR21:AR22" si="13">SUM(AF21:AQ21)</f>
        <v>0</v>
      </c>
      <c r="AS21" s="128" t="s">
        <v>261</v>
      </c>
      <c r="AT21" s="129"/>
      <c r="AU21" s="129"/>
      <c r="AV21" s="129"/>
      <c r="AW21" s="130"/>
      <c r="AX21" s="126">
        <f t="shared" si="11"/>
        <v>0</v>
      </c>
      <c r="AY21" s="143" t="s">
        <v>261</v>
      </c>
      <c r="AZ21" s="139"/>
      <c r="BA21" s="139"/>
      <c r="BB21" s="136">
        <f t="shared" si="12"/>
        <v>0</v>
      </c>
      <c r="BC21" s="474" t="s">
        <v>262</v>
      </c>
      <c r="BD21" s="475"/>
      <c r="BE21" s="14"/>
      <c r="BF21" s="17"/>
      <c r="BG21" s="14"/>
      <c r="BH21" s="17"/>
      <c r="BI21" s="14"/>
      <c r="BJ21" s="17"/>
      <c r="BK21" s="14"/>
      <c r="BL21" s="17"/>
      <c r="BM21" s="14"/>
      <c r="BN21" s="17"/>
      <c r="BO21" s="14"/>
      <c r="BP21" s="17"/>
      <c r="BQ21" s="108">
        <f t="shared" si="4"/>
        <v>0</v>
      </c>
      <c r="BR21" s="567"/>
      <c r="BS21" s="571"/>
      <c r="BT21" s="572"/>
      <c r="BU21" s="558"/>
      <c r="BV21" s="561"/>
      <c r="BW21" s="564"/>
      <c r="BX21" s="616"/>
    </row>
    <row r="22" spans="1:76" ht="15.75" thickBot="1" x14ac:dyDescent="0.3">
      <c r="A22" s="587"/>
      <c r="B22" s="592"/>
      <c r="C22" s="593"/>
      <c r="D22" s="606"/>
      <c r="E22" s="519"/>
      <c r="F22" s="520"/>
      <c r="G22" s="525"/>
      <c r="H22" s="526"/>
      <c r="I22" s="531"/>
      <c r="J22" s="532"/>
      <c r="K22" s="514"/>
      <c r="L22" s="535"/>
      <c r="M22" s="538"/>
      <c r="N22" s="543"/>
      <c r="O22" s="544"/>
      <c r="P22" s="485"/>
      <c r="Q22" s="486"/>
      <c r="R22" s="519"/>
      <c r="S22" s="520"/>
      <c r="T22" s="489"/>
      <c r="U22" s="490"/>
      <c r="V22" s="493"/>
      <c r="W22" s="485"/>
      <c r="X22" s="496"/>
      <c r="Y22" s="486"/>
      <c r="Z22" s="499"/>
      <c r="AA22" s="504"/>
      <c r="AB22" s="505"/>
      <c r="AC22" s="476" t="s">
        <v>261</v>
      </c>
      <c r="AD22" s="477"/>
      <c r="AE22" s="478"/>
      <c r="AF22" s="102"/>
      <c r="AG22" s="102"/>
      <c r="AH22" s="102"/>
      <c r="AI22" s="102"/>
      <c r="AJ22" s="102"/>
      <c r="AK22" s="102"/>
      <c r="AL22" s="102"/>
      <c r="AM22" s="102"/>
      <c r="AN22" s="102"/>
      <c r="AO22" s="102"/>
      <c r="AP22" s="102"/>
      <c r="AQ22" s="103"/>
      <c r="AR22" s="105">
        <f t="shared" si="13"/>
        <v>0</v>
      </c>
      <c r="AS22" s="131" t="s">
        <v>161</v>
      </c>
      <c r="AT22" s="132">
        <f t="shared" ref="AT22:AX22" si="14">SUM(AT19:AT21)</f>
        <v>0</v>
      </c>
      <c r="AU22" s="132">
        <f t="shared" si="14"/>
        <v>0</v>
      </c>
      <c r="AV22" s="132">
        <f t="shared" si="14"/>
        <v>0</v>
      </c>
      <c r="AW22" s="133">
        <f t="shared" si="14"/>
        <v>0</v>
      </c>
      <c r="AX22" s="127">
        <f t="shared" si="14"/>
        <v>0</v>
      </c>
      <c r="AY22" s="144" t="s">
        <v>161</v>
      </c>
      <c r="AZ22" s="140">
        <f t="shared" ref="AZ22:BB22" si="15">SUM(AZ19:AZ21)</f>
        <v>0</v>
      </c>
      <c r="BA22" s="140">
        <f t="shared" si="15"/>
        <v>0</v>
      </c>
      <c r="BB22" s="140">
        <f t="shared" si="15"/>
        <v>0</v>
      </c>
      <c r="BC22" s="479" t="s">
        <v>263</v>
      </c>
      <c r="BD22" s="480"/>
      <c r="BE22" s="15"/>
      <c r="BF22" s="18"/>
      <c r="BG22" s="15"/>
      <c r="BH22" s="18"/>
      <c r="BI22" s="15"/>
      <c r="BJ22" s="18"/>
      <c r="BK22" s="15"/>
      <c r="BL22" s="18"/>
      <c r="BM22" s="15"/>
      <c r="BN22" s="18"/>
      <c r="BO22" s="15"/>
      <c r="BP22" s="18"/>
      <c r="BQ22" s="109">
        <f t="shared" si="4"/>
        <v>0</v>
      </c>
      <c r="BR22" s="568"/>
      <c r="BS22" s="573"/>
      <c r="BT22" s="574"/>
      <c r="BU22" s="559"/>
      <c r="BV22" s="562"/>
      <c r="BW22" s="565"/>
      <c r="BX22" s="617"/>
    </row>
    <row r="23" spans="1:76" x14ac:dyDescent="0.25">
      <c r="A23" s="585">
        <v>4</v>
      </c>
      <c r="B23" s="588"/>
      <c r="C23" s="589"/>
      <c r="D23" s="604"/>
      <c r="E23" s="515"/>
      <c r="F23" s="516"/>
      <c r="G23" s="521"/>
      <c r="H23" s="522"/>
      <c r="I23" s="527"/>
      <c r="J23" s="528"/>
      <c r="K23" s="512">
        <f t="shared" ref="K23" si="16">INT(YEARFRAC(I23,AA23))</f>
        <v>0</v>
      </c>
      <c r="L23" s="533">
        <f t="shared" ref="L23" ca="1" si="17">INT(YEARFRAC(I23,TODAY()))</f>
        <v>121</v>
      </c>
      <c r="M23" s="536"/>
      <c r="N23" s="539"/>
      <c r="O23" s="540"/>
      <c r="P23" s="481"/>
      <c r="Q23" s="482"/>
      <c r="R23" s="515"/>
      <c r="S23" s="516"/>
      <c r="T23" s="487"/>
      <c r="U23" s="488"/>
      <c r="V23" s="491"/>
      <c r="W23" s="481"/>
      <c r="X23" s="494"/>
      <c r="Y23" s="482"/>
      <c r="Z23" s="497"/>
      <c r="AA23" s="500"/>
      <c r="AB23" s="501"/>
      <c r="AC23" s="506" t="s">
        <v>257</v>
      </c>
      <c r="AD23" s="507"/>
      <c r="AE23" s="507"/>
      <c r="AF23" s="510"/>
      <c r="AG23" s="510"/>
      <c r="AH23" s="510"/>
      <c r="AI23" s="510">
        <v>3</v>
      </c>
      <c r="AJ23" s="510">
        <v>4</v>
      </c>
      <c r="AK23" s="510">
        <v>3</v>
      </c>
      <c r="AL23" s="510">
        <v>3</v>
      </c>
      <c r="AM23" s="510">
        <v>2</v>
      </c>
      <c r="AN23" s="510">
        <v>3</v>
      </c>
      <c r="AO23" s="510"/>
      <c r="AP23" s="510"/>
      <c r="AQ23" s="465"/>
      <c r="AR23" s="467">
        <f t="shared" ref="AR23" si="18">SUM(AF23:AQ24)</f>
        <v>18</v>
      </c>
      <c r="AS23" s="119" t="s">
        <v>257</v>
      </c>
      <c r="AT23" s="120">
        <v>3</v>
      </c>
      <c r="AU23" s="120">
        <v>0</v>
      </c>
      <c r="AV23" s="120">
        <v>0</v>
      </c>
      <c r="AW23" s="121">
        <v>0</v>
      </c>
      <c r="AX23" s="125">
        <f t="shared" ref="AX23:AX25" si="19">SUM(AT23:AW23)</f>
        <v>3</v>
      </c>
      <c r="AY23" s="141" t="s">
        <v>257</v>
      </c>
      <c r="AZ23" s="137">
        <v>3</v>
      </c>
      <c r="BA23" s="137">
        <v>0</v>
      </c>
      <c r="BB23" s="134">
        <f t="shared" ref="BB23:BB25" si="20">AZ23-BA23</f>
        <v>3</v>
      </c>
      <c r="BC23" s="469" t="s">
        <v>258</v>
      </c>
      <c r="BD23" s="470"/>
      <c r="BE23" s="13"/>
      <c r="BF23" s="16"/>
      <c r="BG23" s="13"/>
      <c r="BH23" s="16"/>
      <c r="BI23" s="13"/>
      <c r="BJ23" s="16"/>
      <c r="BK23" s="13"/>
      <c r="BL23" s="16"/>
      <c r="BM23" s="13"/>
      <c r="BN23" s="16"/>
      <c r="BO23" s="13"/>
      <c r="BP23" s="16"/>
      <c r="BQ23" s="106">
        <f t="shared" si="4"/>
        <v>0</v>
      </c>
      <c r="BR23" s="566"/>
      <c r="BS23" s="569"/>
      <c r="BT23" s="570"/>
      <c r="BU23" s="557"/>
      <c r="BV23" s="560"/>
      <c r="BW23" s="563"/>
      <c r="BX23" s="615"/>
    </row>
    <row r="24" spans="1:76" x14ac:dyDescent="0.25">
      <c r="A24" s="586"/>
      <c r="B24" s="590"/>
      <c r="C24" s="591"/>
      <c r="D24" s="605"/>
      <c r="E24" s="517"/>
      <c r="F24" s="518"/>
      <c r="G24" s="523"/>
      <c r="H24" s="524"/>
      <c r="I24" s="529"/>
      <c r="J24" s="530"/>
      <c r="K24" s="513"/>
      <c r="L24" s="534"/>
      <c r="M24" s="537"/>
      <c r="N24" s="541"/>
      <c r="O24" s="542"/>
      <c r="P24" s="483"/>
      <c r="Q24" s="484"/>
      <c r="R24" s="517"/>
      <c r="S24" s="518"/>
      <c r="T24" s="487"/>
      <c r="U24" s="488"/>
      <c r="V24" s="492"/>
      <c r="W24" s="483"/>
      <c r="X24" s="495"/>
      <c r="Y24" s="484"/>
      <c r="Z24" s="498"/>
      <c r="AA24" s="502"/>
      <c r="AB24" s="503"/>
      <c r="AC24" s="508"/>
      <c r="AD24" s="509"/>
      <c r="AE24" s="509"/>
      <c r="AF24" s="511"/>
      <c r="AG24" s="511"/>
      <c r="AH24" s="511"/>
      <c r="AI24" s="511"/>
      <c r="AJ24" s="511"/>
      <c r="AK24" s="511"/>
      <c r="AL24" s="511"/>
      <c r="AM24" s="511"/>
      <c r="AN24" s="511"/>
      <c r="AO24" s="511"/>
      <c r="AP24" s="511"/>
      <c r="AQ24" s="466"/>
      <c r="AR24" s="468"/>
      <c r="AS24" s="122" t="s">
        <v>259</v>
      </c>
      <c r="AT24" s="123"/>
      <c r="AU24" s="123"/>
      <c r="AV24" s="123"/>
      <c r="AW24" s="124"/>
      <c r="AX24" s="126">
        <f t="shared" si="19"/>
        <v>0</v>
      </c>
      <c r="AY24" s="142" t="s">
        <v>259</v>
      </c>
      <c r="AZ24" s="138"/>
      <c r="BA24" s="138"/>
      <c r="BB24" s="135">
        <f t="shared" si="20"/>
        <v>0</v>
      </c>
      <c r="BC24" s="474" t="s">
        <v>260</v>
      </c>
      <c r="BD24" s="475"/>
      <c r="BE24" s="14"/>
      <c r="BF24" s="17"/>
      <c r="BG24" s="14"/>
      <c r="BH24" s="17"/>
      <c r="BI24" s="14"/>
      <c r="BJ24" s="17"/>
      <c r="BK24" s="14"/>
      <c r="BL24" s="17"/>
      <c r="BM24" s="14"/>
      <c r="BN24" s="17"/>
      <c r="BO24" s="14"/>
      <c r="BP24" s="17"/>
      <c r="BQ24" s="107">
        <f t="shared" si="4"/>
        <v>0</v>
      </c>
      <c r="BR24" s="567"/>
      <c r="BS24" s="571"/>
      <c r="BT24" s="572"/>
      <c r="BU24" s="558"/>
      <c r="BV24" s="561"/>
      <c r="BW24" s="564"/>
      <c r="BX24" s="616"/>
    </row>
    <row r="25" spans="1:76" ht="15.75" thickBot="1" x14ac:dyDescent="0.3">
      <c r="A25" s="586"/>
      <c r="B25" s="590"/>
      <c r="C25" s="591"/>
      <c r="D25" s="605"/>
      <c r="E25" s="517"/>
      <c r="F25" s="518"/>
      <c r="G25" s="523"/>
      <c r="H25" s="524"/>
      <c r="I25" s="529"/>
      <c r="J25" s="530"/>
      <c r="K25" s="513"/>
      <c r="L25" s="534"/>
      <c r="M25" s="537"/>
      <c r="N25" s="541"/>
      <c r="O25" s="542"/>
      <c r="P25" s="483"/>
      <c r="Q25" s="484"/>
      <c r="R25" s="517"/>
      <c r="S25" s="518"/>
      <c r="T25" s="487"/>
      <c r="U25" s="488"/>
      <c r="V25" s="492"/>
      <c r="W25" s="483"/>
      <c r="X25" s="495"/>
      <c r="Y25" s="484"/>
      <c r="Z25" s="498"/>
      <c r="AA25" s="502"/>
      <c r="AB25" s="503"/>
      <c r="AC25" s="471" t="s">
        <v>259</v>
      </c>
      <c r="AD25" s="472"/>
      <c r="AE25" s="473"/>
      <c r="AF25" s="100"/>
      <c r="AG25" s="100"/>
      <c r="AH25" s="100"/>
      <c r="AI25" s="100"/>
      <c r="AJ25" s="100"/>
      <c r="AK25" s="100"/>
      <c r="AL25" s="100"/>
      <c r="AM25" s="100"/>
      <c r="AN25" s="100"/>
      <c r="AO25" s="100"/>
      <c r="AP25" s="100"/>
      <c r="AQ25" s="101"/>
      <c r="AR25" s="104">
        <f t="shared" ref="AR25:AR26" si="21">SUM(AF25:AQ25)</f>
        <v>0</v>
      </c>
      <c r="AS25" s="128" t="s">
        <v>261</v>
      </c>
      <c r="AT25" s="129"/>
      <c r="AU25" s="129"/>
      <c r="AV25" s="129"/>
      <c r="AW25" s="130"/>
      <c r="AX25" s="126">
        <f t="shared" si="19"/>
        <v>0</v>
      </c>
      <c r="AY25" s="143" t="s">
        <v>261</v>
      </c>
      <c r="AZ25" s="139"/>
      <c r="BA25" s="139"/>
      <c r="BB25" s="136">
        <f t="shared" si="20"/>
        <v>0</v>
      </c>
      <c r="BC25" s="474" t="s">
        <v>262</v>
      </c>
      <c r="BD25" s="475"/>
      <c r="BE25" s="14"/>
      <c r="BF25" s="17"/>
      <c r="BG25" s="14"/>
      <c r="BH25" s="17"/>
      <c r="BI25" s="14"/>
      <c r="BJ25" s="17"/>
      <c r="BK25" s="14"/>
      <c r="BL25" s="17"/>
      <c r="BM25" s="14"/>
      <c r="BN25" s="17"/>
      <c r="BO25" s="14"/>
      <c r="BP25" s="17"/>
      <c r="BQ25" s="108">
        <f t="shared" si="4"/>
        <v>0</v>
      </c>
      <c r="BR25" s="567"/>
      <c r="BS25" s="571"/>
      <c r="BT25" s="572"/>
      <c r="BU25" s="558"/>
      <c r="BV25" s="561"/>
      <c r="BW25" s="564"/>
      <c r="BX25" s="616"/>
    </row>
    <row r="26" spans="1:76" ht="15.75" thickBot="1" x14ac:dyDescent="0.3">
      <c r="A26" s="587"/>
      <c r="B26" s="592"/>
      <c r="C26" s="593"/>
      <c r="D26" s="606"/>
      <c r="E26" s="519"/>
      <c r="F26" s="520"/>
      <c r="G26" s="525"/>
      <c r="H26" s="526"/>
      <c r="I26" s="531"/>
      <c r="J26" s="532"/>
      <c r="K26" s="514"/>
      <c r="L26" s="535"/>
      <c r="M26" s="538"/>
      <c r="N26" s="543"/>
      <c r="O26" s="544"/>
      <c r="P26" s="485"/>
      <c r="Q26" s="486"/>
      <c r="R26" s="519"/>
      <c r="S26" s="520"/>
      <c r="T26" s="489"/>
      <c r="U26" s="490"/>
      <c r="V26" s="493"/>
      <c r="W26" s="485"/>
      <c r="X26" s="496"/>
      <c r="Y26" s="486"/>
      <c r="Z26" s="499"/>
      <c r="AA26" s="504"/>
      <c r="AB26" s="505"/>
      <c r="AC26" s="476" t="s">
        <v>261</v>
      </c>
      <c r="AD26" s="477"/>
      <c r="AE26" s="478"/>
      <c r="AF26" s="102"/>
      <c r="AG26" s="102"/>
      <c r="AH26" s="102"/>
      <c r="AI26" s="102"/>
      <c r="AJ26" s="102"/>
      <c r="AK26" s="102"/>
      <c r="AL26" s="102"/>
      <c r="AM26" s="102"/>
      <c r="AN26" s="102"/>
      <c r="AO26" s="102"/>
      <c r="AP26" s="102"/>
      <c r="AQ26" s="103"/>
      <c r="AR26" s="105">
        <f t="shared" si="21"/>
        <v>0</v>
      </c>
      <c r="AS26" s="131" t="s">
        <v>161</v>
      </c>
      <c r="AT26" s="132">
        <f t="shared" ref="AT26:AX26" si="22">SUM(AT23:AT25)</f>
        <v>3</v>
      </c>
      <c r="AU26" s="132">
        <f t="shared" si="22"/>
        <v>0</v>
      </c>
      <c r="AV26" s="132">
        <f t="shared" si="22"/>
        <v>0</v>
      </c>
      <c r="AW26" s="133">
        <f t="shared" si="22"/>
        <v>0</v>
      </c>
      <c r="AX26" s="127">
        <f t="shared" si="22"/>
        <v>3</v>
      </c>
      <c r="AY26" s="144" t="s">
        <v>161</v>
      </c>
      <c r="AZ26" s="140">
        <f t="shared" ref="AZ26:BB26" si="23">SUM(AZ23:AZ25)</f>
        <v>3</v>
      </c>
      <c r="BA26" s="140">
        <f t="shared" si="23"/>
        <v>0</v>
      </c>
      <c r="BB26" s="140">
        <f t="shared" si="23"/>
        <v>3</v>
      </c>
      <c r="BC26" s="479" t="s">
        <v>263</v>
      </c>
      <c r="BD26" s="480"/>
      <c r="BE26" s="15"/>
      <c r="BF26" s="18"/>
      <c r="BG26" s="15"/>
      <c r="BH26" s="18"/>
      <c r="BI26" s="15"/>
      <c r="BJ26" s="18"/>
      <c r="BK26" s="15"/>
      <c r="BL26" s="18"/>
      <c r="BM26" s="15"/>
      <c r="BN26" s="18"/>
      <c r="BO26" s="15"/>
      <c r="BP26" s="18"/>
      <c r="BQ26" s="109">
        <f t="shared" si="4"/>
        <v>0</v>
      </c>
      <c r="BR26" s="568"/>
      <c r="BS26" s="573"/>
      <c r="BT26" s="574"/>
      <c r="BU26" s="559"/>
      <c r="BV26" s="562"/>
      <c r="BW26" s="565"/>
      <c r="BX26" s="617"/>
    </row>
    <row r="27" spans="1:76" x14ac:dyDescent="0.25">
      <c r="A27" s="585">
        <v>5</v>
      </c>
      <c r="B27" s="588"/>
      <c r="C27" s="589"/>
      <c r="D27" s="604"/>
      <c r="E27" s="515"/>
      <c r="F27" s="516"/>
      <c r="G27" s="521"/>
      <c r="H27" s="522"/>
      <c r="I27" s="527"/>
      <c r="J27" s="528"/>
      <c r="K27" s="512">
        <f t="shared" ref="K27" si="24">INT(YEARFRAC(I27,AA27))</f>
        <v>120</v>
      </c>
      <c r="L27" s="533">
        <f t="shared" ref="L27" ca="1" si="25">INT(YEARFRAC(I27,TODAY()))</f>
        <v>121</v>
      </c>
      <c r="M27" s="536">
        <v>3</v>
      </c>
      <c r="N27" s="539" t="s">
        <v>266</v>
      </c>
      <c r="O27" s="540"/>
      <c r="P27" s="481" t="s">
        <v>267</v>
      </c>
      <c r="Q27" s="482"/>
      <c r="R27" s="515"/>
      <c r="S27" s="516"/>
      <c r="T27" s="487" t="s">
        <v>268</v>
      </c>
      <c r="U27" s="488"/>
      <c r="V27" s="491"/>
      <c r="W27" s="481" t="s">
        <v>269</v>
      </c>
      <c r="X27" s="494"/>
      <c r="Y27" s="482"/>
      <c r="Z27" s="497" t="s">
        <v>270</v>
      </c>
      <c r="AA27" s="500">
        <v>44099</v>
      </c>
      <c r="AB27" s="501"/>
      <c r="AC27" s="506" t="s">
        <v>257</v>
      </c>
      <c r="AD27" s="507"/>
      <c r="AE27" s="507"/>
      <c r="AF27" s="510"/>
      <c r="AG27" s="510"/>
      <c r="AH27" s="510">
        <v>1</v>
      </c>
      <c r="AI27" s="510">
        <v>4</v>
      </c>
      <c r="AJ27" s="510">
        <v>4</v>
      </c>
      <c r="AK27" s="510">
        <v>3</v>
      </c>
      <c r="AL27" s="510">
        <v>3</v>
      </c>
      <c r="AM27" s="510">
        <v>2</v>
      </c>
      <c r="AN27" s="510">
        <v>5</v>
      </c>
      <c r="AO27" s="510"/>
      <c r="AP27" s="510"/>
      <c r="AQ27" s="465"/>
      <c r="AR27" s="467">
        <f t="shared" ref="AR27" si="26">SUM(AF27:AQ28)</f>
        <v>22</v>
      </c>
      <c r="AS27" s="119" t="s">
        <v>257</v>
      </c>
      <c r="AT27" s="120">
        <v>5</v>
      </c>
      <c r="AU27" s="120">
        <v>0</v>
      </c>
      <c r="AV27" s="120">
        <v>0</v>
      </c>
      <c r="AW27" s="121">
        <v>0</v>
      </c>
      <c r="AX27" s="125">
        <f t="shared" ref="AX27:AX29" si="27">SUM(AT27:AW27)</f>
        <v>5</v>
      </c>
      <c r="AY27" s="141" t="s">
        <v>257</v>
      </c>
      <c r="AZ27" s="137">
        <v>5</v>
      </c>
      <c r="BA27" s="137">
        <v>0</v>
      </c>
      <c r="BB27" s="134">
        <f t="shared" ref="BB27:BB29" si="28">AZ27-BA27</f>
        <v>5</v>
      </c>
      <c r="BC27" s="469" t="s">
        <v>258</v>
      </c>
      <c r="BD27" s="470"/>
      <c r="BE27" s="13">
        <v>0</v>
      </c>
      <c r="BF27" s="16">
        <v>0</v>
      </c>
      <c r="BG27" s="13">
        <v>0</v>
      </c>
      <c r="BH27" s="16">
        <v>0</v>
      </c>
      <c r="BI27" s="13">
        <v>0</v>
      </c>
      <c r="BJ27" s="16"/>
      <c r="BK27" s="13"/>
      <c r="BL27" s="16"/>
      <c r="BM27" s="13"/>
      <c r="BN27" s="16"/>
      <c r="BO27" s="13"/>
      <c r="BP27" s="16"/>
      <c r="BQ27" s="106">
        <f t="shared" si="4"/>
        <v>0</v>
      </c>
      <c r="BR27" s="566"/>
      <c r="BS27" s="569"/>
      <c r="BT27" s="570"/>
      <c r="BU27" s="557"/>
      <c r="BV27" s="560"/>
      <c r="BW27" s="563"/>
      <c r="BX27" s="615"/>
    </row>
    <row r="28" spans="1:76" x14ac:dyDescent="0.25">
      <c r="A28" s="586"/>
      <c r="B28" s="590"/>
      <c r="C28" s="591"/>
      <c r="D28" s="605"/>
      <c r="E28" s="517"/>
      <c r="F28" s="518"/>
      <c r="G28" s="523"/>
      <c r="H28" s="524"/>
      <c r="I28" s="529"/>
      <c r="J28" s="530"/>
      <c r="K28" s="513"/>
      <c r="L28" s="534"/>
      <c r="M28" s="537"/>
      <c r="N28" s="541"/>
      <c r="O28" s="542"/>
      <c r="P28" s="483"/>
      <c r="Q28" s="484"/>
      <c r="R28" s="517"/>
      <c r="S28" s="518"/>
      <c r="T28" s="487"/>
      <c r="U28" s="488"/>
      <c r="V28" s="492"/>
      <c r="W28" s="483"/>
      <c r="X28" s="495"/>
      <c r="Y28" s="484"/>
      <c r="Z28" s="498"/>
      <c r="AA28" s="502"/>
      <c r="AB28" s="503"/>
      <c r="AC28" s="508"/>
      <c r="AD28" s="509"/>
      <c r="AE28" s="509"/>
      <c r="AF28" s="511"/>
      <c r="AG28" s="511"/>
      <c r="AH28" s="511"/>
      <c r="AI28" s="511"/>
      <c r="AJ28" s="511"/>
      <c r="AK28" s="511"/>
      <c r="AL28" s="511"/>
      <c r="AM28" s="511"/>
      <c r="AN28" s="511"/>
      <c r="AO28" s="511"/>
      <c r="AP28" s="511"/>
      <c r="AQ28" s="466"/>
      <c r="AR28" s="468"/>
      <c r="AS28" s="122" t="s">
        <v>259</v>
      </c>
      <c r="AT28" s="123">
        <v>0</v>
      </c>
      <c r="AU28" s="123"/>
      <c r="AV28" s="123"/>
      <c r="AW28" s="124"/>
      <c r="AX28" s="126">
        <f t="shared" si="27"/>
        <v>0</v>
      </c>
      <c r="AY28" s="142" t="s">
        <v>259</v>
      </c>
      <c r="AZ28" s="138"/>
      <c r="BA28" s="138"/>
      <c r="BB28" s="135">
        <f t="shared" si="28"/>
        <v>0</v>
      </c>
      <c r="BC28" s="474" t="s">
        <v>260</v>
      </c>
      <c r="BD28" s="475"/>
      <c r="BE28" s="14">
        <v>0</v>
      </c>
      <c r="BF28" s="17">
        <v>0</v>
      </c>
      <c r="BG28" s="14">
        <v>0</v>
      </c>
      <c r="BH28" s="17">
        <v>0</v>
      </c>
      <c r="BI28" s="14">
        <v>0</v>
      </c>
      <c r="BJ28" s="17"/>
      <c r="BK28" s="14"/>
      <c r="BL28" s="17"/>
      <c r="BM28" s="14"/>
      <c r="BN28" s="17"/>
      <c r="BO28" s="14"/>
      <c r="BP28" s="17"/>
      <c r="BQ28" s="107">
        <f t="shared" si="4"/>
        <v>0</v>
      </c>
      <c r="BR28" s="567"/>
      <c r="BS28" s="571"/>
      <c r="BT28" s="572"/>
      <c r="BU28" s="558"/>
      <c r="BV28" s="561"/>
      <c r="BW28" s="564"/>
      <c r="BX28" s="616"/>
    </row>
    <row r="29" spans="1:76" x14ac:dyDescent="0.25">
      <c r="A29" s="586"/>
      <c r="B29" s="590"/>
      <c r="C29" s="591"/>
      <c r="D29" s="605"/>
      <c r="E29" s="517"/>
      <c r="F29" s="518"/>
      <c r="G29" s="523"/>
      <c r="H29" s="524"/>
      <c r="I29" s="529"/>
      <c r="J29" s="530"/>
      <c r="K29" s="513"/>
      <c r="L29" s="534"/>
      <c r="M29" s="537"/>
      <c r="N29" s="541"/>
      <c r="O29" s="542"/>
      <c r="P29" s="483"/>
      <c r="Q29" s="484"/>
      <c r="R29" s="517"/>
      <c r="S29" s="518"/>
      <c r="T29" s="487"/>
      <c r="U29" s="488"/>
      <c r="V29" s="492"/>
      <c r="W29" s="483"/>
      <c r="X29" s="495"/>
      <c r="Y29" s="484"/>
      <c r="Z29" s="498"/>
      <c r="AA29" s="502"/>
      <c r="AB29" s="503"/>
      <c r="AC29" s="471" t="s">
        <v>259</v>
      </c>
      <c r="AD29" s="472"/>
      <c r="AE29" s="473"/>
      <c r="AF29" s="100"/>
      <c r="AG29" s="100"/>
      <c r="AH29" s="100"/>
      <c r="AI29" s="100"/>
      <c r="AJ29" s="100"/>
      <c r="AK29" s="100"/>
      <c r="AL29" s="100"/>
      <c r="AM29" s="100"/>
      <c r="AN29" s="100"/>
      <c r="AO29" s="100"/>
      <c r="AP29" s="100"/>
      <c r="AQ29" s="101"/>
      <c r="AR29" s="104">
        <f t="shared" ref="AR29:AR30" si="29">SUM(AF29:AQ29)</f>
        <v>0</v>
      </c>
      <c r="AS29" s="128" t="s">
        <v>261</v>
      </c>
      <c r="AT29" s="129">
        <v>0</v>
      </c>
      <c r="AU29" s="129"/>
      <c r="AV29" s="129"/>
      <c r="AW29" s="130"/>
      <c r="AX29" s="126">
        <f t="shared" si="27"/>
        <v>0</v>
      </c>
      <c r="AY29" s="143" t="s">
        <v>261</v>
      </c>
      <c r="AZ29" s="139"/>
      <c r="BA29" s="139"/>
      <c r="BB29" s="136">
        <f t="shared" si="28"/>
        <v>0</v>
      </c>
      <c r="BC29" s="474" t="s">
        <v>262</v>
      </c>
      <c r="BD29" s="475"/>
      <c r="BE29" s="14">
        <v>0</v>
      </c>
      <c r="BF29" s="17">
        <v>0</v>
      </c>
      <c r="BG29" s="14">
        <v>0</v>
      </c>
      <c r="BH29" s="17">
        <v>0</v>
      </c>
      <c r="BI29" s="14">
        <v>0</v>
      </c>
      <c r="BJ29" s="17"/>
      <c r="BK29" s="14"/>
      <c r="BL29" s="17"/>
      <c r="BM29" s="14"/>
      <c r="BN29" s="17"/>
      <c r="BO29" s="14"/>
      <c r="BP29" s="17"/>
      <c r="BQ29" s="108">
        <f t="shared" si="4"/>
        <v>0</v>
      </c>
      <c r="BR29" s="567"/>
      <c r="BS29" s="571"/>
      <c r="BT29" s="572"/>
      <c r="BU29" s="558"/>
      <c r="BV29" s="561"/>
      <c r="BW29" s="564"/>
      <c r="BX29" s="616"/>
    </row>
    <row r="30" spans="1:76" x14ac:dyDescent="0.25">
      <c r="A30" s="587"/>
      <c r="B30" s="592"/>
      <c r="C30" s="593"/>
      <c r="D30" s="606"/>
      <c r="E30" s="519"/>
      <c r="F30" s="520"/>
      <c r="G30" s="525"/>
      <c r="H30" s="526"/>
      <c r="I30" s="531"/>
      <c r="J30" s="532"/>
      <c r="K30" s="514"/>
      <c r="L30" s="535"/>
      <c r="M30" s="538"/>
      <c r="N30" s="543"/>
      <c r="O30" s="544"/>
      <c r="P30" s="485"/>
      <c r="Q30" s="486"/>
      <c r="R30" s="519"/>
      <c r="S30" s="520"/>
      <c r="T30" s="489"/>
      <c r="U30" s="490"/>
      <c r="V30" s="493"/>
      <c r="W30" s="485"/>
      <c r="X30" s="496"/>
      <c r="Y30" s="486"/>
      <c r="Z30" s="499"/>
      <c r="AA30" s="504"/>
      <c r="AB30" s="505"/>
      <c r="AC30" s="476" t="s">
        <v>261</v>
      </c>
      <c r="AD30" s="477"/>
      <c r="AE30" s="478"/>
      <c r="AF30" s="102"/>
      <c r="AG30" s="102"/>
      <c r="AH30" s="102"/>
      <c r="AI30" s="102"/>
      <c r="AJ30" s="102"/>
      <c r="AK30" s="102"/>
      <c r="AL30" s="102"/>
      <c r="AM30" s="102"/>
      <c r="AN30" s="102"/>
      <c r="AO30" s="102"/>
      <c r="AP30" s="102"/>
      <c r="AQ30" s="103"/>
      <c r="AR30" s="105">
        <f t="shared" si="29"/>
        <v>0</v>
      </c>
      <c r="AS30" s="131" t="s">
        <v>161</v>
      </c>
      <c r="AT30" s="132">
        <f t="shared" ref="AT30:AX30" si="30">SUM(AT27:AT29)</f>
        <v>5</v>
      </c>
      <c r="AU30" s="132">
        <f t="shared" si="30"/>
        <v>0</v>
      </c>
      <c r="AV30" s="132">
        <f t="shared" si="30"/>
        <v>0</v>
      </c>
      <c r="AW30" s="133">
        <f t="shared" si="30"/>
        <v>0</v>
      </c>
      <c r="AX30" s="127">
        <f t="shared" si="30"/>
        <v>5</v>
      </c>
      <c r="AY30" s="144" t="s">
        <v>161</v>
      </c>
      <c r="AZ30" s="140">
        <f t="shared" ref="AZ30:BB30" si="31">SUM(AZ27:AZ29)</f>
        <v>5</v>
      </c>
      <c r="BA30" s="140">
        <f t="shared" si="31"/>
        <v>0</v>
      </c>
      <c r="BB30" s="140">
        <f t="shared" si="31"/>
        <v>5</v>
      </c>
      <c r="BC30" s="479" t="s">
        <v>263</v>
      </c>
      <c r="BD30" s="480"/>
      <c r="BE30" s="15"/>
      <c r="BF30" s="18"/>
      <c r="BG30" s="15"/>
      <c r="BH30" s="18">
        <v>0</v>
      </c>
      <c r="BI30" s="15">
        <v>0</v>
      </c>
      <c r="BJ30" s="18"/>
      <c r="BK30" s="15"/>
      <c r="BL30" s="18"/>
      <c r="BM30" s="15"/>
      <c r="BN30" s="18"/>
      <c r="BO30" s="15"/>
      <c r="BP30" s="18"/>
      <c r="BQ30" s="109">
        <f t="shared" si="4"/>
        <v>0</v>
      </c>
      <c r="BR30" s="568"/>
      <c r="BS30" s="573"/>
      <c r="BT30" s="574"/>
      <c r="BU30" s="559"/>
      <c r="BV30" s="562"/>
      <c r="BW30" s="565"/>
      <c r="BX30" s="617"/>
    </row>
    <row r="31" spans="1:76" x14ac:dyDescent="0.25">
      <c r="A31" s="585">
        <v>6</v>
      </c>
      <c r="B31" s="588"/>
      <c r="C31" s="589"/>
      <c r="D31" s="604"/>
      <c r="E31" s="515"/>
      <c r="F31" s="516"/>
      <c r="G31" s="521"/>
      <c r="H31" s="522"/>
      <c r="I31" s="527"/>
      <c r="J31" s="528"/>
      <c r="K31" s="512">
        <f t="shared" ref="K31" si="32">INT(YEARFRAC(I31,AA31))</f>
        <v>120</v>
      </c>
      <c r="L31" s="533">
        <f t="shared" ref="L31" ca="1" si="33">INT(YEARFRAC(I31,TODAY()))</f>
        <v>121</v>
      </c>
      <c r="M31" s="536" t="s">
        <v>181</v>
      </c>
      <c r="N31" s="539" t="s">
        <v>271</v>
      </c>
      <c r="O31" s="540"/>
      <c r="P31" s="481" t="s">
        <v>267</v>
      </c>
      <c r="Q31" s="482"/>
      <c r="R31" s="515"/>
      <c r="S31" s="516"/>
      <c r="T31" s="487" t="s">
        <v>268</v>
      </c>
      <c r="U31" s="488"/>
      <c r="V31" s="491"/>
      <c r="W31" s="481" t="s">
        <v>269</v>
      </c>
      <c r="X31" s="494"/>
      <c r="Y31" s="482"/>
      <c r="Z31" s="497" t="s">
        <v>270</v>
      </c>
      <c r="AA31" s="500">
        <v>44099</v>
      </c>
      <c r="AB31" s="501"/>
      <c r="AC31" s="506" t="s">
        <v>257</v>
      </c>
      <c r="AD31" s="507"/>
      <c r="AE31" s="507"/>
      <c r="AF31" s="510"/>
      <c r="AG31" s="510"/>
      <c r="AH31" s="510">
        <v>1</v>
      </c>
      <c r="AI31" s="510">
        <v>4</v>
      </c>
      <c r="AJ31" s="510">
        <v>4</v>
      </c>
      <c r="AK31" s="510">
        <v>3</v>
      </c>
      <c r="AL31" s="510">
        <v>2</v>
      </c>
      <c r="AM31" s="510">
        <v>2</v>
      </c>
      <c r="AN31" s="510">
        <v>5</v>
      </c>
      <c r="AO31" s="510"/>
      <c r="AP31" s="510"/>
      <c r="AQ31" s="465"/>
      <c r="AR31" s="467">
        <f t="shared" ref="AR31" si="34">SUM(AF31:AQ32)</f>
        <v>21</v>
      </c>
      <c r="AS31" s="119" t="s">
        <v>257</v>
      </c>
      <c r="AT31" s="120">
        <v>5</v>
      </c>
      <c r="AU31" s="120">
        <v>0</v>
      </c>
      <c r="AV31" s="120">
        <v>0</v>
      </c>
      <c r="AW31" s="121"/>
      <c r="AX31" s="125">
        <f t="shared" ref="AX31:AX33" si="35">SUM(AT31:AW31)</f>
        <v>5</v>
      </c>
      <c r="AY31" s="141" t="s">
        <v>257</v>
      </c>
      <c r="AZ31" s="137">
        <v>5</v>
      </c>
      <c r="BA31" s="137">
        <v>0</v>
      </c>
      <c r="BB31" s="134">
        <f t="shared" ref="BB31:BB33" si="36">AZ31-BA31</f>
        <v>5</v>
      </c>
      <c r="BC31" s="469" t="s">
        <v>258</v>
      </c>
      <c r="BD31" s="470"/>
      <c r="BE31" s="13"/>
      <c r="BF31" s="16"/>
      <c r="BG31" s="13">
        <v>0</v>
      </c>
      <c r="BH31" s="16">
        <v>0</v>
      </c>
      <c r="BI31" s="13">
        <v>0</v>
      </c>
      <c r="BJ31" s="16"/>
      <c r="BK31" s="13"/>
      <c r="BL31" s="16"/>
      <c r="BM31" s="13"/>
      <c r="BN31" s="16"/>
      <c r="BO31" s="13"/>
      <c r="BP31" s="16"/>
      <c r="BQ31" s="106">
        <f t="shared" si="4"/>
        <v>0</v>
      </c>
      <c r="BR31" s="566"/>
      <c r="BS31" s="569"/>
      <c r="BT31" s="570"/>
      <c r="BU31" s="557"/>
      <c r="BV31" s="560"/>
      <c r="BW31" s="563"/>
      <c r="BX31" s="615"/>
    </row>
    <row r="32" spans="1:76" x14ac:dyDescent="0.25">
      <c r="A32" s="586"/>
      <c r="B32" s="590"/>
      <c r="C32" s="591"/>
      <c r="D32" s="605"/>
      <c r="E32" s="517"/>
      <c r="F32" s="518"/>
      <c r="G32" s="523"/>
      <c r="H32" s="524"/>
      <c r="I32" s="529"/>
      <c r="J32" s="530"/>
      <c r="K32" s="513"/>
      <c r="L32" s="534"/>
      <c r="M32" s="537"/>
      <c r="N32" s="541"/>
      <c r="O32" s="542"/>
      <c r="P32" s="483"/>
      <c r="Q32" s="484"/>
      <c r="R32" s="517"/>
      <c r="S32" s="518"/>
      <c r="T32" s="487"/>
      <c r="U32" s="488"/>
      <c r="V32" s="492"/>
      <c r="W32" s="483"/>
      <c r="X32" s="495"/>
      <c r="Y32" s="484"/>
      <c r="Z32" s="498"/>
      <c r="AA32" s="502"/>
      <c r="AB32" s="503"/>
      <c r="AC32" s="508"/>
      <c r="AD32" s="509"/>
      <c r="AE32" s="509"/>
      <c r="AF32" s="511"/>
      <c r="AG32" s="511"/>
      <c r="AH32" s="511"/>
      <c r="AI32" s="511"/>
      <c r="AJ32" s="511"/>
      <c r="AK32" s="511"/>
      <c r="AL32" s="511"/>
      <c r="AM32" s="511"/>
      <c r="AN32" s="511"/>
      <c r="AO32" s="511"/>
      <c r="AP32" s="511"/>
      <c r="AQ32" s="466"/>
      <c r="AR32" s="468"/>
      <c r="AS32" s="122" t="s">
        <v>259</v>
      </c>
      <c r="AT32" s="123">
        <v>0</v>
      </c>
      <c r="AU32" s="123"/>
      <c r="AV32" s="123"/>
      <c r="AW32" s="124"/>
      <c r="AX32" s="126">
        <f t="shared" si="35"/>
        <v>0</v>
      </c>
      <c r="AY32" s="142" t="s">
        <v>259</v>
      </c>
      <c r="AZ32" s="138"/>
      <c r="BA32" s="138"/>
      <c r="BB32" s="135">
        <f t="shared" si="36"/>
        <v>0</v>
      </c>
      <c r="BC32" s="474" t="s">
        <v>260</v>
      </c>
      <c r="BD32" s="475"/>
      <c r="BE32" s="14"/>
      <c r="BF32" s="17"/>
      <c r="BG32" s="14">
        <v>0</v>
      </c>
      <c r="BH32" s="17">
        <v>0</v>
      </c>
      <c r="BI32" s="14">
        <v>0</v>
      </c>
      <c r="BJ32" s="17"/>
      <c r="BK32" s="14"/>
      <c r="BL32" s="17"/>
      <c r="BM32" s="14"/>
      <c r="BN32" s="17"/>
      <c r="BO32" s="14"/>
      <c r="BP32" s="17"/>
      <c r="BQ32" s="107">
        <f t="shared" si="4"/>
        <v>0</v>
      </c>
      <c r="BR32" s="567"/>
      <c r="BS32" s="571"/>
      <c r="BT32" s="572"/>
      <c r="BU32" s="558"/>
      <c r="BV32" s="561"/>
      <c r="BW32" s="564"/>
      <c r="BX32" s="616"/>
    </row>
    <row r="33" spans="1:76" x14ac:dyDescent="0.25">
      <c r="A33" s="586"/>
      <c r="B33" s="590"/>
      <c r="C33" s="591"/>
      <c r="D33" s="605"/>
      <c r="E33" s="517"/>
      <c r="F33" s="518"/>
      <c r="G33" s="523"/>
      <c r="H33" s="524"/>
      <c r="I33" s="529"/>
      <c r="J33" s="530"/>
      <c r="K33" s="513"/>
      <c r="L33" s="534"/>
      <c r="M33" s="537"/>
      <c r="N33" s="541"/>
      <c r="O33" s="542"/>
      <c r="P33" s="483"/>
      <c r="Q33" s="484"/>
      <c r="R33" s="517"/>
      <c r="S33" s="518"/>
      <c r="T33" s="487"/>
      <c r="U33" s="488"/>
      <c r="V33" s="492"/>
      <c r="W33" s="483"/>
      <c r="X33" s="495"/>
      <c r="Y33" s="484"/>
      <c r="Z33" s="498"/>
      <c r="AA33" s="502"/>
      <c r="AB33" s="503"/>
      <c r="AC33" s="471" t="s">
        <v>259</v>
      </c>
      <c r="AD33" s="472"/>
      <c r="AE33" s="473"/>
      <c r="AF33" s="100"/>
      <c r="AG33" s="100"/>
      <c r="AH33" s="100"/>
      <c r="AI33" s="100"/>
      <c r="AJ33" s="100"/>
      <c r="AK33" s="100"/>
      <c r="AL33" s="100"/>
      <c r="AM33" s="100"/>
      <c r="AN33" s="100"/>
      <c r="AO33" s="100"/>
      <c r="AP33" s="100"/>
      <c r="AQ33" s="101"/>
      <c r="AR33" s="104">
        <f t="shared" ref="AR33:AR34" si="37">SUM(AF33:AQ33)</f>
        <v>0</v>
      </c>
      <c r="AS33" s="128" t="s">
        <v>261</v>
      </c>
      <c r="AT33" s="129">
        <v>0</v>
      </c>
      <c r="AU33" s="129"/>
      <c r="AV33" s="129"/>
      <c r="AW33" s="130"/>
      <c r="AX33" s="126">
        <f t="shared" si="35"/>
        <v>0</v>
      </c>
      <c r="AY33" s="143" t="s">
        <v>261</v>
      </c>
      <c r="AZ33" s="139"/>
      <c r="BA33" s="139"/>
      <c r="BB33" s="136">
        <f t="shared" si="36"/>
        <v>0</v>
      </c>
      <c r="BC33" s="474" t="s">
        <v>262</v>
      </c>
      <c r="BD33" s="475"/>
      <c r="BE33" s="14"/>
      <c r="BF33" s="17"/>
      <c r="BG33" s="14">
        <v>0</v>
      </c>
      <c r="BH33" s="17">
        <v>0</v>
      </c>
      <c r="BI33" s="14">
        <v>0</v>
      </c>
      <c r="BJ33" s="17"/>
      <c r="BK33" s="14"/>
      <c r="BL33" s="17"/>
      <c r="BM33" s="14"/>
      <c r="BN33" s="17"/>
      <c r="BO33" s="14"/>
      <c r="BP33" s="17"/>
      <c r="BQ33" s="108">
        <f t="shared" si="4"/>
        <v>0</v>
      </c>
      <c r="BR33" s="567"/>
      <c r="BS33" s="571"/>
      <c r="BT33" s="572"/>
      <c r="BU33" s="558"/>
      <c r="BV33" s="561"/>
      <c r="BW33" s="564"/>
      <c r="BX33" s="616"/>
    </row>
    <row r="34" spans="1:76" x14ac:dyDescent="0.25">
      <c r="A34" s="587"/>
      <c r="B34" s="592"/>
      <c r="C34" s="593"/>
      <c r="D34" s="606"/>
      <c r="E34" s="519"/>
      <c r="F34" s="520"/>
      <c r="G34" s="525"/>
      <c r="H34" s="526"/>
      <c r="I34" s="531"/>
      <c r="J34" s="532"/>
      <c r="K34" s="514"/>
      <c r="L34" s="535"/>
      <c r="M34" s="538"/>
      <c r="N34" s="543"/>
      <c r="O34" s="544"/>
      <c r="P34" s="485"/>
      <c r="Q34" s="486"/>
      <c r="R34" s="519"/>
      <c r="S34" s="520"/>
      <c r="T34" s="489"/>
      <c r="U34" s="490"/>
      <c r="V34" s="493"/>
      <c r="W34" s="485"/>
      <c r="X34" s="496"/>
      <c r="Y34" s="486"/>
      <c r="Z34" s="499"/>
      <c r="AA34" s="504"/>
      <c r="AB34" s="505"/>
      <c r="AC34" s="476" t="s">
        <v>261</v>
      </c>
      <c r="AD34" s="477"/>
      <c r="AE34" s="478"/>
      <c r="AF34" s="102"/>
      <c r="AG34" s="102"/>
      <c r="AH34" s="102"/>
      <c r="AI34" s="102"/>
      <c r="AJ34" s="102"/>
      <c r="AK34" s="102"/>
      <c r="AL34" s="102"/>
      <c r="AM34" s="102"/>
      <c r="AN34" s="102"/>
      <c r="AO34" s="102"/>
      <c r="AP34" s="102"/>
      <c r="AQ34" s="103"/>
      <c r="AR34" s="105">
        <f t="shared" si="37"/>
        <v>0</v>
      </c>
      <c r="AS34" s="131" t="s">
        <v>161</v>
      </c>
      <c r="AT34" s="132">
        <f t="shared" ref="AT34:AX34" si="38">SUM(AT31:AT33)</f>
        <v>5</v>
      </c>
      <c r="AU34" s="132">
        <f t="shared" si="38"/>
        <v>0</v>
      </c>
      <c r="AV34" s="132">
        <f t="shared" si="38"/>
        <v>0</v>
      </c>
      <c r="AW34" s="133">
        <f t="shared" si="38"/>
        <v>0</v>
      </c>
      <c r="AX34" s="127">
        <f t="shared" si="38"/>
        <v>5</v>
      </c>
      <c r="AY34" s="144" t="s">
        <v>161</v>
      </c>
      <c r="AZ34" s="140">
        <f t="shared" ref="AZ34:BB34" si="39">SUM(AZ31:AZ33)</f>
        <v>5</v>
      </c>
      <c r="BA34" s="140">
        <f t="shared" si="39"/>
        <v>0</v>
      </c>
      <c r="BB34" s="140">
        <f t="shared" si="39"/>
        <v>5</v>
      </c>
      <c r="BC34" s="479" t="s">
        <v>263</v>
      </c>
      <c r="BD34" s="480"/>
      <c r="BE34" s="15"/>
      <c r="BF34" s="18"/>
      <c r="BG34" s="15">
        <v>0</v>
      </c>
      <c r="BH34" s="18">
        <v>0</v>
      </c>
      <c r="BI34" s="15">
        <v>0</v>
      </c>
      <c r="BJ34" s="18"/>
      <c r="BK34" s="15"/>
      <c r="BL34" s="18"/>
      <c r="BM34" s="15"/>
      <c r="BN34" s="18"/>
      <c r="BO34" s="15"/>
      <c r="BP34" s="18"/>
      <c r="BQ34" s="109">
        <f t="shared" si="4"/>
        <v>0</v>
      </c>
      <c r="BR34" s="568"/>
      <c r="BS34" s="573"/>
      <c r="BT34" s="574"/>
      <c r="BU34" s="559"/>
      <c r="BV34" s="562"/>
      <c r="BW34" s="565"/>
      <c r="BX34" s="617"/>
    </row>
    <row r="35" spans="1:76" x14ac:dyDescent="0.25">
      <c r="A35" s="585">
        <v>7</v>
      </c>
      <c r="B35" s="588"/>
      <c r="C35" s="589"/>
      <c r="D35" s="604"/>
      <c r="E35" s="515"/>
      <c r="F35" s="516"/>
      <c r="G35" s="521"/>
      <c r="H35" s="522"/>
      <c r="I35" s="527"/>
      <c r="J35" s="528"/>
      <c r="K35" s="512">
        <f t="shared" ref="K35" si="40">INT(YEARFRAC(I35,AA35))</f>
        <v>120</v>
      </c>
      <c r="L35" s="533">
        <f t="shared" ref="L35" ca="1" si="41">INT(YEARFRAC(I35,TODAY()))</f>
        <v>121</v>
      </c>
      <c r="M35" s="536" t="s">
        <v>181</v>
      </c>
      <c r="N35" s="539" t="s">
        <v>266</v>
      </c>
      <c r="O35" s="540"/>
      <c r="P35" s="481" t="s">
        <v>267</v>
      </c>
      <c r="Q35" s="482"/>
      <c r="R35" s="515"/>
      <c r="S35" s="516"/>
      <c r="T35" s="487" t="s">
        <v>268</v>
      </c>
      <c r="U35" s="488"/>
      <c r="V35" s="491"/>
      <c r="W35" s="481" t="s">
        <v>273</v>
      </c>
      <c r="X35" s="494"/>
      <c r="Y35" s="482"/>
      <c r="Z35" s="497" t="s">
        <v>270</v>
      </c>
      <c r="AA35" s="500">
        <v>44175</v>
      </c>
      <c r="AB35" s="501"/>
      <c r="AC35" s="506" t="s">
        <v>257</v>
      </c>
      <c r="AD35" s="507"/>
      <c r="AE35" s="507"/>
      <c r="AF35" s="510"/>
      <c r="AG35" s="510"/>
      <c r="AH35" s="510"/>
      <c r="AI35" s="510"/>
      <c r="AJ35" s="510"/>
      <c r="AK35" s="510">
        <v>4</v>
      </c>
      <c r="AL35" s="510">
        <v>2</v>
      </c>
      <c r="AM35" s="510">
        <v>1</v>
      </c>
      <c r="AN35" s="510">
        <v>3</v>
      </c>
      <c r="AO35" s="510"/>
      <c r="AP35" s="510"/>
      <c r="AQ35" s="465"/>
      <c r="AR35" s="467">
        <f t="shared" ref="AR35" si="42">SUM(AF35:AQ36)</f>
        <v>10</v>
      </c>
      <c r="AS35" s="119" t="s">
        <v>257</v>
      </c>
      <c r="AT35" s="120">
        <v>3</v>
      </c>
      <c r="AU35" s="120">
        <v>0</v>
      </c>
      <c r="AV35" s="120">
        <v>0</v>
      </c>
      <c r="AW35" s="121"/>
      <c r="AX35" s="125">
        <f t="shared" ref="AX35:AX37" si="43">SUM(AT35:AW35)</f>
        <v>3</v>
      </c>
      <c r="AY35" s="141" t="s">
        <v>257</v>
      </c>
      <c r="AZ35" s="137">
        <v>3</v>
      </c>
      <c r="BA35" s="137">
        <v>0</v>
      </c>
      <c r="BB35" s="134">
        <f t="shared" ref="BB35:BB37" si="44">AZ35-BA35</f>
        <v>3</v>
      </c>
      <c r="BC35" s="469" t="s">
        <v>258</v>
      </c>
      <c r="BD35" s="470"/>
      <c r="BE35" s="13"/>
      <c r="BF35" s="16"/>
      <c r="BG35" s="13">
        <v>0</v>
      </c>
      <c r="BH35" s="16">
        <v>0</v>
      </c>
      <c r="BI35" s="13">
        <v>0</v>
      </c>
      <c r="BJ35" s="16"/>
      <c r="BK35" s="13"/>
      <c r="BL35" s="16"/>
      <c r="BM35" s="13"/>
      <c r="BN35" s="16"/>
      <c r="BO35" s="13"/>
      <c r="BP35" s="16"/>
      <c r="BQ35" s="106">
        <f t="shared" si="4"/>
        <v>0</v>
      </c>
      <c r="BR35" s="566" t="s">
        <v>274</v>
      </c>
      <c r="BS35" s="569">
        <v>44281</v>
      </c>
      <c r="BT35" s="570"/>
      <c r="BU35" s="557" t="s">
        <v>275</v>
      </c>
      <c r="BV35" s="560" t="s">
        <v>276</v>
      </c>
      <c r="BW35" s="563" t="s">
        <v>270</v>
      </c>
      <c r="BX35" s="615" t="s">
        <v>277</v>
      </c>
    </row>
    <row r="36" spans="1:76" x14ac:dyDescent="0.25">
      <c r="A36" s="586"/>
      <c r="B36" s="590"/>
      <c r="C36" s="591"/>
      <c r="D36" s="605"/>
      <c r="E36" s="517"/>
      <c r="F36" s="518"/>
      <c r="G36" s="523"/>
      <c r="H36" s="524"/>
      <c r="I36" s="529"/>
      <c r="J36" s="530"/>
      <c r="K36" s="513"/>
      <c r="L36" s="534"/>
      <c r="M36" s="537"/>
      <c r="N36" s="541"/>
      <c r="O36" s="542"/>
      <c r="P36" s="483"/>
      <c r="Q36" s="484"/>
      <c r="R36" s="517"/>
      <c r="S36" s="518"/>
      <c r="T36" s="487"/>
      <c r="U36" s="488"/>
      <c r="V36" s="492"/>
      <c r="W36" s="483"/>
      <c r="X36" s="495"/>
      <c r="Y36" s="484"/>
      <c r="Z36" s="498"/>
      <c r="AA36" s="502"/>
      <c r="AB36" s="503"/>
      <c r="AC36" s="508"/>
      <c r="AD36" s="509"/>
      <c r="AE36" s="509"/>
      <c r="AF36" s="511"/>
      <c r="AG36" s="511"/>
      <c r="AH36" s="511"/>
      <c r="AI36" s="511"/>
      <c r="AJ36" s="511"/>
      <c r="AK36" s="511"/>
      <c r="AL36" s="511"/>
      <c r="AM36" s="511"/>
      <c r="AN36" s="511"/>
      <c r="AO36" s="511"/>
      <c r="AP36" s="511"/>
      <c r="AQ36" s="466"/>
      <c r="AR36" s="468"/>
      <c r="AS36" s="122" t="s">
        <v>259</v>
      </c>
      <c r="AT36" s="123">
        <v>0</v>
      </c>
      <c r="AU36" s="123"/>
      <c r="AV36" s="123"/>
      <c r="AW36" s="124"/>
      <c r="AX36" s="126">
        <f t="shared" si="43"/>
        <v>0</v>
      </c>
      <c r="AY36" s="142" t="s">
        <v>259</v>
      </c>
      <c r="AZ36" s="138"/>
      <c r="BA36" s="138"/>
      <c r="BB36" s="135">
        <f t="shared" si="44"/>
        <v>0</v>
      </c>
      <c r="BC36" s="474" t="s">
        <v>260</v>
      </c>
      <c r="BD36" s="475"/>
      <c r="BE36" s="14"/>
      <c r="BF36" s="17"/>
      <c r="BG36" s="14">
        <v>0</v>
      </c>
      <c r="BH36" s="17">
        <v>0</v>
      </c>
      <c r="BI36" s="14">
        <v>0</v>
      </c>
      <c r="BJ36" s="17"/>
      <c r="BK36" s="14"/>
      <c r="BL36" s="17"/>
      <c r="BM36" s="14"/>
      <c r="BN36" s="17"/>
      <c r="BO36" s="14"/>
      <c r="BP36" s="17"/>
      <c r="BQ36" s="107">
        <f t="shared" si="4"/>
        <v>0</v>
      </c>
      <c r="BR36" s="567"/>
      <c r="BS36" s="571"/>
      <c r="BT36" s="572"/>
      <c r="BU36" s="558"/>
      <c r="BV36" s="561"/>
      <c r="BW36" s="564"/>
      <c r="BX36" s="616"/>
    </row>
    <row r="37" spans="1:76" x14ac:dyDescent="0.25">
      <c r="A37" s="586"/>
      <c r="B37" s="590"/>
      <c r="C37" s="591"/>
      <c r="D37" s="605"/>
      <c r="E37" s="517"/>
      <c r="F37" s="518"/>
      <c r="G37" s="523"/>
      <c r="H37" s="524"/>
      <c r="I37" s="529"/>
      <c r="J37" s="530"/>
      <c r="K37" s="513"/>
      <c r="L37" s="534"/>
      <c r="M37" s="537"/>
      <c r="N37" s="541"/>
      <c r="O37" s="542"/>
      <c r="P37" s="483"/>
      <c r="Q37" s="484"/>
      <c r="R37" s="517"/>
      <c r="S37" s="518"/>
      <c r="T37" s="487"/>
      <c r="U37" s="488"/>
      <c r="V37" s="492"/>
      <c r="W37" s="483"/>
      <c r="X37" s="495"/>
      <c r="Y37" s="484"/>
      <c r="Z37" s="498"/>
      <c r="AA37" s="502"/>
      <c r="AB37" s="503"/>
      <c r="AC37" s="471" t="s">
        <v>259</v>
      </c>
      <c r="AD37" s="472"/>
      <c r="AE37" s="473"/>
      <c r="AF37" s="100"/>
      <c r="AG37" s="100"/>
      <c r="AH37" s="100"/>
      <c r="AI37" s="100"/>
      <c r="AJ37" s="100"/>
      <c r="AK37" s="100"/>
      <c r="AL37" s="100"/>
      <c r="AM37" s="100"/>
      <c r="AN37" s="100"/>
      <c r="AO37" s="100"/>
      <c r="AP37" s="100"/>
      <c r="AQ37" s="101"/>
      <c r="AR37" s="104">
        <f t="shared" ref="AR37:AR38" si="45">SUM(AF37:AQ37)</f>
        <v>0</v>
      </c>
      <c r="AS37" s="128" t="s">
        <v>261</v>
      </c>
      <c r="AT37" s="129">
        <v>0</v>
      </c>
      <c r="AU37" s="129"/>
      <c r="AV37" s="129"/>
      <c r="AW37" s="130"/>
      <c r="AX37" s="126">
        <f t="shared" si="43"/>
        <v>0</v>
      </c>
      <c r="AY37" s="143" t="s">
        <v>261</v>
      </c>
      <c r="AZ37" s="139"/>
      <c r="BA37" s="139"/>
      <c r="BB37" s="136">
        <f t="shared" si="44"/>
        <v>0</v>
      </c>
      <c r="BC37" s="474" t="s">
        <v>262</v>
      </c>
      <c r="BD37" s="475"/>
      <c r="BE37" s="14"/>
      <c r="BF37" s="17"/>
      <c r="BG37" s="14">
        <v>0</v>
      </c>
      <c r="BH37" s="17">
        <v>0</v>
      </c>
      <c r="BI37" s="14">
        <v>0</v>
      </c>
      <c r="BJ37" s="17"/>
      <c r="BK37" s="14"/>
      <c r="BL37" s="17"/>
      <c r="BM37" s="14"/>
      <c r="BN37" s="17"/>
      <c r="BO37" s="14"/>
      <c r="BP37" s="17"/>
      <c r="BQ37" s="108">
        <f t="shared" si="4"/>
        <v>0</v>
      </c>
      <c r="BR37" s="567"/>
      <c r="BS37" s="571"/>
      <c r="BT37" s="572"/>
      <c r="BU37" s="558"/>
      <c r="BV37" s="561"/>
      <c r="BW37" s="564"/>
      <c r="BX37" s="616"/>
    </row>
    <row r="38" spans="1:76" x14ac:dyDescent="0.25">
      <c r="A38" s="587"/>
      <c r="B38" s="592"/>
      <c r="C38" s="593"/>
      <c r="D38" s="606"/>
      <c r="E38" s="519"/>
      <c r="F38" s="520"/>
      <c r="G38" s="525"/>
      <c r="H38" s="526"/>
      <c r="I38" s="531"/>
      <c r="J38" s="532"/>
      <c r="K38" s="514"/>
      <c r="L38" s="535"/>
      <c r="M38" s="538"/>
      <c r="N38" s="543"/>
      <c r="O38" s="544"/>
      <c r="P38" s="485"/>
      <c r="Q38" s="486"/>
      <c r="R38" s="519"/>
      <c r="S38" s="520"/>
      <c r="T38" s="489"/>
      <c r="U38" s="490"/>
      <c r="V38" s="493"/>
      <c r="W38" s="485"/>
      <c r="X38" s="496"/>
      <c r="Y38" s="486"/>
      <c r="Z38" s="499"/>
      <c r="AA38" s="504"/>
      <c r="AB38" s="505"/>
      <c r="AC38" s="476" t="s">
        <v>261</v>
      </c>
      <c r="AD38" s="477"/>
      <c r="AE38" s="478"/>
      <c r="AF38" s="102"/>
      <c r="AG38" s="102"/>
      <c r="AH38" s="102"/>
      <c r="AI38" s="102"/>
      <c r="AJ38" s="102"/>
      <c r="AK38" s="102"/>
      <c r="AL38" s="102"/>
      <c r="AM38" s="102"/>
      <c r="AN38" s="102"/>
      <c r="AO38" s="102"/>
      <c r="AP38" s="102"/>
      <c r="AQ38" s="103"/>
      <c r="AR38" s="105">
        <f t="shared" si="45"/>
        <v>0</v>
      </c>
      <c r="AS38" s="131" t="s">
        <v>161</v>
      </c>
      <c r="AT38" s="132">
        <f t="shared" ref="AT38:AX38" si="46">SUM(AT35:AT37)</f>
        <v>3</v>
      </c>
      <c r="AU38" s="132">
        <f t="shared" si="46"/>
        <v>0</v>
      </c>
      <c r="AV38" s="132">
        <f t="shared" si="46"/>
        <v>0</v>
      </c>
      <c r="AW38" s="133">
        <f t="shared" si="46"/>
        <v>0</v>
      </c>
      <c r="AX38" s="127">
        <f t="shared" si="46"/>
        <v>3</v>
      </c>
      <c r="AY38" s="144" t="s">
        <v>161</v>
      </c>
      <c r="AZ38" s="140">
        <f t="shared" ref="AZ38:BB38" si="47">SUM(AZ35:AZ37)</f>
        <v>3</v>
      </c>
      <c r="BA38" s="140">
        <f t="shared" si="47"/>
        <v>0</v>
      </c>
      <c r="BB38" s="140">
        <f t="shared" si="47"/>
        <v>3</v>
      </c>
      <c r="BC38" s="479" t="s">
        <v>263</v>
      </c>
      <c r="BD38" s="480"/>
      <c r="BE38" s="15"/>
      <c r="BF38" s="18"/>
      <c r="BG38" s="15">
        <v>0</v>
      </c>
      <c r="BH38" s="18">
        <v>0</v>
      </c>
      <c r="BI38" s="15">
        <v>0</v>
      </c>
      <c r="BJ38" s="18"/>
      <c r="BK38" s="15"/>
      <c r="BL38" s="18"/>
      <c r="BM38" s="15"/>
      <c r="BN38" s="18"/>
      <c r="BO38" s="15"/>
      <c r="BP38" s="18"/>
      <c r="BQ38" s="109">
        <f t="shared" si="4"/>
        <v>0</v>
      </c>
      <c r="BR38" s="568"/>
      <c r="BS38" s="573"/>
      <c r="BT38" s="574"/>
      <c r="BU38" s="559"/>
      <c r="BV38" s="562"/>
      <c r="BW38" s="565"/>
      <c r="BX38" s="617"/>
    </row>
    <row r="39" spans="1:76" x14ac:dyDescent="0.25">
      <c r="A39" s="585">
        <v>8</v>
      </c>
      <c r="B39" s="588"/>
      <c r="C39" s="589"/>
      <c r="D39" s="604"/>
      <c r="E39" s="515"/>
      <c r="F39" s="516"/>
      <c r="G39" s="521"/>
      <c r="H39" s="522"/>
      <c r="I39" s="527"/>
      <c r="J39" s="528"/>
      <c r="K39" s="512">
        <f t="shared" ref="K39" si="48">INT(YEARFRAC(I39,AA39))</f>
        <v>0</v>
      </c>
      <c r="L39" s="533">
        <f t="shared" ref="L39" ca="1" si="49">INT(YEARFRAC(I39,TODAY()))</f>
        <v>121</v>
      </c>
      <c r="M39" s="536"/>
      <c r="N39" s="539"/>
      <c r="O39" s="540"/>
      <c r="P39" s="481"/>
      <c r="Q39" s="482"/>
      <c r="R39" s="515"/>
      <c r="S39" s="516"/>
      <c r="T39" s="487"/>
      <c r="U39" s="488"/>
      <c r="V39" s="491"/>
      <c r="W39" s="481"/>
      <c r="X39" s="494"/>
      <c r="Y39" s="482"/>
      <c r="Z39" s="497"/>
      <c r="AA39" s="500"/>
      <c r="AB39" s="501"/>
      <c r="AC39" s="506" t="s">
        <v>257</v>
      </c>
      <c r="AD39" s="507"/>
      <c r="AE39" s="507"/>
      <c r="AF39" s="510"/>
      <c r="AG39" s="510"/>
      <c r="AH39" s="510"/>
      <c r="AI39" s="510"/>
      <c r="AJ39" s="510"/>
      <c r="AK39" s="510">
        <v>2</v>
      </c>
      <c r="AL39" s="510">
        <v>3</v>
      </c>
      <c r="AM39" s="510">
        <v>3</v>
      </c>
      <c r="AN39" s="510">
        <v>4</v>
      </c>
      <c r="AO39" s="510"/>
      <c r="AP39" s="510"/>
      <c r="AQ39" s="465"/>
      <c r="AR39" s="467">
        <f t="shared" ref="AR39" si="50">SUM(AF39:AQ40)</f>
        <v>12</v>
      </c>
      <c r="AS39" s="119" t="s">
        <v>257</v>
      </c>
      <c r="AT39" s="120">
        <v>4</v>
      </c>
      <c r="AU39" s="120">
        <v>0</v>
      </c>
      <c r="AV39" s="120">
        <v>0</v>
      </c>
      <c r="AW39" s="121">
        <v>0</v>
      </c>
      <c r="AX39" s="125">
        <f t="shared" ref="AX39:AX41" si="51">SUM(AT39:AW39)</f>
        <v>4</v>
      </c>
      <c r="AY39" s="141" t="s">
        <v>257</v>
      </c>
      <c r="AZ39" s="137">
        <v>4</v>
      </c>
      <c r="BA39" s="137">
        <v>0</v>
      </c>
      <c r="BB39" s="134">
        <f t="shared" ref="BB39:BB41" si="52">AZ39-BA39</f>
        <v>4</v>
      </c>
      <c r="BC39" s="469" t="s">
        <v>258</v>
      </c>
      <c r="BD39" s="470"/>
      <c r="BE39" s="13"/>
      <c r="BF39" s="16"/>
      <c r="BG39" s="13"/>
      <c r="BH39" s="16"/>
      <c r="BI39" s="13"/>
      <c r="BJ39" s="16"/>
      <c r="BK39" s="13"/>
      <c r="BL39" s="16"/>
      <c r="BM39" s="13"/>
      <c r="BN39" s="16"/>
      <c r="BO39" s="13"/>
      <c r="BP39" s="16"/>
      <c r="BQ39" s="106">
        <f t="shared" si="4"/>
        <v>0</v>
      </c>
      <c r="BR39" s="566"/>
      <c r="BS39" s="569"/>
      <c r="BT39" s="570"/>
      <c r="BU39" s="557"/>
      <c r="BV39" s="560"/>
      <c r="BW39" s="563"/>
      <c r="BX39" s="615"/>
    </row>
    <row r="40" spans="1:76" x14ac:dyDescent="0.25">
      <c r="A40" s="586"/>
      <c r="B40" s="590"/>
      <c r="C40" s="591"/>
      <c r="D40" s="605"/>
      <c r="E40" s="517"/>
      <c r="F40" s="518"/>
      <c r="G40" s="523"/>
      <c r="H40" s="524"/>
      <c r="I40" s="529"/>
      <c r="J40" s="530"/>
      <c r="K40" s="513"/>
      <c r="L40" s="534"/>
      <c r="M40" s="537"/>
      <c r="N40" s="541"/>
      <c r="O40" s="542"/>
      <c r="P40" s="483"/>
      <c r="Q40" s="484"/>
      <c r="R40" s="517"/>
      <c r="S40" s="518"/>
      <c r="T40" s="487"/>
      <c r="U40" s="488"/>
      <c r="V40" s="492"/>
      <c r="W40" s="483"/>
      <c r="X40" s="495"/>
      <c r="Y40" s="484"/>
      <c r="Z40" s="498"/>
      <c r="AA40" s="502"/>
      <c r="AB40" s="503"/>
      <c r="AC40" s="508"/>
      <c r="AD40" s="509"/>
      <c r="AE40" s="509"/>
      <c r="AF40" s="511"/>
      <c r="AG40" s="511"/>
      <c r="AH40" s="511"/>
      <c r="AI40" s="511"/>
      <c r="AJ40" s="511"/>
      <c r="AK40" s="511"/>
      <c r="AL40" s="511"/>
      <c r="AM40" s="511"/>
      <c r="AN40" s="511"/>
      <c r="AO40" s="511"/>
      <c r="AP40" s="511"/>
      <c r="AQ40" s="466"/>
      <c r="AR40" s="468"/>
      <c r="AS40" s="122" t="s">
        <v>259</v>
      </c>
      <c r="AT40" s="123"/>
      <c r="AU40" s="123"/>
      <c r="AV40" s="123"/>
      <c r="AW40" s="124"/>
      <c r="AX40" s="126">
        <f t="shared" si="51"/>
        <v>0</v>
      </c>
      <c r="AY40" s="142" t="s">
        <v>259</v>
      </c>
      <c r="AZ40" s="138"/>
      <c r="BA40" s="138"/>
      <c r="BB40" s="135">
        <f t="shared" si="52"/>
        <v>0</v>
      </c>
      <c r="BC40" s="474" t="s">
        <v>260</v>
      </c>
      <c r="BD40" s="475"/>
      <c r="BE40" s="14"/>
      <c r="BF40" s="17"/>
      <c r="BG40" s="14"/>
      <c r="BH40" s="17"/>
      <c r="BI40" s="14"/>
      <c r="BJ40" s="17"/>
      <c r="BK40" s="14"/>
      <c r="BL40" s="17"/>
      <c r="BM40" s="14"/>
      <c r="BN40" s="17"/>
      <c r="BO40" s="14"/>
      <c r="BP40" s="17"/>
      <c r="BQ40" s="107">
        <f t="shared" si="4"/>
        <v>0</v>
      </c>
      <c r="BR40" s="567"/>
      <c r="BS40" s="571"/>
      <c r="BT40" s="572"/>
      <c r="BU40" s="558"/>
      <c r="BV40" s="561"/>
      <c r="BW40" s="564"/>
      <c r="BX40" s="616"/>
    </row>
    <row r="41" spans="1:76" ht="15.75" thickBot="1" x14ac:dyDescent="0.3">
      <c r="A41" s="586"/>
      <c r="B41" s="590"/>
      <c r="C41" s="591"/>
      <c r="D41" s="605"/>
      <c r="E41" s="517"/>
      <c r="F41" s="518"/>
      <c r="G41" s="523"/>
      <c r="H41" s="524"/>
      <c r="I41" s="529"/>
      <c r="J41" s="530"/>
      <c r="K41" s="513"/>
      <c r="L41" s="534"/>
      <c r="M41" s="537"/>
      <c r="N41" s="541"/>
      <c r="O41" s="542"/>
      <c r="P41" s="483"/>
      <c r="Q41" s="484"/>
      <c r="R41" s="517"/>
      <c r="S41" s="518"/>
      <c r="T41" s="487"/>
      <c r="U41" s="488"/>
      <c r="V41" s="492"/>
      <c r="W41" s="483"/>
      <c r="X41" s="495"/>
      <c r="Y41" s="484"/>
      <c r="Z41" s="498"/>
      <c r="AA41" s="502"/>
      <c r="AB41" s="503"/>
      <c r="AC41" s="471" t="s">
        <v>259</v>
      </c>
      <c r="AD41" s="472"/>
      <c r="AE41" s="473"/>
      <c r="AF41" s="100"/>
      <c r="AG41" s="100"/>
      <c r="AH41" s="100"/>
      <c r="AI41" s="100"/>
      <c r="AJ41" s="100"/>
      <c r="AK41" s="100"/>
      <c r="AL41" s="100"/>
      <c r="AM41" s="100"/>
      <c r="AN41" s="100"/>
      <c r="AO41" s="100"/>
      <c r="AP41" s="100"/>
      <c r="AQ41" s="101"/>
      <c r="AR41" s="104">
        <f t="shared" ref="AR41:AR42" si="53">SUM(AF41:AQ41)</f>
        <v>0</v>
      </c>
      <c r="AS41" s="128" t="s">
        <v>261</v>
      </c>
      <c r="AT41" s="129"/>
      <c r="AU41" s="129"/>
      <c r="AV41" s="129"/>
      <c r="AW41" s="130"/>
      <c r="AX41" s="126">
        <f t="shared" si="51"/>
        <v>0</v>
      </c>
      <c r="AY41" s="143" t="s">
        <v>261</v>
      </c>
      <c r="AZ41" s="139"/>
      <c r="BA41" s="139"/>
      <c r="BB41" s="136">
        <f t="shared" si="52"/>
        <v>0</v>
      </c>
      <c r="BC41" s="474" t="s">
        <v>262</v>
      </c>
      <c r="BD41" s="475"/>
      <c r="BE41" s="14"/>
      <c r="BF41" s="17"/>
      <c r="BG41" s="14"/>
      <c r="BH41" s="17"/>
      <c r="BI41" s="14"/>
      <c r="BJ41" s="17"/>
      <c r="BK41" s="14"/>
      <c r="BL41" s="17"/>
      <c r="BM41" s="14"/>
      <c r="BN41" s="17"/>
      <c r="BO41" s="14"/>
      <c r="BP41" s="17"/>
      <c r="BQ41" s="108">
        <f t="shared" si="4"/>
        <v>0</v>
      </c>
      <c r="BR41" s="567"/>
      <c r="BS41" s="571"/>
      <c r="BT41" s="572"/>
      <c r="BU41" s="558"/>
      <c r="BV41" s="561"/>
      <c r="BW41" s="564"/>
      <c r="BX41" s="616"/>
    </row>
    <row r="42" spans="1:76" ht="15.75" thickBot="1" x14ac:dyDescent="0.3">
      <c r="A42" s="587"/>
      <c r="B42" s="592"/>
      <c r="C42" s="593"/>
      <c r="D42" s="606"/>
      <c r="E42" s="519"/>
      <c r="F42" s="520"/>
      <c r="G42" s="525"/>
      <c r="H42" s="526"/>
      <c r="I42" s="531"/>
      <c r="J42" s="532"/>
      <c r="K42" s="514"/>
      <c r="L42" s="535"/>
      <c r="M42" s="538"/>
      <c r="N42" s="543"/>
      <c r="O42" s="544"/>
      <c r="P42" s="485"/>
      <c r="Q42" s="486"/>
      <c r="R42" s="519"/>
      <c r="S42" s="520"/>
      <c r="T42" s="489"/>
      <c r="U42" s="490"/>
      <c r="V42" s="493"/>
      <c r="W42" s="485"/>
      <c r="X42" s="496"/>
      <c r="Y42" s="486"/>
      <c r="Z42" s="499"/>
      <c r="AA42" s="504"/>
      <c r="AB42" s="505"/>
      <c r="AC42" s="476" t="s">
        <v>261</v>
      </c>
      <c r="AD42" s="477"/>
      <c r="AE42" s="478"/>
      <c r="AF42" s="102"/>
      <c r="AG42" s="102"/>
      <c r="AH42" s="102"/>
      <c r="AI42" s="102"/>
      <c r="AJ42" s="102"/>
      <c r="AK42" s="102"/>
      <c r="AL42" s="102"/>
      <c r="AM42" s="102"/>
      <c r="AN42" s="102"/>
      <c r="AO42" s="102"/>
      <c r="AP42" s="102"/>
      <c r="AQ42" s="103"/>
      <c r="AR42" s="105">
        <f t="shared" si="53"/>
        <v>0</v>
      </c>
      <c r="AS42" s="131" t="s">
        <v>161</v>
      </c>
      <c r="AT42" s="132">
        <f t="shared" ref="AT42:AX42" si="54">SUM(AT39:AT41)</f>
        <v>4</v>
      </c>
      <c r="AU42" s="132">
        <f t="shared" si="54"/>
        <v>0</v>
      </c>
      <c r="AV42" s="132">
        <f t="shared" si="54"/>
        <v>0</v>
      </c>
      <c r="AW42" s="133">
        <f t="shared" si="54"/>
        <v>0</v>
      </c>
      <c r="AX42" s="127">
        <f t="shared" si="54"/>
        <v>4</v>
      </c>
      <c r="AY42" s="144" t="s">
        <v>161</v>
      </c>
      <c r="AZ42" s="140">
        <f t="shared" ref="AZ42:BB42" si="55">SUM(AZ39:AZ41)</f>
        <v>4</v>
      </c>
      <c r="BA42" s="140">
        <f t="shared" si="55"/>
        <v>0</v>
      </c>
      <c r="BB42" s="140">
        <f t="shared" si="55"/>
        <v>4</v>
      </c>
      <c r="BC42" s="479" t="s">
        <v>263</v>
      </c>
      <c r="BD42" s="480"/>
      <c r="BE42" s="15"/>
      <c r="BF42" s="18"/>
      <c r="BG42" s="15"/>
      <c r="BH42" s="18"/>
      <c r="BI42" s="15"/>
      <c r="BJ42" s="18"/>
      <c r="BK42" s="15"/>
      <c r="BL42" s="18"/>
      <c r="BM42" s="15"/>
      <c r="BN42" s="18"/>
      <c r="BO42" s="15"/>
      <c r="BP42" s="18"/>
      <c r="BQ42" s="109">
        <f t="shared" si="4"/>
        <v>0</v>
      </c>
      <c r="BR42" s="568"/>
      <c r="BS42" s="573"/>
      <c r="BT42" s="574"/>
      <c r="BU42" s="559"/>
      <c r="BV42" s="562"/>
      <c r="BW42" s="565"/>
      <c r="BX42" s="617"/>
    </row>
    <row r="43" spans="1:76" x14ac:dyDescent="0.25">
      <c r="A43" s="585">
        <v>9</v>
      </c>
      <c r="B43" s="588"/>
      <c r="C43" s="589"/>
      <c r="D43" s="604"/>
      <c r="E43" s="515"/>
      <c r="F43" s="516"/>
      <c r="G43" s="521"/>
      <c r="H43" s="522"/>
      <c r="I43" s="527"/>
      <c r="J43" s="528"/>
      <c r="K43" s="512">
        <f t="shared" ref="K43" si="56">INT(YEARFRAC(I43,AA43))</f>
        <v>0</v>
      </c>
      <c r="L43" s="533">
        <f t="shared" ref="L43" ca="1" si="57">INT(YEARFRAC(I43,TODAY()))</f>
        <v>121</v>
      </c>
      <c r="M43" s="536"/>
      <c r="N43" s="539"/>
      <c r="O43" s="540"/>
      <c r="P43" s="481"/>
      <c r="Q43" s="482"/>
      <c r="R43" s="515"/>
      <c r="S43" s="516"/>
      <c r="T43" s="487"/>
      <c r="U43" s="488"/>
      <c r="V43" s="491"/>
      <c r="W43" s="481"/>
      <c r="X43" s="494"/>
      <c r="Y43" s="482"/>
      <c r="Z43" s="497"/>
      <c r="AA43" s="500"/>
      <c r="AB43" s="501"/>
      <c r="AC43" s="506" t="s">
        <v>257</v>
      </c>
      <c r="AD43" s="507"/>
      <c r="AE43" s="507"/>
      <c r="AF43" s="510"/>
      <c r="AG43" s="510"/>
      <c r="AH43" s="510"/>
      <c r="AI43" s="510"/>
      <c r="AJ43" s="510"/>
      <c r="AK43" s="510"/>
      <c r="AL43" s="510">
        <v>2</v>
      </c>
      <c r="AM43" s="510">
        <v>1</v>
      </c>
      <c r="AN43" s="510">
        <v>3</v>
      </c>
      <c r="AO43" s="510"/>
      <c r="AP43" s="510"/>
      <c r="AQ43" s="465"/>
      <c r="AR43" s="467">
        <f t="shared" ref="AR43" si="58">SUM(AF43:AQ44)</f>
        <v>6</v>
      </c>
      <c r="AS43" s="119" t="s">
        <v>257</v>
      </c>
      <c r="AT43" s="120">
        <v>3</v>
      </c>
      <c r="AU43" s="120"/>
      <c r="AV43" s="120"/>
      <c r="AW43" s="121"/>
      <c r="AX43" s="125">
        <f t="shared" ref="AX43:AX45" si="59">SUM(AT43:AW43)</f>
        <v>3</v>
      </c>
      <c r="AY43" s="141" t="s">
        <v>257</v>
      </c>
      <c r="AZ43" s="137">
        <v>3</v>
      </c>
      <c r="BA43" s="137">
        <v>0</v>
      </c>
      <c r="BB43" s="134">
        <f t="shared" ref="BB43:BB45" si="60">AZ43-BA43</f>
        <v>3</v>
      </c>
      <c r="BC43" s="469" t="s">
        <v>258</v>
      </c>
      <c r="BD43" s="470"/>
      <c r="BE43" s="13"/>
      <c r="BF43" s="16"/>
      <c r="BG43" s="13"/>
      <c r="BH43" s="16"/>
      <c r="BI43" s="13"/>
      <c r="BJ43" s="16"/>
      <c r="BK43" s="13"/>
      <c r="BL43" s="16"/>
      <c r="BM43" s="13"/>
      <c r="BN43" s="16"/>
      <c r="BO43" s="13"/>
      <c r="BP43" s="16"/>
      <c r="BQ43" s="106">
        <f t="shared" si="4"/>
        <v>0</v>
      </c>
      <c r="BR43" s="566"/>
      <c r="BS43" s="569"/>
      <c r="BT43" s="570"/>
      <c r="BU43" s="557"/>
      <c r="BV43" s="560"/>
      <c r="BW43" s="563"/>
      <c r="BX43" s="615"/>
    </row>
    <row r="44" spans="1:76" x14ac:dyDescent="0.25">
      <c r="A44" s="586"/>
      <c r="B44" s="590"/>
      <c r="C44" s="591"/>
      <c r="D44" s="605"/>
      <c r="E44" s="517"/>
      <c r="F44" s="518"/>
      <c r="G44" s="523"/>
      <c r="H44" s="524"/>
      <c r="I44" s="529"/>
      <c r="J44" s="530"/>
      <c r="K44" s="513"/>
      <c r="L44" s="534"/>
      <c r="M44" s="537"/>
      <c r="N44" s="541"/>
      <c r="O44" s="542"/>
      <c r="P44" s="483"/>
      <c r="Q44" s="484"/>
      <c r="R44" s="517"/>
      <c r="S44" s="518"/>
      <c r="T44" s="487"/>
      <c r="U44" s="488"/>
      <c r="V44" s="492"/>
      <c r="W44" s="483"/>
      <c r="X44" s="495"/>
      <c r="Y44" s="484"/>
      <c r="Z44" s="498"/>
      <c r="AA44" s="502"/>
      <c r="AB44" s="503"/>
      <c r="AC44" s="508"/>
      <c r="AD44" s="509"/>
      <c r="AE44" s="509"/>
      <c r="AF44" s="511"/>
      <c r="AG44" s="511"/>
      <c r="AH44" s="511"/>
      <c r="AI44" s="511"/>
      <c r="AJ44" s="511"/>
      <c r="AK44" s="511"/>
      <c r="AL44" s="511"/>
      <c r="AM44" s="511"/>
      <c r="AN44" s="511"/>
      <c r="AO44" s="511"/>
      <c r="AP44" s="511"/>
      <c r="AQ44" s="466"/>
      <c r="AR44" s="468"/>
      <c r="AS44" s="122" t="s">
        <v>259</v>
      </c>
      <c r="AT44" s="123"/>
      <c r="AU44" s="123"/>
      <c r="AV44" s="123"/>
      <c r="AW44" s="124"/>
      <c r="AX44" s="126">
        <f t="shared" si="59"/>
        <v>0</v>
      </c>
      <c r="AY44" s="142" t="s">
        <v>259</v>
      </c>
      <c r="AZ44" s="138"/>
      <c r="BA44" s="138"/>
      <c r="BB44" s="135">
        <f t="shared" si="60"/>
        <v>0</v>
      </c>
      <c r="BC44" s="474" t="s">
        <v>260</v>
      </c>
      <c r="BD44" s="475"/>
      <c r="BE44" s="14"/>
      <c r="BF44" s="17"/>
      <c r="BG44" s="14"/>
      <c r="BH44" s="17"/>
      <c r="BI44" s="14"/>
      <c r="BJ44" s="17"/>
      <c r="BK44" s="14"/>
      <c r="BL44" s="17"/>
      <c r="BM44" s="14"/>
      <c r="BN44" s="17"/>
      <c r="BO44" s="14"/>
      <c r="BP44" s="17"/>
      <c r="BQ44" s="107">
        <f t="shared" si="4"/>
        <v>0</v>
      </c>
      <c r="BR44" s="567"/>
      <c r="BS44" s="571"/>
      <c r="BT44" s="572"/>
      <c r="BU44" s="558"/>
      <c r="BV44" s="561"/>
      <c r="BW44" s="564"/>
      <c r="BX44" s="616"/>
    </row>
    <row r="45" spans="1:76" ht="15.75" thickBot="1" x14ac:dyDescent="0.3">
      <c r="A45" s="586"/>
      <c r="B45" s="590"/>
      <c r="C45" s="591"/>
      <c r="D45" s="605"/>
      <c r="E45" s="517"/>
      <c r="F45" s="518"/>
      <c r="G45" s="523"/>
      <c r="H45" s="524"/>
      <c r="I45" s="529"/>
      <c r="J45" s="530"/>
      <c r="K45" s="513"/>
      <c r="L45" s="534"/>
      <c r="M45" s="537"/>
      <c r="N45" s="541"/>
      <c r="O45" s="542"/>
      <c r="P45" s="483"/>
      <c r="Q45" s="484"/>
      <c r="R45" s="517"/>
      <c r="S45" s="518"/>
      <c r="T45" s="487"/>
      <c r="U45" s="488"/>
      <c r="V45" s="492"/>
      <c r="W45" s="483"/>
      <c r="X45" s="495"/>
      <c r="Y45" s="484"/>
      <c r="Z45" s="498"/>
      <c r="AA45" s="502"/>
      <c r="AB45" s="503"/>
      <c r="AC45" s="471" t="s">
        <v>259</v>
      </c>
      <c r="AD45" s="472"/>
      <c r="AE45" s="473"/>
      <c r="AF45" s="100"/>
      <c r="AG45" s="100"/>
      <c r="AH45" s="100"/>
      <c r="AI45" s="100"/>
      <c r="AJ45" s="100"/>
      <c r="AK45" s="100"/>
      <c r="AL45" s="100"/>
      <c r="AM45" s="100"/>
      <c r="AN45" s="100"/>
      <c r="AO45" s="100"/>
      <c r="AP45" s="100"/>
      <c r="AQ45" s="101"/>
      <c r="AR45" s="104">
        <f t="shared" ref="AR45:AR46" si="61">SUM(AF45:AQ45)</f>
        <v>0</v>
      </c>
      <c r="AS45" s="128" t="s">
        <v>261</v>
      </c>
      <c r="AT45" s="129"/>
      <c r="AU45" s="129"/>
      <c r="AV45" s="129"/>
      <c r="AW45" s="130"/>
      <c r="AX45" s="126">
        <f t="shared" si="59"/>
        <v>0</v>
      </c>
      <c r="AY45" s="143" t="s">
        <v>261</v>
      </c>
      <c r="AZ45" s="139"/>
      <c r="BA45" s="139"/>
      <c r="BB45" s="136">
        <f t="shared" si="60"/>
        <v>0</v>
      </c>
      <c r="BC45" s="474" t="s">
        <v>262</v>
      </c>
      <c r="BD45" s="475"/>
      <c r="BE45" s="14"/>
      <c r="BF45" s="17"/>
      <c r="BG45" s="14"/>
      <c r="BH45" s="17"/>
      <c r="BI45" s="14"/>
      <c r="BJ45" s="17"/>
      <c r="BK45" s="14"/>
      <c r="BL45" s="17"/>
      <c r="BM45" s="14"/>
      <c r="BN45" s="17"/>
      <c r="BO45" s="14"/>
      <c r="BP45" s="17"/>
      <c r="BQ45" s="108">
        <f t="shared" si="4"/>
        <v>0</v>
      </c>
      <c r="BR45" s="567"/>
      <c r="BS45" s="571"/>
      <c r="BT45" s="572"/>
      <c r="BU45" s="558"/>
      <c r="BV45" s="561"/>
      <c r="BW45" s="564"/>
      <c r="BX45" s="616"/>
    </row>
    <row r="46" spans="1:76" ht="15.75" thickBot="1" x14ac:dyDescent="0.3">
      <c r="A46" s="587"/>
      <c r="B46" s="592"/>
      <c r="C46" s="593"/>
      <c r="D46" s="606"/>
      <c r="E46" s="519"/>
      <c r="F46" s="520"/>
      <c r="G46" s="525"/>
      <c r="H46" s="526"/>
      <c r="I46" s="531"/>
      <c r="J46" s="532"/>
      <c r="K46" s="514"/>
      <c r="L46" s="535"/>
      <c r="M46" s="538"/>
      <c r="N46" s="543"/>
      <c r="O46" s="544"/>
      <c r="P46" s="485"/>
      <c r="Q46" s="486"/>
      <c r="R46" s="519"/>
      <c r="S46" s="520"/>
      <c r="T46" s="489"/>
      <c r="U46" s="490"/>
      <c r="V46" s="493"/>
      <c r="W46" s="485"/>
      <c r="X46" s="496"/>
      <c r="Y46" s="486"/>
      <c r="Z46" s="499"/>
      <c r="AA46" s="504"/>
      <c r="AB46" s="505"/>
      <c r="AC46" s="476" t="s">
        <v>261</v>
      </c>
      <c r="AD46" s="477"/>
      <c r="AE46" s="478"/>
      <c r="AF46" s="102"/>
      <c r="AG46" s="102"/>
      <c r="AH46" s="102"/>
      <c r="AI46" s="102"/>
      <c r="AJ46" s="102"/>
      <c r="AK46" s="102"/>
      <c r="AL46" s="102"/>
      <c r="AM46" s="102"/>
      <c r="AN46" s="102"/>
      <c r="AO46" s="102"/>
      <c r="AP46" s="102"/>
      <c r="AQ46" s="103"/>
      <c r="AR46" s="105">
        <f t="shared" si="61"/>
        <v>0</v>
      </c>
      <c r="AS46" s="131" t="s">
        <v>161</v>
      </c>
      <c r="AT46" s="132">
        <f t="shared" ref="AT46:AX46" si="62">SUM(AT43:AT45)</f>
        <v>3</v>
      </c>
      <c r="AU46" s="132">
        <f t="shared" si="62"/>
        <v>0</v>
      </c>
      <c r="AV46" s="132">
        <f t="shared" si="62"/>
        <v>0</v>
      </c>
      <c r="AW46" s="133">
        <f t="shared" si="62"/>
        <v>0</v>
      </c>
      <c r="AX46" s="127">
        <f t="shared" si="62"/>
        <v>3</v>
      </c>
      <c r="AY46" s="144" t="s">
        <v>161</v>
      </c>
      <c r="AZ46" s="140">
        <f t="shared" ref="AZ46:BB46" si="63">SUM(AZ43:AZ45)</f>
        <v>3</v>
      </c>
      <c r="BA46" s="140">
        <f t="shared" si="63"/>
        <v>0</v>
      </c>
      <c r="BB46" s="140">
        <f t="shared" si="63"/>
        <v>3</v>
      </c>
      <c r="BC46" s="479" t="s">
        <v>263</v>
      </c>
      <c r="BD46" s="480"/>
      <c r="BE46" s="15"/>
      <c r="BF46" s="18"/>
      <c r="BG46" s="15"/>
      <c r="BH46" s="18"/>
      <c r="BI46" s="15"/>
      <c r="BJ46" s="18"/>
      <c r="BK46" s="15"/>
      <c r="BL46" s="18"/>
      <c r="BM46" s="15"/>
      <c r="BN46" s="18"/>
      <c r="BO46" s="15"/>
      <c r="BP46" s="18"/>
      <c r="BQ46" s="109">
        <f t="shared" si="4"/>
        <v>0</v>
      </c>
      <c r="BR46" s="568"/>
      <c r="BS46" s="573"/>
      <c r="BT46" s="574"/>
      <c r="BU46" s="559"/>
      <c r="BV46" s="562"/>
      <c r="BW46" s="565"/>
      <c r="BX46" s="617"/>
    </row>
    <row r="47" spans="1:76" x14ac:dyDescent="0.25">
      <c r="A47" s="585">
        <v>10</v>
      </c>
      <c r="B47" s="588"/>
      <c r="C47" s="589"/>
      <c r="D47" s="604"/>
      <c r="E47" s="515"/>
      <c r="F47" s="516"/>
      <c r="G47" s="521"/>
      <c r="H47" s="522"/>
      <c r="I47" s="527"/>
      <c r="J47" s="528"/>
      <c r="K47" s="512">
        <f t="shared" ref="K47" si="64">INT(YEARFRAC(I47,AA47))</f>
        <v>0</v>
      </c>
      <c r="L47" s="533">
        <f t="shared" ref="L47" ca="1" si="65">INT(YEARFRAC(I47,TODAY()))</f>
        <v>121</v>
      </c>
      <c r="M47" s="536"/>
      <c r="N47" s="539"/>
      <c r="O47" s="540"/>
      <c r="P47" s="481"/>
      <c r="Q47" s="482"/>
      <c r="R47" s="515"/>
      <c r="S47" s="516"/>
      <c r="T47" s="487"/>
      <c r="U47" s="488"/>
      <c r="V47" s="491"/>
      <c r="W47" s="481"/>
      <c r="X47" s="494"/>
      <c r="Y47" s="482"/>
      <c r="Z47" s="497"/>
      <c r="AA47" s="500"/>
      <c r="AB47" s="501"/>
      <c r="AC47" s="506" t="s">
        <v>257</v>
      </c>
      <c r="AD47" s="507"/>
      <c r="AE47" s="507"/>
      <c r="AF47" s="510"/>
      <c r="AG47" s="510"/>
      <c r="AH47" s="510"/>
      <c r="AI47" s="510"/>
      <c r="AJ47" s="510"/>
      <c r="AK47" s="510"/>
      <c r="AL47" s="510"/>
      <c r="AM47" s="510"/>
      <c r="AN47" s="510">
        <v>3</v>
      </c>
      <c r="AO47" s="510"/>
      <c r="AP47" s="510"/>
      <c r="AQ47" s="465"/>
      <c r="AR47" s="467">
        <f t="shared" ref="AR47" si="66">SUM(AF47:AQ48)</f>
        <v>3</v>
      </c>
      <c r="AS47" s="119" t="s">
        <v>257</v>
      </c>
      <c r="AT47" s="120"/>
      <c r="AU47" s="120"/>
      <c r="AV47" s="120"/>
      <c r="AW47" s="121"/>
      <c r="AX47" s="125">
        <f t="shared" ref="AX47:AX49" si="67">SUM(AT47:AW47)</f>
        <v>0</v>
      </c>
      <c r="AY47" s="141" t="s">
        <v>257</v>
      </c>
      <c r="AZ47" s="137"/>
      <c r="BA47" s="137"/>
      <c r="BB47" s="134">
        <f t="shared" ref="BB47:BB49" si="68">AZ47-BA47</f>
        <v>0</v>
      </c>
      <c r="BC47" s="469" t="s">
        <v>258</v>
      </c>
      <c r="BD47" s="470"/>
      <c r="BE47" s="13"/>
      <c r="BF47" s="16"/>
      <c r="BG47" s="13"/>
      <c r="BH47" s="16"/>
      <c r="BI47" s="13"/>
      <c r="BJ47" s="16"/>
      <c r="BK47" s="13"/>
      <c r="BL47" s="16"/>
      <c r="BM47" s="13"/>
      <c r="BN47" s="16"/>
      <c r="BO47" s="13"/>
      <c r="BP47" s="16"/>
      <c r="BQ47" s="106">
        <f t="shared" si="4"/>
        <v>0</v>
      </c>
      <c r="BR47" s="566"/>
      <c r="BS47" s="569"/>
      <c r="BT47" s="570"/>
      <c r="BU47" s="557"/>
      <c r="BV47" s="560"/>
      <c r="BW47" s="563"/>
      <c r="BX47" s="615"/>
    </row>
    <row r="48" spans="1:76" x14ac:dyDescent="0.25">
      <c r="A48" s="586"/>
      <c r="B48" s="590"/>
      <c r="C48" s="591"/>
      <c r="D48" s="605"/>
      <c r="E48" s="517"/>
      <c r="F48" s="518"/>
      <c r="G48" s="523"/>
      <c r="H48" s="524"/>
      <c r="I48" s="529"/>
      <c r="J48" s="530"/>
      <c r="K48" s="513"/>
      <c r="L48" s="534"/>
      <c r="M48" s="537"/>
      <c r="N48" s="541"/>
      <c r="O48" s="542"/>
      <c r="P48" s="483"/>
      <c r="Q48" s="484"/>
      <c r="R48" s="517"/>
      <c r="S48" s="518"/>
      <c r="T48" s="487"/>
      <c r="U48" s="488"/>
      <c r="V48" s="492"/>
      <c r="W48" s="483"/>
      <c r="X48" s="495"/>
      <c r="Y48" s="484"/>
      <c r="Z48" s="498"/>
      <c r="AA48" s="502"/>
      <c r="AB48" s="503"/>
      <c r="AC48" s="508"/>
      <c r="AD48" s="509"/>
      <c r="AE48" s="509"/>
      <c r="AF48" s="511"/>
      <c r="AG48" s="511"/>
      <c r="AH48" s="511"/>
      <c r="AI48" s="511"/>
      <c r="AJ48" s="511"/>
      <c r="AK48" s="511"/>
      <c r="AL48" s="511"/>
      <c r="AM48" s="511"/>
      <c r="AN48" s="511"/>
      <c r="AO48" s="511"/>
      <c r="AP48" s="511"/>
      <c r="AQ48" s="466"/>
      <c r="AR48" s="468"/>
      <c r="AS48" s="122" t="s">
        <v>259</v>
      </c>
      <c r="AT48" s="123"/>
      <c r="AU48" s="123"/>
      <c r="AV48" s="123"/>
      <c r="AW48" s="124"/>
      <c r="AX48" s="126">
        <f t="shared" si="67"/>
        <v>0</v>
      </c>
      <c r="AY48" s="142" t="s">
        <v>259</v>
      </c>
      <c r="AZ48" s="138"/>
      <c r="BA48" s="138"/>
      <c r="BB48" s="135">
        <f t="shared" si="68"/>
        <v>0</v>
      </c>
      <c r="BC48" s="474" t="s">
        <v>260</v>
      </c>
      <c r="BD48" s="475"/>
      <c r="BE48" s="14"/>
      <c r="BF48" s="17"/>
      <c r="BG48" s="14"/>
      <c r="BH48" s="17"/>
      <c r="BI48" s="14"/>
      <c r="BJ48" s="17"/>
      <c r="BK48" s="14"/>
      <c r="BL48" s="17"/>
      <c r="BM48" s="14"/>
      <c r="BN48" s="17"/>
      <c r="BO48" s="14"/>
      <c r="BP48" s="17"/>
      <c r="BQ48" s="107">
        <f t="shared" si="4"/>
        <v>0</v>
      </c>
      <c r="BR48" s="567"/>
      <c r="BS48" s="571"/>
      <c r="BT48" s="572"/>
      <c r="BU48" s="558"/>
      <c r="BV48" s="561"/>
      <c r="BW48" s="564"/>
      <c r="BX48" s="616"/>
    </row>
    <row r="49" spans="1:76" ht="15.75" thickBot="1" x14ac:dyDescent="0.3">
      <c r="A49" s="586"/>
      <c r="B49" s="590"/>
      <c r="C49" s="591"/>
      <c r="D49" s="605"/>
      <c r="E49" s="517"/>
      <c r="F49" s="518"/>
      <c r="G49" s="523"/>
      <c r="H49" s="524"/>
      <c r="I49" s="529"/>
      <c r="J49" s="530"/>
      <c r="K49" s="513"/>
      <c r="L49" s="534"/>
      <c r="M49" s="537"/>
      <c r="N49" s="541"/>
      <c r="O49" s="542"/>
      <c r="P49" s="483"/>
      <c r="Q49" s="484"/>
      <c r="R49" s="517"/>
      <c r="S49" s="518"/>
      <c r="T49" s="487"/>
      <c r="U49" s="488"/>
      <c r="V49" s="492"/>
      <c r="W49" s="483"/>
      <c r="X49" s="495"/>
      <c r="Y49" s="484"/>
      <c r="Z49" s="498"/>
      <c r="AA49" s="502"/>
      <c r="AB49" s="503"/>
      <c r="AC49" s="471" t="s">
        <v>259</v>
      </c>
      <c r="AD49" s="472"/>
      <c r="AE49" s="473"/>
      <c r="AF49" s="100"/>
      <c r="AG49" s="100"/>
      <c r="AH49" s="100"/>
      <c r="AI49" s="100"/>
      <c r="AJ49" s="100"/>
      <c r="AK49" s="100"/>
      <c r="AL49" s="100"/>
      <c r="AM49" s="100"/>
      <c r="AN49" s="100"/>
      <c r="AO49" s="100"/>
      <c r="AP49" s="100"/>
      <c r="AQ49" s="101"/>
      <c r="AR49" s="104">
        <f t="shared" ref="AR49:AR50" si="69">SUM(AF49:AQ49)</f>
        <v>0</v>
      </c>
      <c r="AS49" s="128" t="s">
        <v>261</v>
      </c>
      <c r="AT49" s="129"/>
      <c r="AU49" s="129"/>
      <c r="AV49" s="129"/>
      <c r="AW49" s="130"/>
      <c r="AX49" s="126">
        <f t="shared" si="67"/>
        <v>0</v>
      </c>
      <c r="AY49" s="143" t="s">
        <v>261</v>
      </c>
      <c r="AZ49" s="139"/>
      <c r="BA49" s="139"/>
      <c r="BB49" s="136">
        <f t="shared" si="68"/>
        <v>0</v>
      </c>
      <c r="BC49" s="474" t="s">
        <v>262</v>
      </c>
      <c r="BD49" s="475"/>
      <c r="BE49" s="14"/>
      <c r="BF49" s="17"/>
      <c r="BG49" s="14"/>
      <c r="BH49" s="17"/>
      <c r="BI49" s="14"/>
      <c r="BJ49" s="17"/>
      <c r="BK49" s="14"/>
      <c r="BL49" s="17"/>
      <c r="BM49" s="14"/>
      <c r="BN49" s="17"/>
      <c r="BO49" s="14"/>
      <c r="BP49" s="17"/>
      <c r="BQ49" s="108">
        <f t="shared" si="4"/>
        <v>0</v>
      </c>
      <c r="BR49" s="567"/>
      <c r="BS49" s="571"/>
      <c r="BT49" s="572"/>
      <c r="BU49" s="558"/>
      <c r="BV49" s="561"/>
      <c r="BW49" s="564"/>
      <c r="BX49" s="616"/>
    </row>
    <row r="50" spans="1:76" x14ac:dyDescent="0.25">
      <c r="A50" s="587"/>
      <c r="B50" s="592"/>
      <c r="C50" s="593"/>
      <c r="D50" s="606"/>
      <c r="E50" s="519"/>
      <c r="F50" s="520"/>
      <c r="G50" s="525"/>
      <c r="H50" s="526"/>
      <c r="I50" s="531"/>
      <c r="J50" s="532"/>
      <c r="K50" s="514"/>
      <c r="L50" s="535"/>
      <c r="M50" s="538"/>
      <c r="N50" s="543"/>
      <c r="O50" s="544"/>
      <c r="P50" s="485"/>
      <c r="Q50" s="486"/>
      <c r="R50" s="519"/>
      <c r="S50" s="520"/>
      <c r="T50" s="489"/>
      <c r="U50" s="490"/>
      <c r="V50" s="493"/>
      <c r="W50" s="485"/>
      <c r="X50" s="496"/>
      <c r="Y50" s="486"/>
      <c r="Z50" s="499"/>
      <c r="AA50" s="504"/>
      <c r="AB50" s="505"/>
      <c r="AC50" s="476" t="s">
        <v>261</v>
      </c>
      <c r="AD50" s="477"/>
      <c r="AE50" s="478"/>
      <c r="AF50" s="102"/>
      <c r="AG50" s="102"/>
      <c r="AH50" s="102"/>
      <c r="AI50" s="102"/>
      <c r="AJ50" s="102"/>
      <c r="AK50" s="102"/>
      <c r="AL50" s="102"/>
      <c r="AM50" s="102"/>
      <c r="AN50" s="102">
        <v>1</v>
      </c>
      <c r="AO50" s="102"/>
      <c r="AP50" s="102"/>
      <c r="AQ50" s="103"/>
      <c r="AR50" s="105">
        <f t="shared" si="69"/>
        <v>1</v>
      </c>
      <c r="AS50" s="131" t="s">
        <v>161</v>
      </c>
      <c r="AT50" s="132">
        <f t="shared" ref="AT50:AX50" si="70">SUM(AT47:AT49)</f>
        <v>0</v>
      </c>
      <c r="AU50" s="132">
        <f t="shared" si="70"/>
        <v>0</v>
      </c>
      <c r="AV50" s="132">
        <f t="shared" si="70"/>
        <v>0</v>
      </c>
      <c r="AW50" s="133">
        <f t="shared" si="70"/>
        <v>0</v>
      </c>
      <c r="AX50" s="127">
        <f t="shared" si="70"/>
        <v>0</v>
      </c>
      <c r="AY50" s="144" t="s">
        <v>161</v>
      </c>
      <c r="AZ50" s="140">
        <f t="shared" ref="AZ50:BB50" si="71">SUM(AZ47:AZ49)</f>
        <v>0</v>
      </c>
      <c r="BA50" s="140">
        <f t="shared" si="71"/>
        <v>0</v>
      </c>
      <c r="BB50" s="140">
        <f t="shared" si="71"/>
        <v>0</v>
      </c>
      <c r="BC50" s="479" t="s">
        <v>263</v>
      </c>
      <c r="BD50" s="480"/>
      <c r="BE50" s="15"/>
      <c r="BF50" s="18"/>
      <c r="BG50" s="15"/>
      <c r="BH50" s="18"/>
      <c r="BI50" s="15"/>
      <c r="BJ50" s="18"/>
      <c r="BK50" s="15"/>
      <c r="BL50" s="18"/>
      <c r="BM50" s="15"/>
      <c r="BN50" s="18"/>
      <c r="BO50" s="15"/>
      <c r="BP50" s="18"/>
      <c r="BQ50" s="109">
        <f t="shared" si="4"/>
        <v>0</v>
      </c>
      <c r="BR50" s="568"/>
      <c r="BS50" s="573"/>
      <c r="BT50" s="574"/>
      <c r="BU50" s="559"/>
      <c r="BV50" s="562"/>
      <c r="BW50" s="565"/>
      <c r="BX50" s="617"/>
    </row>
    <row r="51" spans="1:76" x14ac:dyDescent="0.25">
      <c r="A51" s="585">
        <v>11</v>
      </c>
      <c r="B51" s="588"/>
      <c r="C51" s="589"/>
      <c r="D51" s="604"/>
      <c r="E51" s="515"/>
      <c r="F51" s="516"/>
      <c r="G51" s="521"/>
      <c r="H51" s="522"/>
      <c r="I51" s="527"/>
      <c r="J51" s="528"/>
      <c r="K51" s="512">
        <f t="shared" ref="K51" si="72">INT(YEARFRAC(I51,AA51))</f>
        <v>0</v>
      </c>
      <c r="L51" s="533">
        <f t="shared" ref="L51" ca="1" si="73">INT(YEARFRAC(I51,TODAY()))</f>
        <v>121</v>
      </c>
      <c r="M51" s="536"/>
      <c r="N51" s="539"/>
      <c r="O51" s="540"/>
      <c r="P51" s="481"/>
      <c r="Q51" s="482"/>
      <c r="R51" s="515"/>
      <c r="S51" s="516"/>
      <c r="T51" s="487"/>
      <c r="U51" s="488"/>
      <c r="V51" s="491"/>
      <c r="W51" s="481"/>
      <c r="X51" s="494"/>
      <c r="Y51" s="482"/>
      <c r="Z51" s="497"/>
      <c r="AA51" s="500"/>
      <c r="AB51" s="501"/>
      <c r="AC51" s="506" t="s">
        <v>257</v>
      </c>
      <c r="AD51" s="507"/>
      <c r="AE51" s="507"/>
      <c r="AF51" s="510"/>
      <c r="AG51" s="510"/>
      <c r="AH51" s="510"/>
      <c r="AI51" s="510"/>
      <c r="AJ51" s="510"/>
      <c r="AK51" s="510"/>
      <c r="AL51" s="510"/>
      <c r="AM51" s="510"/>
      <c r="AN51" s="510">
        <v>4</v>
      </c>
      <c r="AO51" s="510"/>
      <c r="AP51" s="510"/>
      <c r="AQ51" s="465"/>
      <c r="AR51" s="467">
        <f t="shared" ref="AR51" si="74">SUM(AF51:AQ52)</f>
        <v>4</v>
      </c>
      <c r="AS51" s="119" t="s">
        <v>257</v>
      </c>
      <c r="AT51" s="120">
        <v>4</v>
      </c>
      <c r="AU51" s="120"/>
      <c r="AV51" s="120"/>
      <c r="AW51" s="121"/>
      <c r="AX51" s="125">
        <f t="shared" ref="AX51:AX53" si="75">SUM(AT51:AW51)</f>
        <v>4</v>
      </c>
      <c r="AY51" s="141" t="s">
        <v>257</v>
      </c>
      <c r="AZ51" s="137">
        <v>4</v>
      </c>
      <c r="BA51" s="137">
        <v>0</v>
      </c>
      <c r="BB51" s="134">
        <f t="shared" ref="BB51:BB53" si="76">AZ51-BA51</f>
        <v>4</v>
      </c>
      <c r="BC51" s="469" t="s">
        <v>258</v>
      </c>
      <c r="BD51" s="470"/>
      <c r="BE51" s="13"/>
      <c r="BF51" s="16"/>
      <c r="BG51" s="13"/>
      <c r="BH51" s="16"/>
      <c r="BI51" s="13"/>
      <c r="BJ51" s="16"/>
      <c r="BK51" s="13"/>
      <c r="BL51" s="16"/>
      <c r="BM51" s="13"/>
      <c r="BN51" s="16"/>
      <c r="BO51" s="13"/>
      <c r="BP51" s="16"/>
      <c r="BQ51" s="106">
        <f t="shared" si="4"/>
        <v>0</v>
      </c>
      <c r="BR51" s="566"/>
      <c r="BS51" s="569"/>
      <c r="BT51" s="570"/>
      <c r="BU51" s="557"/>
      <c r="BV51" s="560"/>
      <c r="BW51" s="563"/>
      <c r="BX51" s="615"/>
    </row>
    <row r="52" spans="1:76" x14ac:dyDescent="0.25">
      <c r="A52" s="586"/>
      <c r="B52" s="590"/>
      <c r="C52" s="591"/>
      <c r="D52" s="605"/>
      <c r="E52" s="517"/>
      <c r="F52" s="518"/>
      <c r="G52" s="523"/>
      <c r="H52" s="524"/>
      <c r="I52" s="529"/>
      <c r="J52" s="530"/>
      <c r="K52" s="513"/>
      <c r="L52" s="534"/>
      <c r="M52" s="537"/>
      <c r="N52" s="541"/>
      <c r="O52" s="542"/>
      <c r="P52" s="483"/>
      <c r="Q52" s="484"/>
      <c r="R52" s="517"/>
      <c r="S52" s="518"/>
      <c r="T52" s="487"/>
      <c r="U52" s="488"/>
      <c r="V52" s="492"/>
      <c r="W52" s="483"/>
      <c r="X52" s="495"/>
      <c r="Y52" s="484"/>
      <c r="Z52" s="498"/>
      <c r="AA52" s="502"/>
      <c r="AB52" s="503"/>
      <c r="AC52" s="508"/>
      <c r="AD52" s="509"/>
      <c r="AE52" s="509"/>
      <c r="AF52" s="511"/>
      <c r="AG52" s="511"/>
      <c r="AH52" s="511"/>
      <c r="AI52" s="511"/>
      <c r="AJ52" s="511"/>
      <c r="AK52" s="511"/>
      <c r="AL52" s="511"/>
      <c r="AM52" s="511"/>
      <c r="AN52" s="511"/>
      <c r="AO52" s="511"/>
      <c r="AP52" s="511"/>
      <c r="AQ52" s="466"/>
      <c r="AR52" s="468"/>
      <c r="AS52" s="122" t="s">
        <v>259</v>
      </c>
      <c r="AT52" s="123"/>
      <c r="AU52" s="123"/>
      <c r="AV52" s="123"/>
      <c r="AW52" s="124"/>
      <c r="AX52" s="126">
        <f t="shared" si="75"/>
        <v>0</v>
      </c>
      <c r="AY52" s="142" t="s">
        <v>259</v>
      </c>
      <c r="AZ52" s="138"/>
      <c r="BA52" s="138"/>
      <c r="BB52" s="135">
        <f t="shared" si="76"/>
        <v>0</v>
      </c>
      <c r="BC52" s="474" t="s">
        <v>260</v>
      </c>
      <c r="BD52" s="475"/>
      <c r="BE52" s="14"/>
      <c r="BF52" s="17"/>
      <c r="BG52" s="14"/>
      <c r="BH52" s="17"/>
      <c r="BI52" s="14"/>
      <c r="BJ52" s="17"/>
      <c r="BK52" s="14"/>
      <c r="BL52" s="17"/>
      <c r="BM52" s="14"/>
      <c r="BN52" s="17"/>
      <c r="BO52" s="14"/>
      <c r="BP52" s="17"/>
      <c r="BQ52" s="107">
        <f t="shared" si="4"/>
        <v>0</v>
      </c>
      <c r="BR52" s="567"/>
      <c r="BS52" s="571"/>
      <c r="BT52" s="572"/>
      <c r="BU52" s="558"/>
      <c r="BV52" s="561"/>
      <c r="BW52" s="564"/>
      <c r="BX52" s="616"/>
    </row>
    <row r="53" spans="1:76" ht="15.75" thickBot="1" x14ac:dyDescent="0.3">
      <c r="A53" s="586"/>
      <c r="B53" s="590"/>
      <c r="C53" s="591"/>
      <c r="D53" s="605"/>
      <c r="E53" s="517"/>
      <c r="F53" s="518"/>
      <c r="G53" s="523"/>
      <c r="H53" s="524"/>
      <c r="I53" s="529"/>
      <c r="J53" s="530"/>
      <c r="K53" s="513"/>
      <c r="L53" s="534"/>
      <c r="M53" s="537"/>
      <c r="N53" s="541"/>
      <c r="O53" s="542"/>
      <c r="P53" s="483"/>
      <c r="Q53" s="484"/>
      <c r="R53" s="517"/>
      <c r="S53" s="518"/>
      <c r="T53" s="487"/>
      <c r="U53" s="488"/>
      <c r="V53" s="492"/>
      <c r="W53" s="483"/>
      <c r="X53" s="495"/>
      <c r="Y53" s="484"/>
      <c r="Z53" s="498"/>
      <c r="AA53" s="502"/>
      <c r="AB53" s="503"/>
      <c r="AC53" s="471" t="s">
        <v>259</v>
      </c>
      <c r="AD53" s="472"/>
      <c r="AE53" s="473"/>
      <c r="AF53" s="100"/>
      <c r="AG53" s="100"/>
      <c r="AH53" s="100"/>
      <c r="AI53" s="100"/>
      <c r="AJ53" s="100"/>
      <c r="AK53" s="100"/>
      <c r="AL53" s="100"/>
      <c r="AM53" s="100"/>
      <c r="AN53" s="100"/>
      <c r="AO53" s="100"/>
      <c r="AP53" s="100"/>
      <c r="AQ53" s="101"/>
      <c r="AR53" s="104">
        <f t="shared" ref="AR53:AR54" si="77">SUM(AF53:AQ53)</f>
        <v>0</v>
      </c>
      <c r="AS53" s="128" t="s">
        <v>261</v>
      </c>
      <c r="AT53" s="129"/>
      <c r="AU53" s="129"/>
      <c r="AV53" s="129"/>
      <c r="AW53" s="130"/>
      <c r="AX53" s="126">
        <f t="shared" si="75"/>
        <v>0</v>
      </c>
      <c r="AY53" s="143" t="s">
        <v>261</v>
      </c>
      <c r="AZ53" s="139"/>
      <c r="BA53" s="139"/>
      <c r="BB53" s="136">
        <f t="shared" si="76"/>
        <v>0</v>
      </c>
      <c r="BC53" s="474" t="s">
        <v>262</v>
      </c>
      <c r="BD53" s="475"/>
      <c r="BE53" s="14"/>
      <c r="BF53" s="17"/>
      <c r="BG53" s="14"/>
      <c r="BH53" s="17"/>
      <c r="BI53" s="14"/>
      <c r="BJ53" s="17"/>
      <c r="BK53" s="14"/>
      <c r="BL53" s="17"/>
      <c r="BM53" s="14"/>
      <c r="BN53" s="17"/>
      <c r="BO53" s="14"/>
      <c r="BP53" s="17"/>
      <c r="BQ53" s="108">
        <f t="shared" si="4"/>
        <v>0</v>
      </c>
      <c r="BR53" s="567"/>
      <c r="BS53" s="571"/>
      <c r="BT53" s="572"/>
      <c r="BU53" s="558"/>
      <c r="BV53" s="561"/>
      <c r="BW53" s="564"/>
      <c r="BX53" s="616"/>
    </row>
    <row r="54" spans="1:76" ht="15.75" thickBot="1" x14ac:dyDescent="0.3">
      <c r="A54" s="587"/>
      <c r="B54" s="592"/>
      <c r="C54" s="593"/>
      <c r="D54" s="606"/>
      <c r="E54" s="519"/>
      <c r="F54" s="520"/>
      <c r="G54" s="525"/>
      <c r="H54" s="526"/>
      <c r="I54" s="531"/>
      <c r="J54" s="532"/>
      <c r="K54" s="514"/>
      <c r="L54" s="535"/>
      <c r="M54" s="538"/>
      <c r="N54" s="543"/>
      <c r="O54" s="544"/>
      <c r="P54" s="485"/>
      <c r="Q54" s="486"/>
      <c r="R54" s="519"/>
      <c r="S54" s="520"/>
      <c r="T54" s="489"/>
      <c r="U54" s="490"/>
      <c r="V54" s="493"/>
      <c r="W54" s="485"/>
      <c r="X54" s="496"/>
      <c r="Y54" s="486"/>
      <c r="Z54" s="499"/>
      <c r="AA54" s="504"/>
      <c r="AB54" s="505"/>
      <c r="AC54" s="476" t="s">
        <v>261</v>
      </c>
      <c r="AD54" s="477"/>
      <c r="AE54" s="478"/>
      <c r="AF54" s="102"/>
      <c r="AG54" s="102"/>
      <c r="AH54" s="102"/>
      <c r="AI54" s="102"/>
      <c r="AJ54" s="102"/>
      <c r="AK54" s="102"/>
      <c r="AL54" s="102"/>
      <c r="AM54" s="102"/>
      <c r="AN54" s="102"/>
      <c r="AO54" s="102"/>
      <c r="AP54" s="102"/>
      <c r="AQ54" s="103"/>
      <c r="AR54" s="105">
        <f t="shared" si="77"/>
        <v>0</v>
      </c>
      <c r="AS54" s="131" t="s">
        <v>161</v>
      </c>
      <c r="AT54" s="132">
        <f t="shared" ref="AT54:AX54" si="78">SUM(AT51:AT53)</f>
        <v>4</v>
      </c>
      <c r="AU54" s="132">
        <f t="shared" si="78"/>
        <v>0</v>
      </c>
      <c r="AV54" s="132">
        <f t="shared" si="78"/>
        <v>0</v>
      </c>
      <c r="AW54" s="133">
        <f t="shared" si="78"/>
        <v>0</v>
      </c>
      <c r="AX54" s="127">
        <f t="shared" si="78"/>
        <v>4</v>
      </c>
      <c r="AY54" s="144" t="s">
        <v>161</v>
      </c>
      <c r="AZ54" s="140">
        <f t="shared" ref="AZ54:BB54" si="79">SUM(AZ51:AZ53)</f>
        <v>4</v>
      </c>
      <c r="BA54" s="140">
        <f t="shared" si="79"/>
        <v>0</v>
      </c>
      <c r="BB54" s="140">
        <f t="shared" si="79"/>
        <v>4</v>
      </c>
      <c r="BC54" s="479" t="s">
        <v>263</v>
      </c>
      <c r="BD54" s="480"/>
      <c r="BE54" s="15"/>
      <c r="BF54" s="18"/>
      <c r="BG54" s="15"/>
      <c r="BH54" s="18"/>
      <c r="BI54" s="15"/>
      <c r="BJ54" s="18"/>
      <c r="BK54" s="15"/>
      <c r="BL54" s="18"/>
      <c r="BM54" s="15"/>
      <c r="BN54" s="18"/>
      <c r="BO54" s="15"/>
      <c r="BP54" s="18"/>
      <c r="BQ54" s="109">
        <f t="shared" si="4"/>
        <v>0</v>
      </c>
      <c r="BR54" s="568"/>
      <c r="BS54" s="573"/>
      <c r="BT54" s="574"/>
      <c r="BU54" s="559"/>
      <c r="BV54" s="562"/>
      <c r="BW54" s="565"/>
      <c r="BX54" s="617"/>
    </row>
    <row r="55" spans="1:76" ht="15.75" thickTop="1" x14ac:dyDescent="0.25">
      <c r="A55" s="585">
        <v>12</v>
      </c>
      <c r="B55" s="588"/>
      <c r="C55" s="589"/>
      <c r="D55" s="604"/>
      <c r="E55" s="515"/>
      <c r="F55" s="516"/>
      <c r="G55" s="521"/>
      <c r="H55" s="522"/>
      <c r="I55" s="527"/>
      <c r="J55" s="528"/>
      <c r="K55" s="512">
        <f t="shared" ref="K55" si="80">INT(YEARFRAC(I55,AA55))</f>
        <v>0</v>
      </c>
      <c r="L55" s="533">
        <f t="shared" ref="L55" ca="1" si="81">INT(YEARFRAC(I55,TODAY()))</f>
        <v>121</v>
      </c>
      <c r="M55" s="536"/>
      <c r="N55" s="539"/>
      <c r="O55" s="540"/>
      <c r="P55" s="481"/>
      <c r="Q55" s="482"/>
      <c r="R55" s="515"/>
      <c r="S55" s="516"/>
      <c r="T55" s="487"/>
      <c r="U55" s="488"/>
      <c r="V55" s="491"/>
      <c r="W55" s="481"/>
      <c r="X55" s="494"/>
      <c r="Y55" s="482"/>
      <c r="Z55" s="497"/>
      <c r="AA55" s="500"/>
      <c r="AB55" s="501"/>
      <c r="AC55" s="506" t="s">
        <v>257</v>
      </c>
      <c r="AD55" s="507"/>
      <c r="AE55" s="507"/>
      <c r="AF55" s="510"/>
      <c r="AG55" s="510"/>
      <c r="AH55" s="510"/>
      <c r="AI55" s="510"/>
      <c r="AJ55" s="510"/>
      <c r="AK55" s="510"/>
      <c r="AL55" s="510"/>
      <c r="AM55" s="510"/>
      <c r="AN55" s="510"/>
      <c r="AO55" s="510"/>
      <c r="AP55" s="510"/>
      <c r="AQ55" s="465"/>
      <c r="AR55" s="467">
        <f t="shared" ref="AR55" si="82">SUM(AF55:AQ56)</f>
        <v>0</v>
      </c>
      <c r="AS55" s="119" t="s">
        <v>257</v>
      </c>
      <c r="AT55" s="120"/>
      <c r="AU55" s="120"/>
      <c r="AV55" s="120"/>
      <c r="AW55" s="121"/>
      <c r="AX55" s="125">
        <f t="shared" ref="AX55:AX57" si="83">SUM(AT55:AW55)</f>
        <v>0</v>
      </c>
      <c r="AY55" s="141" t="s">
        <v>257</v>
      </c>
      <c r="AZ55" s="137"/>
      <c r="BA55" s="137"/>
      <c r="BB55" s="134">
        <f t="shared" ref="BB55:BB57" si="84">AZ55-BA55</f>
        <v>0</v>
      </c>
      <c r="BC55" s="469" t="s">
        <v>258</v>
      </c>
      <c r="BD55" s="470"/>
      <c r="BE55" s="13"/>
      <c r="BF55" s="16"/>
      <c r="BG55" s="13"/>
      <c r="BH55" s="16"/>
      <c r="BI55" s="13"/>
      <c r="BJ55" s="16"/>
      <c r="BK55" s="13"/>
      <c r="BL55" s="16"/>
      <c r="BM55" s="13"/>
      <c r="BN55" s="16"/>
      <c r="BO55" s="13"/>
      <c r="BP55" s="16"/>
      <c r="BQ55" s="106">
        <f t="shared" si="4"/>
        <v>0</v>
      </c>
      <c r="BR55" s="566"/>
      <c r="BS55" s="569"/>
      <c r="BT55" s="570"/>
      <c r="BU55" s="557"/>
      <c r="BV55" s="560"/>
      <c r="BW55" s="563"/>
      <c r="BX55" s="615"/>
    </row>
    <row r="56" spans="1:76" x14ac:dyDescent="0.25">
      <c r="A56" s="586"/>
      <c r="B56" s="590"/>
      <c r="C56" s="591"/>
      <c r="D56" s="605"/>
      <c r="E56" s="517"/>
      <c r="F56" s="518"/>
      <c r="G56" s="523"/>
      <c r="H56" s="524"/>
      <c r="I56" s="529"/>
      <c r="J56" s="530"/>
      <c r="K56" s="513"/>
      <c r="L56" s="534"/>
      <c r="M56" s="537"/>
      <c r="N56" s="541"/>
      <c r="O56" s="542"/>
      <c r="P56" s="483"/>
      <c r="Q56" s="484"/>
      <c r="R56" s="517"/>
      <c r="S56" s="518"/>
      <c r="T56" s="487"/>
      <c r="U56" s="488"/>
      <c r="V56" s="492"/>
      <c r="W56" s="483"/>
      <c r="X56" s="495"/>
      <c r="Y56" s="484"/>
      <c r="Z56" s="498"/>
      <c r="AA56" s="502"/>
      <c r="AB56" s="503"/>
      <c r="AC56" s="508"/>
      <c r="AD56" s="509"/>
      <c r="AE56" s="509"/>
      <c r="AF56" s="511"/>
      <c r="AG56" s="511"/>
      <c r="AH56" s="511"/>
      <c r="AI56" s="511"/>
      <c r="AJ56" s="511"/>
      <c r="AK56" s="511"/>
      <c r="AL56" s="511"/>
      <c r="AM56" s="511"/>
      <c r="AN56" s="511"/>
      <c r="AO56" s="511"/>
      <c r="AP56" s="511"/>
      <c r="AQ56" s="466"/>
      <c r="AR56" s="468"/>
      <c r="AS56" s="122" t="s">
        <v>259</v>
      </c>
      <c r="AT56" s="123"/>
      <c r="AU56" s="123"/>
      <c r="AV56" s="123"/>
      <c r="AW56" s="124"/>
      <c r="AX56" s="126">
        <f t="shared" si="83"/>
        <v>0</v>
      </c>
      <c r="AY56" s="142" t="s">
        <v>259</v>
      </c>
      <c r="AZ56" s="138"/>
      <c r="BA56" s="138"/>
      <c r="BB56" s="135">
        <f t="shared" si="84"/>
        <v>0</v>
      </c>
      <c r="BC56" s="474" t="s">
        <v>260</v>
      </c>
      <c r="BD56" s="475"/>
      <c r="BE56" s="14"/>
      <c r="BF56" s="17"/>
      <c r="BG56" s="14"/>
      <c r="BH56" s="17"/>
      <c r="BI56" s="14"/>
      <c r="BJ56" s="17"/>
      <c r="BK56" s="14"/>
      <c r="BL56" s="17"/>
      <c r="BM56" s="14"/>
      <c r="BN56" s="17"/>
      <c r="BO56" s="14"/>
      <c r="BP56" s="17"/>
      <c r="BQ56" s="107">
        <f t="shared" si="4"/>
        <v>0</v>
      </c>
      <c r="BR56" s="567"/>
      <c r="BS56" s="571"/>
      <c r="BT56" s="572"/>
      <c r="BU56" s="558"/>
      <c r="BV56" s="561"/>
      <c r="BW56" s="564"/>
      <c r="BX56" s="616"/>
    </row>
    <row r="57" spans="1:76" ht="15.75" thickBot="1" x14ac:dyDescent="0.3">
      <c r="A57" s="586"/>
      <c r="B57" s="590"/>
      <c r="C57" s="591"/>
      <c r="D57" s="605"/>
      <c r="E57" s="517"/>
      <c r="F57" s="518"/>
      <c r="G57" s="523"/>
      <c r="H57" s="524"/>
      <c r="I57" s="529"/>
      <c r="J57" s="530"/>
      <c r="K57" s="513"/>
      <c r="L57" s="534"/>
      <c r="M57" s="537"/>
      <c r="N57" s="541"/>
      <c r="O57" s="542"/>
      <c r="P57" s="483"/>
      <c r="Q57" s="484"/>
      <c r="R57" s="517"/>
      <c r="S57" s="518"/>
      <c r="T57" s="487"/>
      <c r="U57" s="488"/>
      <c r="V57" s="492"/>
      <c r="W57" s="483"/>
      <c r="X57" s="495"/>
      <c r="Y57" s="484"/>
      <c r="Z57" s="498"/>
      <c r="AA57" s="502"/>
      <c r="AB57" s="503"/>
      <c r="AC57" s="471" t="s">
        <v>259</v>
      </c>
      <c r="AD57" s="472"/>
      <c r="AE57" s="473"/>
      <c r="AF57" s="100"/>
      <c r="AG57" s="100"/>
      <c r="AH57" s="100"/>
      <c r="AI57" s="100"/>
      <c r="AJ57" s="100"/>
      <c r="AK57" s="100"/>
      <c r="AL57" s="100"/>
      <c r="AM57" s="100"/>
      <c r="AN57" s="100"/>
      <c r="AO57" s="100"/>
      <c r="AP57" s="100"/>
      <c r="AQ57" s="101"/>
      <c r="AR57" s="104">
        <f t="shared" ref="AR57:AR58" si="85">SUM(AF57:AQ57)</f>
        <v>0</v>
      </c>
      <c r="AS57" s="128" t="s">
        <v>261</v>
      </c>
      <c r="AT57" s="129"/>
      <c r="AU57" s="129"/>
      <c r="AV57" s="129"/>
      <c r="AW57" s="130"/>
      <c r="AX57" s="126">
        <f t="shared" si="83"/>
        <v>0</v>
      </c>
      <c r="AY57" s="143" t="s">
        <v>261</v>
      </c>
      <c r="AZ57" s="139"/>
      <c r="BA57" s="139"/>
      <c r="BB57" s="136">
        <f t="shared" si="84"/>
        <v>0</v>
      </c>
      <c r="BC57" s="474" t="s">
        <v>262</v>
      </c>
      <c r="BD57" s="475"/>
      <c r="BE57" s="14"/>
      <c r="BF57" s="17"/>
      <c r="BG57" s="14"/>
      <c r="BH57" s="17"/>
      <c r="BI57" s="14"/>
      <c r="BJ57" s="17"/>
      <c r="BK57" s="14"/>
      <c r="BL57" s="17"/>
      <c r="BM57" s="14"/>
      <c r="BN57" s="17"/>
      <c r="BO57" s="14"/>
      <c r="BP57" s="17"/>
      <c r="BQ57" s="108">
        <f t="shared" si="4"/>
        <v>0</v>
      </c>
      <c r="BR57" s="567"/>
      <c r="BS57" s="571"/>
      <c r="BT57" s="572"/>
      <c r="BU57" s="558"/>
      <c r="BV57" s="561"/>
      <c r="BW57" s="564"/>
      <c r="BX57" s="616"/>
    </row>
    <row r="58" spans="1:76" ht="15.75" thickBot="1" x14ac:dyDescent="0.3">
      <c r="A58" s="587"/>
      <c r="B58" s="592"/>
      <c r="C58" s="593"/>
      <c r="D58" s="606"/>
      <c r="E58" s="519"/>
      <c r="F58" s="520"/>
      <c r="G58" s="525"/>
      <c r="H58" s="526"/>
      <c r="I58" s="531"/>
      <c r="J58" s="532"/>
      <c r="K58" s="514"/>
      <c r="L58" s="535"/>
      <c r="M58" s="538"/>
      <c r="N58" s="543"/>
      <c r="O58" s="544"/>
      <c r="P58" s="485"/>
      <c r="Q58" s="486"/>
      <c r="R58" s="519"/>
      <c r="S58" s="520"/>
      <c r="T58" s="489"/>
      <c r="U58" s="490"/>
      <c r="V58" s="493"/>
      <c r="W58" s="485"/>
      <c r="X58" s="496"/>
      <c r="Y58" s="486"/>
      <c r="Z58" s="499"/>
      <c r="AA58" s="504"/>
      <c r="AB58" s="505"/>
      <c r="AC58" s="476" t="s">
        <v>261</v>
      </c>
      <c r="AD58" s="477"/>
      <c r="AE58" s="478"/>
      <c r="AF58" s="102"/>
      <c r="AG58" s="102"/>
      <c r="AH58" s="102"/>
      <c r="AI58" s="102"/>
      <c r="AJ58" s="102"/>
      <c r="AK58" s="102"/>
      <c r="AL58" s="102"/>
      <c r="AM58" s="102"/>
      <c r="AN58" s="102"/>
      <c r="AO58" s="102"/>
      <c r="AP58" s="102"/>
      <c r="AQ58" s="103"/>
      <c r="AR58" s="105">
        <f t="shared" si="85"/>
        <v>0</v>
      </c>
      <c r="AS58" s="131" t="s">
        <v>161</v>
      </c>
      <c r="AT58" s="132">
        <f t="shared" ref="AT58:AX58" si="86">SUM(AT55:AT57)</f>
        <v>0</v>
      </c>
      <c r="AU58" s="132">
        <f t="shared" si="86"/>
        <v>0</v>
      </c>
      <c r="AV58" s="132">
        <f t="shared" si="86"/>
        <v>0</v>
      </c>
      <c r="AW58" s="133">
        <f t="shared" si="86"/>
        <v>0</v>
      </c>
      <c r="AX58" s="127">
        <f t="shared" si="86"/>
        <v>0</v>
      </c>
      <c r="AY58" s="144" t="s">
        <v>161</v>
      </c>
      <c r="AZ58" s="140">
        <f t="shared" ref="AZ58:BB58" si="87">SUM(AZ55:AZ57)</f>
        <v>0</v>
      </c>
      <c r="BA58" s="140">
        <f t="shared" si="87"/>
        <v>0</v>
      </c>
      <c r="BB58" s="140">
        <f t="shared" si="87"/>
        <v>0</v>
      </c>
      <c r="BC58" s="479" t="s">
        <v>263</v>
      </c>
      <c r="BD58" s="480"/>
      <c r="BE58" s="15"/>
      <c r="BF58" s="18"/>
      <c r="BG58" s="15"/>
      <c r="BH58" s="18"/>
      <c r="BI58" s="15"/>
      <c r="BJ58" s="18"/>
      <c r="BK58" s="15"/>
      <c r="BL58" s="18"/>
      <c r="BM58" s="15"/>
      <c r="BN58" s="18"/>
      <c r="BO58" s="15"/>
      <c r="BP58" s="18"/>
      <c r="BQ58" s="109">
        <f t="shared" si="4"/>
        <v>0</v>
      </c>
      <c r="BR58" s="568"/>
      <c r="BS58" s="573"/>
      <c r="BT58" s="574"/>
      <c r="BU58" s="559"/>
      <c r="BV58" s="562"/>
      <c r="BW58" s="565"/>
      <c r="BX58" s="617"/>
    </row>
    <row r="59" spans="1:76" ht="15.75" thickTop="1" x14ac:dyDescent="0.25">
      <c r="A59" s="585">
        <v>13</v>
      </c>
      <c r="B59" s="588"/>
      <c r="C59" s="589"/>
      <c r="D59" s="604"/>
      <c r="E59" s="515"/>
      <c r="F59" s="516"/>
      <c r="G59" s="521"/>
      <c r="H59" s="522"/>
      <c r="I59" s="527"/>
      <c r="J59" s="528"/>
      <c r="K59" s="512">
        <f t="shared" ref="K59" si="88">INT(YEARFRAC(I59,AA59))</f>
        <v>0</v>
      </c>
      <c r="L59" s="533">
        <f t="shared" ref="L59" ca="1" si="89">INT(YEARFRAC(I59,TODAY()))</f>
        <v>121</v>
      </c>
      <c r="M59" s="536"/>
      <c r="N59" s="539"/>
      <c r="O59" s="540"/>
      <c r="P59" s="481"/>
      <c r="Q59" s="482"/>
      <c r="R59" s="515"/>
      <c r="S59" s="516"/>
      <c r="T59" s="487"/>
      <c r="U59" s="488"/>
      <c r="V59" s="491"/>
      <c r="W59" s="481"/>
      <c r="X59" s="494"/>
      <c r="Y59" s="482"/>
      <c r="Z59" s="497"/>
      <c r="AA59" s="500"/>
      <c r="AB59" s="501"/>
      <c r="AC59" s="506" t="s">
        <v>257</v>
      </c>
      <c r="AD59" s="507"/>
      <c r="AE59" s="507"/>
      <c r="AF59" s="510"/>
      <c r="AG59" s="510"/>
      <c r="AH59" s="510"/>
      <c r="AI59" s="510"/>
      <c r="AJ59" s="510"/>
      <c r="AK59" s="510"/>
      <c r="AL59" s="510"/>
      <c r="AM59" s="510"/>
      <c r="AN59" s="510"/>
      <c r="AO59" s="510"/>
      <c r="AP59" s="510"/>
      <c r="AQ59" s="465"/>
      <c r="AR59" s="467">
        <f t="shared" ref="AR59" si="90">SUM(AF59:AQ60)</f>
        <v>0</v>
      </c>
      <c r="AS59" s="119" t="s">
        <v>257</v>
      </c>
      <c r="AT59" s="120"/>
      <c r="AU59" s="120"/>
      <c r="AV59" s="120"/>
      <c r="AW59" s="121"/>
      <c r="AX59" s="125">
        <f t="shared" ref="AX59:AX61" si="91">SUM(AT59:AW59)</f>
        <v>0</v>
      </c>
      <c r="AY59" s="141" t="s">
        <v>257</v>
      </c>
      <c r="AZ59" s="137"/>
      <c r="BA59" s="137"/>
      <c r="BB59" s="134">
        <f t="shared" ref="BB59:BB61" si="92">AZ59-BA59</f>
        <v>0</v>
      </c>
      <c r="BC59" s="469" t="s">
        <v>258</v>
      </c>
      <c r="BD59" s="470"/>
      <c r="BE59" s="13"/>
      <c r="BF59" s="16"/>
      <c r="BG59" s="13"/>
      <c r="BH59" s="16"/>
      <c r="BI59" s="13"/>
      <c r="BJ59" s="16"/>
      <c r="BK59" s="13"/>
      <c r="BL59" s="16"/>
      <c r="BM59" s="13"/>
      <c r="BN59" s="16"/>
      <c r="BO59" s="13"/>
      <c r="BP59" s="16"/>
      <c r="BQ59" s="106">
        <f t="shared" si="4"/>
        <v>0</v>
      </c>
      <c r="BR59" s="566"/>
      <c r="BS59" s="569"/>
      <c r="BT59" s="570"/>
      <c r="BU59" s="557"/>
      <c r="BV59" s="560"/>
      <c r="BW59" s="563"/>
      <c r="BX59" s="615"/>
    </row>
    <row r="60" spans="1:76" x14ac:dyDescent="0.25">
      <c r="A60" s="586"/>
      <c r="B60" s="590"/>
      <c r="C60" s="591"/>
      <c r="D60" s="605"/>
      <c r="E60" s="517"/>
      <c r="F60" s="518"/>
      <c r="G60" s="523"/>
      <c r="H60" s="524"/>
      <c r="I60" s="529"/>
      <c r="J60" s="530"/>
      <c r="K60" s="513"/>
      <c r="L60" s="534"/>
      <c r="M60" s="537"/>
      <c r="N60" s="541"/>
      <c r="O60" s="542"/>
      <c r="P60" s="483"/>
      <c r="Q60" s="484"/>
      <c r="R60" s="517"/>
      <c r="S60" s="518"/>
      <c r="T60" s="487"/>
      <c r="U60" s="488"/>
      <c r="V60" s="492"/>
      <c r="W60" s="483"/>
      <c r="X60" s="495"/>
      <c r="Y60" s="484"/>
      <c r="Z60" s="498"/>
      <c r="AA60" s="502"/>
      <c r="AB60" s="503"/>
      <c r="AC60" s="508"/>
      <c r="AD60" s="509"/>
      <c r="AE60" s="509"/>
      <c r="AF60" s="511"/>
      <c r="AG60" s="511"/>
      <c r="AH60" s="511"/>
      <c r="AI60" s="511"/>
      <c r="AJ60" s="511"/>
      <c r="AK60" s="511"/>
      <c r="AL60" s="511"/>
      <c r="AM60" s="511"/>
      <c r="AN60" s="511"/>
      <c r="AO60" s="511"/>
      <c r="AP60" s="511"/>
      <c r="AQ60" s="466"/>
      <c r="AR60" s="468"/>
      <c r="AS60" s="122" t="s">
        <v>259</v>
      </c>
      <c r="AT60" s="123"/>
      <c r="AU60" s="123"/>
      <c r="AV60" s="123"/>
      <c r="AW60" s="124"/>
      <c r="AX60" s="126">
        <f t="shared" si="91"/>
        <v>0</v>
      </c>
      <c r="AY60" s="142" t="s">
        <v>259</v>
      </c>
      <c r="AZ60" s="138"/>
      <c r="BA60" s="138"/>
      <c r="BB60" s="135">
        <f t="shared" si="92"/>
        <v>0</v>
      </c>
      <c r="BC60" s="474" t="s">
        <v>260</v>
      </c>
      <c r="BD60" s="475"/>
      <c r="BE60" s="14"/>
      <c r="BF60" s="17"/>
      <c r="BG60" s="14"/>
      <c r="BH60" s="17"/>
      <c r="BI60" s="14"/>
      <c r="BJ60" s="17"/>
      <c r="BK60" s="14"/>
      <c r="BL60" s="17"/>
      <c r="BM60" s="14"/>
      <c r="BN60" s="17"/>
      <c r="BO60" s="14"/>
      <c r="BP60" s="17"/>
      <c r="BQ60" s="107">
        <f t="shared" si="4"/>
        <v>0</v>
      </c>
      <c r="BR60" s="567"/>
      <c r="BS60" s="571"/>
      <c r="BT60" s="572"/>
      <c r="BU60" s="558"/>
      <c r="BV60" s="561"/>
      <c r="BW60" s="564"/>
      <c r="BX60" s="616"/>
    </row>
    <row r="61" spans="1:76" ht="15.75" thickBot="1" x14ac:dyDescent="0.3">
      <c r="A61" s="586"/>
      <c r="B61" s="590"/>
      <c r="C61" s="591"/>
      <c r="D61" s="605"/>
      <c r="E61" s="517"/>
      <c r="F61" s="518"/>
      <c r="G61" s="523"/>
      <c r="H61" s="524"/>
      <c r="I61" s="529"/>
      <c r="J61" s="530"/>
      <c r="K61" s="513"/>
      <c r="L61" s="534"/>
      <c r="M61" s="537"/>
      <c r="N61" s="541"/>
      <c r="O61" s="542"/>
      <c r="P61" s="483"/>
      <c r="Q61" s="484"/>
      <c r="R61" s="517"/>
      <c r="S61" s="518"/>
      <c r="T61" s="487"/>
      <c r="U61" s="488"/>
      <c r="V61" s="492"/>
      <c r="W61" s="483"/>
      <c r="X61" s="495"/>
      <c r="Y61" s="484"/>
      <c r="Z61" s="498"/>
      <c r="AA61" s="502"/>
      <c r="AB61" s="503"/>
      <c r="AC61" s="471" t="s">
        <v>259</v>
      </c>
      <c r="AD61" s="472"/>
      <c r="AE61" s="473"/>
      <c r="AF61" s="100"/>
      <c r="AG61" s="100"/>
      <c r="AH61" s="100"/>
      <c r="AI61" s="100"/>
      <c r="AJ61" s="100"/>
      <c r="AK61" s="100"/>
      <c r="AL61" s="100"/>
      <c r="AM61" s="100"/>
      <c r="AN61" s="100"/>
      <c r="AO61" s="100"/>
      <c r="AP61" s="100"/>
      <c r="AQ61" s="101"/>
      <c r="AR61" s="104">
        <f t="shared" ref="AR61:AR62" si="93">SUM(AF61:AQ61)</f>
        <v>0</v>
      </c>
      <c r="AS61" s="128" t="s">
        <v>261</v>
      </c>
      <c r="AT61" s="129"/>
      <c r="AU61" s="129"/>
      <c r="AV61" s="129"/>
      <c r="AW61" s="130"/>
      <c r="AX61" s="126">
        <f t="shared" si="91"/>
        <v>0</v>
      </c>
      <c r="AY61" s="143" t="s">
        <v>261</v>
      </c>
      <c r="AZ61" s="139"/>
      <c r="BA61" s="139"/>
      <c r="BB61" s="136">
        <f t="shared" si="92"/>
        <v>0</v>
      </c>
      <c r="BC61" s="474" t="s">
        <v>262</v>
      </c>
      <c r="BD61" s="475"/>
      <c r="BE61" s="14"/>
      <c r="BF61" s="17"/>
      <c r="BG61" s="14"/>
      <c r="BH61" s="17"/>
      <c r="BI61" s="14"/>
      <c r="BJ61" s="17"/>
      <c r="BK61" s="14"/>
      <c r="BL61" s="17"/>
      <c r="BM61" s="14"/>
      <c r="BN61" s="17"/>
      <c r="BO61" s="14"/>
      <c r="BP61" s="17"/>
      <c r="BQ61" s="108">
        <f t="shared" si="4"/>
        <v>0</v>
      </c>
      <c r="BR61" s="567"/>
      <c r="BS61" s="571"/>
      <c r="BT61" s="572"/>
      <c r="BU61" s="558"/>
      <c r="BV61" s="561"/>
      <c r="BW61" s="564"/>
      <c r="BX61" s="616"/>
    </row>
    <row r="62" spans="1:76" ht="15.75" thickBot="1" x14ac:dyDescent="0.3">
      <c r="A62" s="587"/>
      <c r="B62" s="592"/>
      <c r="C62" s="593"/>
      <c r="D62" s="606"/>
      <c r="E62" s="519"/>
      <c r="F62" s="520"/>
      <c r="G62" s="525"/>
      <c r="H62" s="526"/>
      <c r="I62" s="531"/>
      <c r="J62" s="532"/>
      <c r="K62" s="514"/>
      <c r="L62" s="535"/>
      <c r="M62" s="538"/>
      <c r="N62" s="543"/>
      <c r="O62" s="544"/>
      <c r="P62" s="485"/>
      <c r="Q62" s="486"/>
      <c r="R62" s="519"/>
      <c r="S62" s="520"/>
      <c r="T62" s="489"/>
      <c r="U62" s="490"/>
      <c r="V62" s="493"/>
      <c r="W62" s="485"/>
      <c r="X62" s="496"/>
      <c r="Y62" s="486"/>
      <c r="Z62" s="499"/>
      <c r="AA62" s="504"/>
      <c r="AB62" s="505"/>
      <c r="AC62" s="476" t="s">
        <v>261</v>
      </c>
      <c r="AD62" s="477"/>
      <c r="AE62" s="478"/>
      <c r="AF62" s="102"/>
      <c r="AG62" s="102"/>
      <c r="AH62" s="102"/>
      <c r="AI62" s="102"/>
      <c r="AJ62" s="102"/>
      <c r="AK62" s="102"/>
      <c r="AL62" s="102"/>
      <c r="AM62" s="102"/>
      <c r="AN62" s="102"/>
      <c r="AO62" s="102"/>
      <c r="AP62" s="102"/>
      <c r="AQ62" s="103"/>
      <c r="AR62" s="105">
        <f t="shared" si="93"/>
        <v>0</v>
      </c>
      <c r="AS62" s="131" t="s">
        <v>161</v>
      </c>
      <c r="AT62" s="132">
        <f t="shared" ref="AT62:AX62" si="94">SUM(AT59:AT61)</f>
        <v>0</v>
      </c>
      <c r="AU62" s="132">
        <f t="shared" si="94"/>
        <v>0</v>
      </c>
      <c r="AV62" s="132">
        <f t="shared" si="94"/>
        <v>0</v>
      </c>
      <c r="AW62" s="133">
        <f t="shared" si="94"/>
        <v>0</v>
      </c>
      <c r="AX62" s="127">
        <f t="shared" si="94"/>
        <v>0</v>
      </c>
      <c r="AY62" s="144" t="s">
        <v>161</v>
      </c>
      <c r="AZ62" s="140">
        <f t="shared" ref="AZ62:BB62" si="95">SUM(AZ59:AZ61)</f>
        <v>0</v>
      </c>
      <c r="BA62" s="140">
        <f t="shared" si="95"/>
        <v>0</v>
      </c>
      <c r="BB62" s="140">
        <f t="shared" si="95"/>
        <v>0</v>
      </c>
      <c r="BC62" s="479" t="s">
        <v>263</v>
      </c>
      <c r="BD62" s="480"/>
      <c r="BE62" s="15"/>
      <c r="BF62" s="18"/>
      <c r="BG62" s="15"/>
      <c r="BH62" s="18"/>
      <c r="BI62" s="15"/>
      <c r="BJ62" s="18"/>
      <c r="BK62" s="15"/>
      <c r="BL62" s="18"/>
      <c r="BM62" s="15"/>
      <c r="BN62" s="18"/>
      <c r="BO62" s="15"/>
      <c r="BP62" s="18"/>
      <c r="BQ62" s="109">
        <f t="shared" si="4"/>
        <v>0</v>
      </c>
      <c r="BR62" s="568"/>
      <c r="BS62" s="573"/>
      <c r="BT62" s="574"/>
      <c r="BU62" s="559"/>
      <c r="BV62" s="562"/>
      <c r="BW62" s="565"/>
      <c r="BX62" s="617"/>
    </row>
    <row r="63" spans="1:76" ht="15.75" thickTop="1" x14ac:dyDescent="0.25">
      <c r="A63" s="585">
        <v>14</v>
      </c>
      <c r="B63" s="588"/>
      <c r="C63" s="589"/>
      <c r="D63" s="604"/>
      <c r="E63" s="515"/>
      <c r="F63" s="516"/>
      <c r="G63" s="521"/>
      <c r="H63" s="522"/>
      <c r="I63" s="527"/>
      <c r="J63" s="528"/>
      <c r="K63" s="512">
        <f t="shared" ref="K63" si="96">INT(YEARFRAC(I63,AA63))</f>
        <v>0</v>
      </c>
      <c r="L63" s="533">
        <f t="shared" ref="L63" ca="1" si="97">INT(YEARFRAC(I63,TODAY()))</f>
        <v>121</v>
      </c>
      <c r="M63" s="536"/>
      <c r="N63" s="539"/>
      <c r="O63" s="540"/>
      <c r="P63" s="481"/>
      <c r="Q63" s="482"/>
      <c r="R63" s="515"/>
      <c r="S63" s="516"/>
      <c r="T63" s="487"/>
      <c r="U63" s="488"/>
      <c r="V63" s="491"/>
      <c r="W63" s="481"/>
      <c r="X63" s="494"/>
      <c r="Y63" s="482"/>
      <c r="Z63" s="497"/>
      <c r="AA63" s="500"/>
      <c r="AB63" s="501"/>
      <c r="AC63" s="506" t="s">
        <v>257</v>
      </c>
      <c r="AD63" s="507"/>
      <c r="AE63" s="507"/>
      <c r="AF63" s="510"/>
      <c r="AG63" s="510"/>
      <c r="AH63" s="510"/>
      <c r="AI63" s="510"/>
      <c r="AJ63" s="510"/>
      <c r="AK63" s="510"/>
      <c r="AL63" s="510"/>
      <c r="AM63" s="510"/>
      <c r="AN63" s="510"/>
      <c r="AO63" s="510"/>
      <c r="AP63" s="510"/>
      <c r="AQ63" s="465"/>
      <c r="AR63" s="467">
        <f t="shared" ref="AR63" si="98">SUM(AF63:AQ64)</f>
        <v>0</v>
      </c>
      <c r="AS63" s="119" t="s">
        <v>257</v>
      </c>
      <c r="AT63" s="120"/>
      <c r="AU63" s="120"/>
      <c r="AV63" s="120"/>
      <c r="AW63" s="121"/>
      <c r="AX63" s="125">
        <f t="shared" ref="AX63:AX65" si="99">SUM(AT63:AW63)</f>
        <v>0</v>
      </c>
      <c r="AY63" s="141" t="s">
        <v>257</v>
      </c>
      <c r="AZ63" s="137"/>
      <c r="BA63" s="137"/>
      <c r="BB63" s="134">
        <f t="shared" ref="BB63:BB65" si="100">AZ63-BA63</f>
        <v>0</v>
      </c>
      <c r="BC63" s="469" t="s">
        <v>258</v>
      </c>
      <c r="BD63" s="470"/>
      <c r="BE63" s="13"/>
      <c r="BF63" s="16"/>
      <c r="BG63" s="13"/>
      <c r="BH63" s="16"/>
      <c r="BI63" s="13"/>
      <c r="BJ63" s="16"/>
      <c r="BK63" s="13"/>
      <c r="BL63" s="16"/>
      <c r="BM63" s="13"/>
      <c r="BN63" s="16"/>
      <c r="BO63" s="13"/>
      <c r="BP63" s="16"/>
      <c r="BQ63" s="106">
        <f t="shared" si="4"/>
        <v>0</v>
      </c>
      <c r="BR63" s="566"/>
      <c r="BS63" s="569"/>
      <c r="BT63" s="570"/>
      <c r="BU63" s="557"/>
      <c r="BV63" s="560"/>
      <c r="BW63" s="563"/>
      <c r="BX63" s="615"/>
    </row>
    <row r="64" spans="1:76" x14ac:dyDescent="0.25">
      <c r="A64" s="586"/>
      <c r="B64" s="590"/>
      <c r="C64" s="591"/>
      <c r="D64" s="605"/>
      <c r="E64" s="517"/>
      <c r="F64" s="518"/>
      <c r="G64" s="523"/>
      <c r="H64" s="524"/>
      <c r="I64" s="529"/>
      <c r="J64" s="530"/>
      <c r="K64" s="513"/>
      <c r="L64" s="534"/>
      <c r="M64" s="537"/>
      <c r="N64" s="541"/>
      <c r="O64" s="542"/>
      <c r="P64" s="483"/>
      <c r="Q64" s="484"/>
      <c r="R64" s="517"/>
      <c r="S64" s="518"/>
      <c r="T64" s="487"/>
      <c r="U64" s="488"/>
      <c r="V64" s="492"/>
      <c r="W64" s="483"/>
      <c r="X64" s="495"/>
      <c r="Y64" s="484"/>
      <c r="Z64" s="498"/>
      <c r="AA64" s="502"/>
      <c r="AB64" s="503"/>
      <c r="AC64" s="508"/>
      <c r="AD64" s="509"/>
      <c r="AE64" s="509"/>
      <c r="AF64" s="511"/>
      <c r="AG64" s="511"/>
      <c r="AH64" s="511"/>
      <c r="AI64" s="511"/>
      <c r="AJ64" s="511"/>
      <c r="AK64" s="511"/>
      <c r="AL64" s="511"/>
      <c r="AM64" s="511"/>
      <c r="AN64" s="511"/>
      <c r="AO64" s="511"/>
      <c r="AP64" s="511"/>
      <c r="AQ64" s="466"/>
      <c r="AR64" s="468"/>
      <c r="AS64" s="122" t="s">
        <v>259</v>
      </c>
      <c r="AT64" s="123"/>
      <c r="AU64" s="123"/>
      <c r="AV64" s="123"/>
      <c r="AW64" s="124"/>
      <c r="AX64" s="126">
        <f t="shared" si="99"/>
        <v>0</v>
      </c>
      <c r="AY64" s="142" t="s">
        <v>259</v>
      </c>
      <c r="AZ64" s="138"/>
      <c r="BA64" s="138"/>
      <c r="BB64" s="135">
        <f t="shared" si="100"/>
        <v>0</v>
      </c>
      <c r="BC64" s="474" t="s">
        <v>260</v>
      </c>
      <c r="BD64" s="475"/>
      <c r="BE64" s="14"/>
      <c r="BF64" s="17"/>
      <c r="BG64" s="14"/>
      <c r="BH64" s="17"/>
      <c r="BI64" s="14"/>
      <c r="BJ64" s="17"/>
      <c r="BK64" s="14"/>
      <c r="BL64" s="17"/>
      <c r="BM64" s="14"/>
      <c r="BN64" s="17"/>
      <c r="BO64" s="14"/>
      <c r="BP64" s="17"/>
      <c r="BQ64" s="107">
        <f t="shared" si="4"/>
        <v>0</v>
      </c>
      <c r="BR64" s="567"/>
      <c r="BS64" s="571"/>
      <c r="BT64" s="572"/>
      <c r="BU64" s="558"/>
      <c r="BV64" s="561"/>
      <c r="BW64" s="564"/>
      <c r="BX64" s="616"/>
    </row>
    <row r="65" spans="1:76" ht="15.75" thickBot="1" x14ac:dyDescent="0.3">
      <c r="A65" s="586"/>
      <c r="B65" s="590"/>
      <c r="C65" s="591"/>
      <c r="D65" s="605"/>
      <c r="E65" s="517"/>
      <c r="F65" s="518"/>
      <c r="G65" s="523"/>
      <c r="H65" s="524"/>
      <c r="I65" s="529"/>
      <c r="J65" s="530"/>
      <c r="K65" s="513"/>
      <c r="L65" s="534"/>
      <c r="M65" s="537"/>
      <c r="N65" s="541"/>
      <c r="O65" s="542"/>
      <c r="P65" s="483"/>
      <c r="Q65" s="484"/>
      <c r="R65" s="517"/>
      <c r="S65" s="518"/>
      <c r="T65" s="487"/>
      <c r="U65" s="488"/>
      <c r="V65" s="492"/>
      <c r="W65" s="483"/>
      <c r="X65" s="495"/>
      <c r="Y65" s="484"/>
      <c r="Z65" s="498"/>
      <c r="AA65" s="502"/>
      <c r="AB65" s="503"/>
      <c r="AC65" s="471" t="s">
        <v>259</v>
      </c>
      <c r="AD65" s="472"/>
      <c r="AE65" s="473"/>
      <c r="AF65" s="100"/>
      <c r="AG65" s="100"/>
      <c r="AH65" s="100"/>
      <c r="AI65" s="100"/>
      <c r="AJ65" s="100"/>
      <c r="AK65" s="100"/>
      <c r="AL65" s="100"/>
      <c r="AM65" s="100"/>
      <c r="AN65" s="100"/>
      <c r="AO65" s="100"/>
      <c r="AP65" s="100"/>
      <c r="AQ65" s="101"/>
      <c r="AR65" s="104">
        <f t="shared" ref="AR65:AR66" si="101">SUM(AF65:AQ65)</f>
        <v>0</v>
      </c>
      <c r="AS65" s="128" t="s">
        <v>261</v>
      </c>
      <c r="AT65" s="129"/>
      <c r="AU65" s="129"/>
      <c r="AV65" s="129"/>
      <c r="AW65" s="130"/>
      <c r="AX65" s="126">
        <f t="shared" si="99"/>
        <v>0</v>
      </c>
      <c r="AY65" s="143" t="s">
        <v>261</v>
      </c>
      <c r="AZ65" s="139"/>
      <c r="BA65" s="139"/>
      <c r="BB65" s="136">
        <f t="shared" si="100"/>
        <v>0</v>
      </c>
      <c r="BC65" s="474" t="s">
        <v>262</v>
      </c>
      <c r="BD65" s="475"/>
      <c r="BE65" s="14"/>
      <c r="BF65" s="17"/>
      <c r="BG65" s="14"/>
      <c r="BH65" s="17"/>
      <c r="BI65" s="14"/>
      <c r="BJ65" s="17"/>
      <c r="BK65" s="14"/>
      <c r="BL65" s="17"/>
      <c r="BM65" s="14"/>
      <c r="BN65" s="17"/>
      <c r="BO65" s="14"/>
      <c r="BP65" s="17"/>
      <c r="BQ65" s="108">
        <f t="shared" si="4"/>
        <v>0</v>
      </c>
      <c r="BR65" s="567"/>
      <c r="BS65" s="571"/>
      <c r="BT65" s="572"/>
      <c r="BU65" s="558"/>
      <c r="BV65" s="561"/>
      <c r="BW65" s="564"/>
      <c r="BX65" s="616"/>
    </row>
    <row r="66" spans="1:76" ht="15.75" thickBot="1" x14ac:dyDescent="0.3">
      <c r="A66" s="587"/>
      <c r="B66" s="592"/>
      <c r="C66" s="593"/>
      <c r="D66" s="606"/>
      <c r="E66" s="519"/>
      <c r="F66" s="520"/>
      <c r="G66" s="525"/>
      <c r="H66" s="526"/>
      <c r="I66" s="531"/>
      <c r="J66" s="532"/>
      <c r="K66" s="514"/>
      <c r="L66" s="535"/>
      <c r="M66" s="538"/>
      <c r="N66" s="543"/>
      <c r="O66" s="544"/>
      <c r="P66" s="485"/>
      <c r="Q66" s="486"/>
      <c r="R66" s="519"/>
      <c r="S66" s="520"/>
      <c r="T66" s="489"/>
      <c r="U66" s="490"/>
      <c r="V66" s="493"/>
      <c r="W66" s="485"/>
      <c r="X66" s="496"/>
      <c r="Y66" s="486"/>
      <c r="Z66" s="499"/>
      <c r="AA66" s="504"/>
      <c r="AB66" s="505"/>
      <c r="AC66" s="476" t="s">
        <v>261</v>
      </c>
      <c r="AD66" s="477"/>
      <c r="AE66" s="478"/>
      <c r="AF66" s="102"/>
      <c r="AG66" s="102"/>
      <c r="AH66" s="102"/>
      <c r="AI66" s="102"/>
      <c r="AJ66" s="102"/>
      <c r="AK66" s="102"/>
      <c r="AL66" s="102"/>
      <c r="AM66" s="102"/>
      <c r="AN66" s="102"/>
      <c r="AO66" s="102"/>
      <c r="AP66" s="102"/>
      <c r="AQ66" s="103"/>
      <c r="AR66" s="105">
        <f t="shared" si="101"/>
        <v>0</v>
      </c>
      <c r="AS66" s="131" t="s">
        <v>161</v>
      </c>
      <c r="AT66" s="132">
        <f t="shared" ref="AT66:AX66" si="102">SUM(AT63:AT65)</f>
        <v>0</v>
      </c>
      <c r="AU66" s="132">
        <f t="shared" si="102"/>
        <v>0</v>
      </c>
      <c r="AV66" s="132">
        <f t="shared" si="102"/>
        <v>0</v>
      </c>
      <c r="AW66" s="133">
        <f t="shared" si="102"/>
        <v>0</v>
      </c>
      <c r="AX66" s="127">
        <f t="shared" si="102"/>
        <v>0</v>
      </c>
      <c r="AY66" s="144" t="s">
        <v>161</v>
      </c>
      <c r="AZ66" s="140">
        <f t="shared" ref="AZ66:BB66" si="103">SUM(AZ63:AZ65)</f>
        <v>0</v>
      </c>
      <c r="BA66" s="140">
        <f t="shared" si="103"/>
        <v>0</v>
      </c>
      <c r="BB66" s="140">
        <f t="shared" si="103"/>
        <v>0</v>
      </c>
      <c r="BC66" s="479" t="s">
        <v>263</v>
      </c>
      <c r="BD66" s="480"/>
      <c r="BE66" s="15"/>
      <c r="BF66" s="18"/>
      <c r="BG66" s="15"/>
      <c r="BH66" s="18"/>
      <c r="BI66" s="15"/>
      <c r="BJ66" s="18"/>
      <c r="BK66" s="15"/>
      <c r="BL66" s="18"/>
      <c r="BM66" s="15"/>
      <c r="BN66" s="18"/>
      <c r="BO66" s="15"/>
      <c r="BP66" s="18"/>
      <c r="BQ66" s="109">
        <f t="shared" si="4"/>
        <v>0</v>
      </c>
      <c r="BR66" s="568"/>
      <c r="BS66" s="573"/>
      <c r="BT66" s="574"/>
      <c r="BU66" s="559"/>
      <c r="BV66" s="562"/>
      <c r="BW66" s="565"/>
      <c r="BX66" s="617"/>
    </row>
    <row r="67" spans="1:76" ht="15.75" thickTop="1" x14ac:dyDescent="0.25">
      <c r="A67" s="585">
        <v>15</v>
      </c>
      <c r="B67" s="588"/>
      <c r="C67" s="589"/>
      <c r="D67" s="604"/>
      <c r="E67" s="515"/>
      <c r="F67" s="516"/>
      <c r="G67" s="521"/>
      <c r="H67" s="522"/>
      <c r="I67" s="527"/>
      <c r="J67" s="528"/>
      <c r="K67" s="512">
        <f t="shared" ref="K67" si="104">INT(YEARFRAC(I67,AA67))</f>
        <v>0</v>
      </c>
      <c r="L67" s="533">
        <f t="shared" ref="L67" ca="1" si="105">INT(YEARFRAC(I67,TODAY()))</f>
        <v>121</v>
      </c>
      <c r="M67" s="536"/>
      <c r="N67" s="539"/>
      <c r="O67" s="540"/>
      <c r="P67" s="481"/>
      <c r="Q67" s="482"/>
      <c r="R67" s="515"/>
      <c r="S67" s="516"/>
      <c r="T67" s="487"/>
      <c r="U67" s="488"/>
      <c r="V67" s="491"/>
      <c r="W67" s="481"/>
      <c r="X67" s="494"/>
      <c r="Y67" s="482"/>
      <c r="Z67" s="497"/>
      <c r="AA67" s="500"/>
      <c r="AB67" s="501"/>
      <c r="AC67" s="506" t="s">
        <v>257</v>
      </c>
      <c r="AD67" s="507"/>
      <c r="AE67" s="507"/>
      <c r="AF67" s="510"/>
      <c r="AG67" s="510"/>
      <c r="AH67" s="510"/>
      <c r="AI67" s="510"/>
      <c r="AJ67" s="510"/>
      <c r="AK67" s="510"/>
      <c r="AL67" s="510"/>
      <c r="AM67" s="510"/>
      <c r="AN67" s="510"/>
      <c r="AO67" s="510"/>
      <c r="AP67" s="510"/>
      <c r="AQ67" s="465"/>
      <c r="AR67" s="467">
        <f t="shared" ref="AR67" si="106">SUM(AF67:AQ68)</f>
        <v>0</v>
      </c>
      <c r="AS67" s="119" t="s">
        <v>257</v>
      </c>
      <c r="AT67" s="120"/>
      <c r="AU67" s="120"/>
      <c r="AV67" s="120"/>
      <c r="AW67" s="121"/>
      <c r="AX67" s="125">
        <f t="shared" ref="AX67:AX69" si="107">SUM(AT67:AW67)</f>
        <v>0</v>
      </c>
      <c r="AY67" s="141" t="s">
        <v>257</v>
      </c>
      <c r="AZ67" s="137"/>
      <c r="BA67" s="137"/>
      <c r="BB67" s="134">
        <f t="shared" ref="BB67:BB69" si="108">AZ67-BA67</f>
        <v>0</v>
      </c>
      <c r="BC67" s="469" t="s">
        <v>258</v>
      </c>
      <c r="BD67" s="470"/>
      <c r="BE67" s="13"/>
      <c r="BF67" s="16"/>
      <c r="BG67" s="13"/>
      <c r="BH67" s="16"/>
      <c r="BI67" s="13"/>
      <c r="BJ67" s="16"/>
      <c r="BK67" s="13"/>
      <c r="BL67" s="16"/>
      <c r="BM67" s="13"/>
      <c r="BN67" s="16"/>
      <c r="BO67" s="13"/>
      <c r="BP67" s="16"/>
      <c r="BQ67" s="106">
        <f t="shared" si="4"/>
        <v>0</v>
      </c>
      <c r="BR67" s="566"/>
      <c r="BS67" s="569"/>
      <c r="BT67" s="570"/>
      <c r="BU67" s="557"/>
      <c r="BV67" s="560"/>
      <c r="BW67" s="563"/>
      <c r="BX67" s="615"/>
    </row>
    <row r="68" spans="1:76" x14ac:dyDescent="0.25">
      <c r="A68" s="586"/>
      <c r="B68" s="590"/>
      <c r="C68" s="591"/>
      <c r="D68" s="605"/>
      <c r="E68" s="517"/>
      <c r="F68" s="518"/>
      <c r="G68" s="523"/>
      <c r="H68" s="524"/>
      <c r="I68" s="529"/>
      <c r="J68" s="530"/>
      <c r="K68" s="513"/>
      <c r="L68" s="534"/>
      <c r="M68" s="537"/>
      <c r="N68" s="541"/>
      <c r="O68" s="542"/>
      <c r="P68" s="483"/>
      <c r="Q68" s="484"/>
      <c r="R68" s="517"/>
      <c r="S68" s="518"/>
      <c r="T68" s="487"/>
      <c r="U68" s="488"/>
      <c r="V68" s="492"/>
      <c r="W68" s="483"/>
      <c r="X68" s="495"/>
      <c r="Y68" s="484"/>
      <c r="Z68" s="498"/>
      <c r="AA68" s="502"/>
      <c r="AB68" s="503"/>
      <c r="AC68" s="508"/>
      <c r="AD68" s="509"/>
      <c r="AE68" s="509"/>
      <c r="AF68" s="511"/>
      <c r="AG68" s="511"/>
      <c r="AH68" s="511"/>
      <c r="AI68" s="511"/>
      <c r="AJ68" s="511"/>
      <c r="AK68" s="511"/>
      <c r="AL68" s="511"/>
      <c r="AM68" s="511"/>
      <c r="AN68" s="511"/>
      <c r="AO68" s="511"/>
      <c r="AP68" s="511"/>
      <c r="AQ68" s="466"/>
      <c r="AR68" s="468"/>
      <c r="AS68" s="122" t="s">
        <v>259</v>
      </c>
      <c r="AT68" s="123"/>
      <c r="AU68" s="123"/>
      <c r="AV68" s="123"/>
      <c r="AW68" s="124"/>
      <c r="AX68" s="126">
        <f t="shared" si="107"/>
        <v>0</v>
      </c>
      <c r="AY68" s="142" t="s">
        <v>259</v>
      </c>
      <c r="AZ68" s="138"/>
      <c r="BA68" s="138"/>
      <c r="BB68" s="135">
        <f t="shared" si="108"/>
        <v>0</v>
      </c>
      <c r="BC68" s="474" t="s">
        <v>260</v>
      </c>
      <c r="BD68" s="475"/>
      <c r="BE68" s="14"/>
      <c r="BF68" s="17"/>
      <c r="BG68" s="14"/>
      <c r="BH68" s="17"/>
      <c r="BI68" s="14"/>
      <c r="BJ68" s="17"/>
      <c r="BK68" s="14"/>
      <c r="BL68" s="17"/>
      <c r="BM68" s="14"/>
      <c r="BN68" s="17"/>
      <c r="BO68" s="14"/>
      <c r="BP68" s="17"/>
      <c r="BQ68" s="107">
        <f t="shared" si="4"/>
        <v>0</v>
      </c>
      <c r="BR68" s="567"/>
      <c r="BS68" s="571"/>
      <c r="BT68" s="572"/>
      <c r="BU68" s="558"/>
      <c r="BV68" s="561"/>
      <c r="BW68" s="564"/>
      <c r="BX68" s="616"/>
    </row>
    <row r="69" spans="1:76" ht="15.75" thickBot="1" x14ac:dyDescent="0.3">
      <c r="A69" s="586"/>
      <c r="B69" s="590"/>
      <c r="C69" s="591"/>
      <c r="D69" s="605"/>
      <c r="E69" s="517"/>
      <c r="F69" s="518"/>
      <c r="G69" s="523"/>
      <c r="H69" s="524"/>
      <c r="I69" s="529"/>
      <c r="J69" s="530"/>
      <c r="K69" s="513"/>
      <c r="L69" s="534"/>
      <c r="M69" s="537"/>
      <c r="N69" s="541"/>
      <c r="O69" s="542"/>
      <c r="P69" s="483"/>
      <c r="Q69" s="484"/>
      <c r="R69" s="517"/>
      <c r="S69" s="518"/>
      <c r="T69" s="487"/>
      <c r="U69" s="488"/>
      <c r="V69" s="492"/>
      <c r="W69" s="483"/>
      <c r="X69" s="495"/>
      <c r="Y69" s="484"/>
      <c r="Z69" s="498"/>
      <c r="AA69" s="502"/>
      <c r="AB69" s="503"/>
      <c r="AC69" s="471" t="s">
        <v>259</v>
      </c>
      <c r="AD69" s="472"/>
      <c r="AE69" s="473"/>
      <c r="AF69" s="100"/>
      <c r="AG69" s="100"/>
      <c r="AH69" s="100"/>
      <c r="AI69" s="100"/>
      <c r="AJ69" s="100"/>
      <c r="AK69" s="100"/>
      <c r="AL69" s="100"/>
      <c r="AM69" s="100"/>
      <c r="AN69" s="100"/>
      <c r="AO69" s="100"/>
      <c r="AP69" s="100"/>
      <c r="AQ69" s="101"/>
      <c r="AR69" s="104">
        <f t="shared" ref="AR69:AR70" si="109">SUM(AF69:AQ69)</f>
        <v>0</v>
      </c>
      <c r="AS69" s="128" t="s">
        <v>261</v>
      </c>
      <c r="AT69" s="129"/>
      <c r="AU69" s="129"/>
      <c r="AV69" s="129"/>
      <c r="AW69" s="130"/>
      <c r="AX69" s="126">
        <f t="shared" si="107"/>
        <v>0</v>
      </c>
      <c r="AY69" s="143" t="s">
        <v>261</v>
      </c>
      <c r="AZ69" s="139"/>
      <c r="BA69" s="139"/>
      <c r="BB69" s="136">
        <f t="shared" si="108"/>
        <v>0</v>
      </c>
      <c r="BC69" s="474" t="s">
        <v>262</v>
      </c>
      <c r="BD69" s="475"/>
      <c r="BE69" s="14"/>
      <c r="BF69" s="17"/>
      <c r="BG69" s="14"/>
      <c r="BH69" s="17"/>
      <c r="BI69" s="14"/>
      <c r="BJ69" s="17"/>
      <c r="BK69" s="14"/>
      <c r="BL69" s="17"/>
      <c r="BM69" s="14"/>
      <c r="BN69" s="17"/>
      <c r="BO69" s="14"/>
      <c r="BP69" s="17"/>
      <c r="BQ69" s="108">
        <f t="shared" si="4"/>
        <v>0</v>
      </c>
      <c r="BR69" s="567"/>
      <c r="BS69" s="571"/>
      <c r="BT69" s="572"/>
      <c r="BU69" s="558"/>
      <c r="BV69" s="561"/>
      <c r="BW69" s="564"/>
      <c r="BX69" s="616"/>
    </row>
    <row r="70" spans="1:76" ht="15.75" thickBot="1" x14ac:dyDescent="0.3">
      <c r="A70" s="587"/>
      <c r="B70" s="592"/>
      <c r="C70" s="593"/>
      <c r="D70" s="606"/>
      <c r="E70" s="519"/>
      <c r="F70" s="520"/>
      <c r="G70" s="525"/>
      <c r="H70" s="526"/>
      <c r="I70" s="531"/>
      <c r="J70" s="532"/>
      <c r="K70" s="514"/>
      <c r="L70" s="535"/>
      <c r="M70" s="538"/>
      <c r="N70" s="543"/>
      <c r="O70" s="544"/>
      <c r="P70" s="485"/>
      <c r="Q70" s="486"/>
      <c r="R70" s="519"/>
      <c r="S70" s="520"/>
      <c r="T70" s="489"/>
      <c r="U70" s="490"/>
      <c r="V70" s="493"/>
      <c r="W70" s="485"/>
      <c r="X70" s="496"/>
      <c r="Y70" s="486"/>
      <c r="Z70" s="499"/>
      <c r="AA70" s="504"/>
      <c r="AB70" s="505"/>
      <c r="AC70" s="476" t="s">
        <v>261</v>
      </c>
      <c r="AD70" s="477"/>
      <c r="AE70" s="478"/>
      <c r="AF70" s="102"/>
      <c r="AG70" s="102"/>
      <c r="AH70" s="102"/>
      <c r="AI70" s="102"/>
      <c r="AJ70" s="102"/>
      <c r="AK70" s="102"/>
      <c r="AL70" s="102"/>
      <c r="AM70" s="102"/>
      <c r="AN70" s="102"/>
      <c r="AO70" s="102"/>
      <c r="AP70" s="102"/>
      <c r="AQ70" s="103"/>
      <c r="AR70" s="105">
        <f t="shared" si="109"/>
        <v>0</v>
      </c>
      <c r="AS70" s="131" t="s">
        <v>161</v>
      </c>
      <c r="AT70" s="132">
        <f t="shared" ref="AT70:AX70" si="110">SUM(AT67:AT69)</f>
        <v>0</v>
      </c>
      <c r="AU70" s="132">
        <f t="shared" si="110"/>
        <v>0</v>
      </c>
      <c r="AV70" s="132">
        <f t="shared" si="110"/>
        <v>0</v>
      </c>
      <c r="AW70" s="133">
        <f t="shared" si="110"/>
        <v>0</v>
      </c>
      <c r="AX70" s="127">
        <f t="shared" si="110"/>
        <v>0</v>
      </c>
      <c r="AY70" s="144" t="s">
        <v>161</v>
      </c>
      <c r="AZ70" s="140">
        <f t="shared" ref="AZ70:BB70" si="111">SUM(AZ67:AZ69)</f>
        <v>0</v>
      </c>
      <c r="BA70" s="140">
        <f t="shared" si="111"/>
        <v>0</v>
      </c>
      <c r="BB70" s="140">
        <f t="shared" si="111"/>
        <v>0</v>
      </c>
      <c r="BC70" s="479" t="s">
        <v>263</v>
      </c>
      <c r="BD70" s="480"/>
      <c r="BE70" s="15"/>
      <c r="BF70" s="18"/>
      <c r="BG70" s="15"/>
      <c r="BH70" s="18"/>
      <c r="BI70" s="15"/>
      <c r="BJ70" s="18"/>
      <c r="BK70" s="15"/>
      <c r="BL70" s="18"/>
      <c r="BM70" s="15"/>
      <c r="BN70" s="18"/>
      <c r="BO70" s="15"/>
      <c r="BP70" s="18"/>
      <c r="BQ70" s="109">
        <f t="shared" si="4"/>
        <v>0</v>
      </c>
      <c r="BR70" s="568"/>
      <c r="BS70" s="573"/>
      <c r="BT70" s="574"/>
      <c r="BU70" s="559"/>
      <c r="BV70" s="562"/>
      <c r="BW70" s="565"/>
      <c r="BX70" s="617"/>
    </row>
    <row r="71" spans="1:76" ht="15.75" thickTop="1" x14ac:dyDescent="0.25">
      <c r="A71" s="585">
        <v>16</v>
      </c>
      <c r="B71" s="588"/>
      <c r="C71" s="589"/>
      <c r="D71" s="604"/>
      <c r="E71" s="515"/>
      <c r="F71" s="516"/>
      <c r="G71" s="521"/>
      <c r="H71" s="522"/>
      <c r="I71" s="527"/>
      <c r="J71" s="528"/>
      <c r="K71" s="512">
        <f t="shared" ref="K71" si="112">INT(YEARFRAC(I71,AA71))</f>
        <v>0</v>
      </c>
      <c r="L71" s="533">
        <f t="shared" ref="L71" ca="1" si="113">INT(YEARFRAC(I71,TODAY()))</f>
        <v>121</v>
      </c>
      <c r="M71" s="536"/>
      <c r="N71" s="539"/>
      <c r="O71" s="540"/>
      <c r="P71" s="481"/>
      <c r="Q71" s="482"/>
      <c r="R71" s="515"/>
      <c r="S71" s="516"/>
      <c r="T71" s="487"/>
      <c r="U71" s="488"/>
      <c r="V71" s="491"/>
      <c r="W71" s="481"/>
      <c r="X71" s="494"/>
      <c r="Y71" s="482"/>
      <c r="Z71" s="497"/>
      <c r="AA71" s="500"/>
      <c r="AB71" s="501"/>
      <c r="AC71" s="506" t="s">
        <v>257</v>
      </c>
      <c r="AD71" s="507"/>
      <c r="AE71" s="507"/>
      <c r="AF71" s="510"/>
      <c r="AG71" s="510"/>
      <c r="AH71" s="510"/>
      <c r="AI71" s="510"/>
      <c r="AJ71" s="510"/>
      <c r="AK71" s="510"/>
      <c r="AL71" s="510"/>
      <c r="AM71" s="510"/>
      <c r="AN71" s="510"/>
      <c r="AO71" s="510"/>
      <c r="AP71" s="510"/>
      <c r="AQ71" s="465"/>
      <c r="AR71" s="467">
        <f t="shared" ref="AR71" si="114">SUM(AF71:AQ72)</f>
        <v>0</v>
      </c>
      <c r="AS71" s="119" t="s">
        <v>257</v>
      </c>
      <c r="AT71" s="120"/>
      <c r="AU71" s="120"/>
      <c r="AV71" s="120"/>
      <c r="AW71" s="121"/>
      <c r="AX71" s="125">
        <f t="shared" ref="AX71:AX73" si="115">SUM(AT71:AW71)</f>
        <v>0</v>
      </c>
      <c r="AY71" s="141" t="s">
        <v>257</v>
      </c>
      <c r="AZ71" s="137"/>
      <c r="BA71" s="137"/>
      <c r="BB71" s="134">
        <f t="shared" ref="BB71:BB73" si="116">AZ71-BA71</f>
        <v>0</v>
      </c>
      <c r="BC71" s="469" t="s">
        <v>258</v>
      </c>
      <c r="BD71" s="470"/>
      <c r="BE71" s="13"/>
      <c r="BF71" s="16"/>
      <c r="BG71" s="13"/>
      <c r="BH71" s="16"/>
      <c r="BI71" s="13"/>
      <c r="BJ71" s="16"/>
      <c r="BK71" s="13"/>
      <c r="BL71" s="16"/>
      <c r="BM71" s="13"/>
      <c r="BN71" s="16"/>
      <c r="BO71" s="13"/>
      <c r="BP71" s="16"/>
      <c r="BQ71" s="106">
        <f t="shared" si="4"/>
        <v>0</v>
      </c>
      <c r="BR71" s="566"/>
      <c r="BS71" s="569"/>
      <c r="BT71" s="570"/>
      <c r="BU71" s="557"/>
      <c r="BV71" s="560"/>
      <c r="BW71" s="563"/>
      <c r="BX71" s="615"/>
    </row>
    <row r="72" spans="1:76" x14ac:dyDescent="0.25">
      <c r="A72" s="586"/>
      <c r="B72" s="590"/>
      <c r="C72" s="591"/>
      <c r="D72" s="605"/>
      <c r="E72" s="517"/>
      <c r="F72" s="518"/>
      <c r="G72" s="523"/>
      <c r="H72" s="524"/>
      <c r="I72" s="529"/>
      <c r="J72" s="530"/>
      <c r="K72" s="513"/>
      <c r="L72" s="534"/>
      <c r="M72" s="537"/>
      <c r="N72" s="541"/>
      <c r="O72" s="542"/>
      <c r="P72" s="483"/>
      <c r="Q72" s="484"/>
      <c r="R72" s="517"/>
      <c r="S72" s="518"/>
      <c r="T72" s="487"/>
      <c r="U72" s="488"/>
      <c r="V72" s="492"/>
      <c r="W72" s="483"/>
      <c r="X72" s="495"/>
      <c r="Y72" s="484"/>
      <c r="Z72" s="498"/>
      <c r="AA72" s="502"/>
      <c r="AB72" s="503"/>
      <c r="AC72" s="508"/>
      <c r="AD72" s="509"/>
      <c r="AE72" s="509"/>
      <c r="AF72" s="511"/>
      <c r="AG72" s="511"/>
      <c r="AH72" s="511"/>
      <c r="AI72" s="511"/>
      <c r="AJ72" s="511"/>
      <c r="AK72" s="511"/>
      <c r="AL72" s="511"/>
      <c r="AM72" s="511"/>
      <c r="AN72" s="511"/>
      <c r="AO72" s="511"/>
      <c r="AP72" s="511"/>
      <c r="AQ72" s="466"/>
      <c r="AR72" s="468"/>
      <c r="AS72" s="122" t="s">
        <v>259</v>
      </c>
      <c r="AT72" s="123"/>
      <c r="AU72" s="123"/>
      <c r="AV72" s="123"/>
      <c r="AW72" s="124"/>
      <c r="AX72" s="126">
        <f t="shared" si="115"/>
        <v>0</v>
      </c>
      <c r="AY72" s="142" t="s">
        <v>259</v>
      </c>
      <c r="AZ72" s="138"/>
      <c r="BA72" s="138"/>
      <c r="BB72" s="135">
        <f t="shared" si="116"/>
        <v>0</v>
      </c>
      <c r="BC72" s="474" t="s">
        <v>260</v>
      </c>
      <c r="BD72" s="475"/>
      <c r="BE72" s="14"/>
      <c r="BF72" s="17"/>
      <c r="BG72" s="14"/>
      <c r="BH72" s="17"/>
      <c r="BI72" s="14"/>
      <c r="BJ72" s="17"/>
      <c r="BK72" s="14"/>
      <c r="BL72" s="17"/>
      <c r="BM72" s="14"/>
      <c r="BN72" s="17"/>
      <c r="BO72" s="14"/>
      <c r="BP72" s="17"/>
      <c r="BQ72" s="107">
        <f t="shared" si="4"/>
        <v>0</v>
      </c>
      <c r="BR72" s="567"/>
      <c r="BS72" s="571"/>
      <c r="BT72" s="572"/>
      <c r="BU72" s="558"/>
      <c r="BV72" s="561"/>
      <c r="BW72" s="564"/>
      <c r="BX72" s="616"/>
    </row>
    <row r="73" spans="1:76" ht="15.75" thickBot="1" x14ac:dyDescent="0.3">
      <c r="A73" s="586"/>
      <c r="B73" s="590"/>
      <c r="C73" s="591"/>
      <c r="D73" s="605"/>
      <c r="E73" s="517"/>
      <c r="F73" s="518"/>
      <c r="G73" s="523"/>
      <c r="H73" s="524"/>
      <c r="I73" s="529"/>
      <c r="J73" s="530"/>
      <c r="K73" s="513"/>
      <c r="L73" s="534"/>
      <c r="M73" s="537"/>
      <c r="N73" s="541"/>
      <c r="O73" s="542"/>
      <c r="P73" s="483"/>
      <c r="Q73" s="484"/>
      <c r="R73" s="517"/>
      <c r="S73" s="518"/>
      <c r="T73" s="487"/>
      <c r="U73" s="488"/>
      <c r="V73" s="492"/>
      <c r="W73" s="483"/>
      <c r="X73" s="495"/>
      <c r="Y73" s="484"/>
      <c r="Z73" s="498"/>
      <c r="AA73" s="502"/>
      <c r="AB73" s="503"/>
      <c r="AC73" s="471" t="s">
        <v>259</v>
      </c>
      <c r="AD73" s="472"/>
      <c r="AE73" s="473"/>
      <c r="AF73" s="100"/>
      <c r="AG73" s="100"/>
      <c r="AH73" s="100"/>
      <c r="AI73" s="100"/>
      <c r="AJ73" s="100"/>
      <c r="AK73" s="100"/>
      <c r="AL73" s="100"/>
      <c r="AM73" s="100"/>
      <c r="AN73" s="100"/>
      <c r="AO73" s="100"/>
      <c r="AP73" s="100"/>
      <c r="AQ73" s="101"/>
      <c r="AR73" s="104">
        <f t="shared" ref="AR73:AR74" si="117">SUM(AF73:AQ73)</f>
        <v>0</v>
      </c>
      <c r="AS73" s="128" t="s">
        <v>261</v>
      </c>
      <c r="AT73" s="129"/>
      <c r="AU73" s="129"/>
      <c r="AV73" s="129"/>
      <c r="AW73" s="130"/>
      <c r="AX73" s="126">
        <f t="shared" si="115"/>
        <v>0</v>
      </c>
      <c r="AY73" s="143" t="s">
        <v>261</v>
      </c>
      <c r="AZ73" s="139"/>
      <c r="BA73" s="139"/>
      <c r="BB73" s="136">
        <f t="shared" si="116"/>
        <v>0</v>
      </c>
      <c r="BC73" s="474" t="s">
        <v>262</v>
      </c>
      <c r="BD73" s="475"/>
      <c r="BE73" s="14"/>
      <c r="BF73" s="17"/>
      <c r="BG73" s="14"/>
      <c r="BH73" s="17"/>
      <c r="BI73" s="14"/>
      <c r="BJ73" s="17"/>
      <c r="BK73" s="14"/>
      <c r="BL73" s="17"/>
      <c r="BM73" s="14"/>
      <c r="BN73" s="17"/>
      <c r="BO73" s="14"/>
      <c r="BP73" s="17"/>
      <c r="BQ73" s="108">
        <f t="shared" si="4"/>
        <v>0</v>
      </c>
      <c r="BR73" s="567"/>
      <c r="BS73" s="571"/>
      <c r="BT73" s="572"/>
      <c r="BU73" s="558"/>
      <c r="BV73" s="561"/>
      <c r="BW73" s="564"/>
      <c r="BX73" s="616"/>
    </row>
    <row r="74" spans="1:76" ht="15.75" thickBot="1" x14ac:dyDescent="0.3">
      <c r="A74" s="587"/>
      <c r="B74" s="592"/>
      <c r="C74" s="593"/>
      <c r="D74" s="606"/>
      <c r="E74" s="519"/>
      <c r="F74" s="520"/>
      <c r="G74" s="525"/>
      <c r="H74" s="526"/>
      <c r="I74" s="531"/>
      <c r="J74" s="532"/>
      <c r="K74" s="514"/>
      <c r="L74" s="535"/>
      <c r="M74" s="538"/>
      <c r="N74" s="543"/>
      <c r="O74" s="544"/>
      <c r="P74" s="485"/>
      <c r="Q74" s="486"/>
      <c r="R74" s="519"/>
      <c r="S74" s="520"/>
      <c r="T74" s="489"/>
      <c r="U74" s="490"/>
      <c r="V74" s="493"/>
      <c r="W74" s="485"/>
      <c r="X74" s="496"/>
      <c r="Y74" s="486"/>
      <c r="Z74" s="499"/>
      <c r="AA74" s="504"/>
      <c r="AB74" s="505"/>
      <c r="AC74" s="476" t="s">
        <v>261</v>
      </c>
      <c r="AD74" s="477"/>
      <c r="AE74" s="478"/>
      <c r="AF74" s="102"/>
      <c r="AG74" s="102"/>
      <c r="AH74" s="102"/>
      <c r="AI74" s="102"/>
      <c r="AJ74" s="102"/>
      <c r="AK74" s="102"/>
      <c r="AL74" s="102"/>
      <c r="AM74" s="102"/>
      <c r="AN74" s="102"/>
      <c r="AO74" s="102"/>
      <c r="AP74" s="102"/>
      <c r="AQ74" s="103"/>
      <c r="AR74" s="105">
        <f t="shared" si="117"/>
        <v>0</v>
      </c>
      <c r="AS74" s="131" t="s">
        <v>161</v>
      </c>
      <c r="AT74" s="132">
        <f t="shared" ref="AT74:AX74" si="118">SUM(AT71:AT73)</f>
        <v>0</v>
      </c>
      <c r="AU74" s="132">
        <f t="shared" si="118"/>
        <v>0</v>
      </c>
      <c r="AV74" s="132">
        <f t="shared" si="118"/>
        <v>0</v>
      </c>
      <c r="AW74" s="133">
        <f t="shared" si="118"/>
        <v>0</v>
      </c>
      <c r="AX74" s="127">
        <f t="shared" si="118"/>
        <v>0</v>
      </c>
      <c r="AY74" s="144" t="s">
        <v>161</v>
      </c>
      <c r="AZ74" s="140">
        <f t="shared" ref="AZ74:BB74" si="119">SUM(AZ71:AZ73)</f>
        <v>0</v>
      </c>
      <c r="BA74" s="140">
        <f t="shared" si="119"/>
        <v>0</v>
      </c>
      <c r="BB74" s="140">
        <f t="shared" si="119"/>
        <v>0</v>
      </c>
      <c r="BC74" s="479" t="s">
        <v>263</v>
      </c>
      <c r="BD74" s="480"/>
      <c r="BE74" s="15"/>
      <c r="BF74" s="18"/>
      <c r="BG74" s="15"/>
      <c r="BH74" s="18"/>
      <c r="BI74" s="15"/>
      <c r="BJ74" s="18"/>
      <c r="BK74" s="15"/>
      <c r="BL74" s="18"/>
      <c r="BM74" s="15"/>
      <c r="BN74" s="18"/>
      <c r="BO74" s="15"/>
      <c r="BP74" s="18"/>
      <c r="BQ74" s="109">
        <f t="shared" si="4"/>
        <v>0</v>
      </c>
      <c r="BR74" s="568"/>
      <c r="BS74" s="573"/>
      <c r="BT74" s="574"/>
      <c r="BU74" s="559"/>
      <c r="BV74" s="562"/>
      <c r="BW74" s="565"/>
      <c r="BX74" s="617"/>
    </row>
    <row r="75" spans="1:76" ht="15.75" thickTop="1" x14ac:dyDescent="0.25">
      <c r="A75" s="585">
        <v>17</v>
      </c>
      <c r="B75" s="588"/>
      <c r="C75" s="589"/>
      <c r="D75" s="604"/>
      <c r="E75" s="515"/>
      <c r="F75" s="516"/>
      <c r="G75" s="521"/>
      <c r="H75" s="522"/>
      <c r="I75" s="527"/>
      <c r="J75" s="528"/>
      <c r="K75" s="512">
        <f t="shared" ref="K75" si="120">INT(YEARFRAC(I75,AA75))</f>
        <v>0</v>
      </c>
      <c r="L75" s="533">
        <f t="shared" ref="L75" ca="1" si="121">INT(YEARFRAC(I75,TODAY()))</f>
        <v>121</v>
      </c>
      <c r="M75" s="536"/>
      <c r="N75" s="539"/>
      <c r="O75" s="540"/>
      <c r="P75" s="481"/>
      <c r="Q75" s="482"/>
      <c r="R75" s="515"/>
      <c r="S75" s="516"/>
      <c r="T75" s="487"/>
      <c r="U75" s="488"/>
      <c r="V75" s="491"/>
      <c r="W75" s="481"/>
      <c r="X75" s="494"/>
      <c r="Y75" s="482"/>
      <c r="Z75" s="497"/>
      <c r="AA75" s="500"/>
      <c r="AB75" s="501"/>
      <c r="AC75" s="506" t="s">
        <v>257</v>
      </c>
      <c r="AD75" s="507"/>
      <c r="AE75" s="507"/>
      <c r="AF75" s="510"/>
      <c r="AG75" s="510"/>
      <c r="AH75" s="510"/>
      <c r="AI75" s="510"/>
      <c r="AJ75" s="510"/>
      <c r="AK75" s="510"/>
      <c r="AL75" s="510"/>
      <c r="AM75" s="510"/>
      <c r="AN75" s="510"/>
      <c r="AO75" s="510"/>
      <c r="AP75" s="510"/>
      <c r="AQ75" s="465"/>
      <c r="AR75" s="467">
        <f t="shared" ref="AR75" si="122">SUM(AF75:AQ76)</f>
        <v>0</v>
      </c>
      <c r="AS75" s="119" t="s">
        <v>257</v>
      </c>
      <c r="AT75" s="120"/>
      <c r="AU75" s="120"/>
      <c r="AV75" s="120"/>
      <c r="AW75" s="121"/>
      <c r="AX75" s="125">
        <f t="shared" ref="AX75:AX77" si="123">SUM(AT75:AW75)</f>
        <v>0</v>
      </c>
      <c r="AY75" s="141" t="s">
        <v>257</v>
      </c>
      <c r="AZ75" s="137"/>
      <c r="BA75" s="137"/>
      <c r="BB75" s="134">
        <f t="shared" ref="BB75:BB77" si="124">AZ75-BA75</f>
        <v>0</v>
      </c>
      <c r="BC75" s="469" t="s">
        <v>258</v>
      </c>
      <c r="BD75" s="470"/>
      <c r="BE75" s="13"/>
      <c r="BF75" s="16"/>
      <c r="BG75" s="13"/>
      <c r="BH75" s="16"/>
      <c r="BI75" s="13"/>
      <c r="BJ75" s="16"/>
      <c r="BK75" s="13"/>
      <c r="BL75" s="16"/>
      <c r="BM75" s="13"/>
      <c r="BN75" s="16"/>
      <c r="BO75" s="13"/>
      <c r="BP75" s="16"/>
      <c r="BQ75" s="106">
        <f t="shared" si="4"/>
        <v>0</v>
      </c>
      <c r="BR75" s="566"/>
      <c r="BS75" s="569"/>
      <c r="BT75" s="570"/>
      <c r="BU75" s="557"/>
      <c r="BV75" s="560"/>
      <c r="BW75" s="563"/>
      <c r="BX75" s="615"/>
    </row>
    <row r="76" spans="1:76" x14ac:dyDescent="0.25">
      <c r="A76" s="586"/>
      <c r="B76" s="590"/>
      <c r="C76" s="591"/>
      <c r="D76" s="605"/>
      <c r="E76" s="517"/>
      <c r="F76" s="518"/>
      <c r="G76" s="523"/>
      <c r="H76" s="524"/>
      <c r="I76" s="529"/>
      <c r="J76" s="530"/>
      <c r="K76" s="513"/>
      <c r="L76" s="534"/>
      <c r="M76" s="537"/>
      <c r="N76" s="541"/>
      <c r="O76" s="542"/>
      <c r="P76" s="483"/>
      <c r="Q76" s="484"/>
      <c r="R76" s="517"/>
      <c r="S76" s="518"/>
      <c r="T76" s="487"/>
      <c r="U76" s="488"/>
      <c r="V76" s="492"/>
      <c r="W76" s="483"/>
      <c r="X76" s="495"/>
      <c r="Y76" s="484"/>
      <c r="Z76" s="498"/>
      <c r="AA76" s="502"/>
      <c r="AB76" s="503"/>
      <c r="AC76" s="508"/>
      <c r="AD76" s="509"/>
      <c r="AE76" s="509"/>
      <c r="AF76" s="511"/>
      <c r="AG76" s="511"/>
      <c r="AH76" s="511"/>
      <c r="AI76" s="511"/>
      <c r="AJ76" s="511"/>
      <c r="AK76" s="511"/>
      <c r="AL76" s="511"/>
      <c r="AM76" s="511"/>
      <c r="AN76" s="511"/>
      <c r="AO76" s="511"/>
      <c r="AP76" s="511"/>
      <c r="AQ76" s="466"/>
      <c r="AR76" s="468"/>
      <c r="AS76" s="122" t="s">
        <v>259</v>
      </c>
      <c r="AT76" s="123"/>
      <c r="AU76" s="123"/>
      <c r="AV76" s="123"/>
      <c r="AW76" s="124"/>
      <c r="AX76" s="126">
        <f t="shared" si="123"/>
        <v>0</v>
      </c>
      <c r="AY76" s="142" t="s">
        <v>259</v>
      </c>
      <c r="AZ76" s="138"/>
      <c r="BA76" s="138"/>
      <c r="BB76" s="135">
        <f t="shared" si="124"/>
        <v>0</v>
      </c>
      <c r="BC76" s="474" t="s">
        <v>260</v>
      </c>
      <c r="BD76" s="475"/>
      <c r="BE76" s="14"/>
      <c r="BF76" s="17"/>
      <c r="BG76" s="14"/>
      <c r="BH76" s="17"/>
      <c r="BI76" s="14"/>
      <c r="BJ76" s="17"/>
      <c r="BK76" s="14"/>
      <c r="BL76" s="17"/>
      <c r="BM76" s="14"/>
      <c r="BN76" s="17"/>
      <c r="BO76" s="14"/>
      <c r="BP76" s="17"/>
      <c r="BQ76" s="107">
        <f t="shared" si="4"/>
        <v>0</v>
      </c>
      <c r="BR76" s="567"/>
      <c r="BS76" s="571"/>
      <c r="BT76" s="572"/>
      <c r="BU76" s="558"/>
      <c r="BV76" s="561"/>
      <c r="BW76" s="564"/>
      <c r="BX76" s="616"/>
    </row>
    <row r="77" spans="1:76" ht="15.75" thickBot="1" x14ac:dyDescent="0.3">
      <c r="A77" s="586"/>
      <c r="B77" s="590"/>
      <c r="C77" s="591"/>
      <c r="D77" s="605"/>
      <c r="E77" s="517"/>
      <c r="F77" s="518"/>
      <c r="G77" s="523"/>
      <c r="H77" s="524"/>
      <c r="I77" s="529"/>
      <c r="J77" s="530"/>
      <c r="K77" s="513"/>
      <c r="L77" s="534"/>
      <c r="M77" s="537"/>
      <c r="N77" s="541"/>
      <c r="O77" s="542"/>
      <c r="P77" s="483"/>
      <c r="Q77" s="484"/>
      <c r="R77" s="517"/>
      <c r="S77" s="518"/>
      <c r="T77" s="487"/>
      <c r="U77" s="488"/>
      <c r="V77" s="492"/>
      <c r="W77" s="483"/>
      <c r="X77" s="495"/>
      <c r="Y77" s="484"/>
      <c r="Z77" s="498"/>
      <c r="AA77" s="502"/>
      <c r="AB77" s="503"/>
      <c r="AC77" s="471" t="s">
        <v>259</v>
      </c>
      <c r="AD77" s="472"/>
      <c r="AE77" s="473"/>
      <c r="AF77" s="100"/>
      <c r="AG77" s="100"/>
      <c r="AH77" s="100"/>
      <c r="AI77" s="100"/>
      <c r="AJ77" s="100"/>
      <c r="AK77" s="100"/>
      <c r="AL77" s="100"/>
      <c r="AM77" s="100"/>
      <c r="AN77" s="100"/>
      <c r="AO77" s="100"/>
      <c r="AP77" s="100"/>
      <c r="AQ77" s="101"/>
      <c r="AR77" s="104">
        <f t="shared" ref="AR77:AR78" si="125">SUM(AF77:AQ77)</f>
        <v>0</v>
      </c>
      <c r="AS77" s="128" t="s">
        <v>261</v>
      </c>
      <c r="AT77" s="129"/>
      <c r="AU77" s="129"/>
      <c r="AV77" s="129"/>
      <c r="AW77" s="130"/>
      <c r="AX77" s="126">
        <f t="shared" si="123"/>
        <v>0</v>
      </c>
      <c r="AY77" s="143" t="s">
        <v>261</v>
      </c>
      <c r="AZ77" s="139"/>
      <c r="BA77" s="139"/>
      <c r="BB77" s="136">
        <f t="shared" si="124"/>
        <v>0</v>
      </c>
      <c r="BC77" s="474" t="s">
        <v>262</v>
      </c>
      <c r="BD77" s="475"/>
      <c r="BE77" s="14"/>
      <c r="BF77" s="17"/>
      <c r="BG77" s="14"/>
      <c r="BH77" s="17"/>
      <c r="BI77" s="14"/>
      <c r="BJ77" s="17"/>
      <c r="BK77" s="14"/>
      <c r="BL77" s="17"/>
      <c r="BM77" s="14"/>
      <c r="BN77" s="17"/>
      <c r="BO77" s="14"/>
      <c r="BP77" s="17"/>
      <c r="BQ77" s="108">
        <f t="shared" si="4"/>
        <v>0</v>
      </c>
      <c r="BR77" s="567"/>
      <c r="BS77" s="571"/>
      <c r="BT77" s="572"/>
      <c r="BU77" s="558"/>
      <c r="BV77" s="561"/>
      <c r="BW77" s="564"/>
      <c r="BX77" s="616"/>
    </row>
    <row r="78" spans="1:76" ht="15.75" thickBot="1" x14ac:dyDescent="0.3">
      <c r="A78" s="587"/>
      <c r="B78" s="592"/>
      <c r="C78" s="593"/>
      <c r="D78" s="606"/>
      <c r="E78" s="519"/>
      <c r="F78" s="520"/>
      <c r="G78" s="525"/>
      <c r="H78" s="526"/>
      <c r="I78" s="531"/>
      <c r="J78" s="532"/>
      <c r="K78" s="514"/>
      <c r="L78" s="535"/>
      <c r="M78" s="538"/>
      <c r="N78" s="543"/>
      <c r="O78" s="544"/>
      <c r="P78" s="485"/>
      <c r="Q78" s="486"/>
      <c r="R78" s="519"/>
      <c r="S78" s="520"/>
      <c r="T78" s="489"/>
      <c r="U78" s="490"/>
      <c r="V78" s="493"/>
      <c r="W78" s="485"/>
      <c r="X78" s="496"/>
      <c r="Y78" s="486"/>
      <c r="Z78" s="499"/>
      <c r="AA78" s="504"/>
      <c r="AB78" s="505"/>
      <c r="AC78" s="476" t="s">
        <v>261</v>
      </c>
      <c r="AD78" s="477"/>
      <c r="AE78" s="478"/>
      <c r="AF78" s="102"/>
      <c r="AG78" s="102"/>
      <c r="AH78" s="102"/>
      <c r="AI78" s="102"/>
      <c r="AJ78" s="102"/>
      <c r="AK78" s="102"/>
      <c r="AL78" s="102"/>
      <c r="AM78" s="102"/>
      <c r="AN78" s="102"/>
      <c r="AO78" s="102"/>
      <c r="AP78" s="102"/>
      <c r="AQ78" s="103"/>
      <c r="AR78" s="105">
        <f t="shared" si="125"/>
        <v>0</v>
      </c>
      <c r="AS78" s="131" t="s">
        <v>161</v>
      </c>
      <c r="AT78" s="132">
        <f t="shared" ref="AT78:AX78" si="126">SUM(AT75:AT77)</f>
        <v>0</v>
      </c>
      <c r="AU78" s="132">
        <f t="shared" si="126"/>
        <v>0</v>
      </c>
      <c r="AV78" s="132">
        <f t="shared" si="126"/>
        <v>0</v>
      </c>
      <c r="AW78" s="133">
        <f t="shared" si="126"/>
        <v>0</v>
      </c>
      <c r="AX78" s="127">
        <f t="shared" si="126"/>
        <v>0</v>
      </c>
      <c r="AY78" s="144" t="s">
        <v>161</v>
      </c>
      <c r="AZ78" s="140">
        <f t="shared" ref="AZ78:BB78" si="127">SUM(AZ75:AZ77)</f>
        <v>0</v>
      </c>
      <c r="BA78" s="140">
        <f t="shared" si="127"/>
        <v>0</v>
      </c>
      <c r="BB78" s="140">
        <f t="shared" si="127"/>
        <v>0</v>
      </c>
      <c r="BC78" s="479" t="s">
        <v>263</v>
      </c>
      <c r="BD78" s="480"/>
      <c r="BE78" s="15"/>
      <c r="BF78" s="18"/>
      <c r="BG78" s="15"/>
      <c r="BH78" s="18"/>
      <c r="BI78" s="15"/>
      <c r="BJ78" s="18"/>
      <c r="BK78" s="15"/>
      <c r="BL78" s="18"/>
      <c r="BM78" s="15"/>
      <c r="BN78" s="18"/>
      <c r="BO78" s="15"/>
      <c r="BP78" s="18"/>
      <c r="BQ78" s="109">
        <f t="shared" si="4"/>
        <v>0</v>
      </c>
      <c r="BR78" s="568"/>
      <c r="BS78" s="573"/>
      <c r="BT78" s="574"/>
      <c r="BU78" s="559"/>
      <c r="BV78" s="562"/>
      <c r="BW78" s="565"/>
      <c r="BX78" s="617"/>
    </row>
    <row r="79" spans="1:76" ht="15.75" thickTop="1" x14ac:dyDescent="0.25">
      <c r="A79" s="585">
        <v>18</v>
      </c>
      <c r="B79" s="588"/>
      <c r="C79" s="589"/>
      <c r="D79" s="604"/>
      <c r="E79" s="515"/>
      <c r="F79" s="516"/>
      <c r="G79" s="521"/>
      <c r="H79" s="522"/>
      <c r="I79" s="527"/>
      <c r="J79" s="528"/>
      <c r="K79" s="512">
        <f t="shared" ref="K79" si="128">INT(YEARFRAC(I79,AA79))</f>
        <v>0</v>
      </c>
      <c r="L79" s="533">
        <f t="shared" ref="L79" ca="1" si="129">INT(YEARFRAC(I79,TODAY()))</f>
        <v>121</v>
      </c>
      <c r="M79" s="536"/>
      <c r="N79" s="539"/>
      <c r="O79" s="540"/>
      <c r="P79" s="481"/>
      <c r="Q79" s="482"/>
      <c r="R79" s="515"/>
      <c r="S79" s="516"/>
      <c r="T79" s="487"/>
      <c r="U79" s="488"/>
      <c r="V79" s="491"/>
      <c r="W79" s="481"/>
      <c r="X79" s="494"/>
      <c r="Y79" s="482"/>
      <c r="Z79" s="497"/>
      <c r="AA79" s="500"/>
      <c r="AB79" s="501"/>
      <c r="AC79" s="506" t="s">
        <v>257</v>
      </c>
      <c r="AD79" s="507"/>
      <c r="AE79" s="507"/>
      <c r="AF79" s="510"/>
      <c r="AG79" s="510"/>
      <c r="AH79" s="510"/>
      <c r="AI79" s="510"/>
      <c r="AJ79" s="510"/>
      <c r="AK79" s="510"/>
      <c r="AL79" s="510"/>
      <c r="AM79" s="510"/>
      <c r="AN79" s="510"/>
      <c r="AO79" s="510"/>
      <c r="AP79" s="510"/>
      <c r="AQ79" s="465"/>
      <c r="AR79" s="467">
        <f t="shared" ref="AR79" si="130">SUM(AF79:AQ80)</f>
        <v>0</v>
      </c>
      <c r="AS79" s="119" t="s">
        <v>257</v>
      </c>
      <c r="AT79" s="120"/>
      <c r="AU79" s="120"/>
      <c r="AV79" s="120"/>
      <c r="AW79" s="121"/>
      <c r="AX79" s="125">
        <f t="shared" ref="AX79:AX81" si="131">SUM(AT79:AW79)</f>
        <v>0</v>
      </c>
      <c r="AY79" s="141" t="s">
        <v>257</v>
      </c>
      <c r="AZ79" s="137"/>
      <c r="BA79" s="137"/>
      <c r="BB79" s="134">
        <f t="shared" ref="BB79:BB81" si="132">AZ79-BA79</f>
        <v>0</v>
      </c>
      <c r="BC79" s="469" t="s">
        <v>258</v>
      </c>
      <c r="BD79" s="470"/>
      <c r="BE79" s="13"/>
      <c r="BF79" s="16"/>
      <c r="BG79" s="13"/>
      <c r="BH79" s="16"/>
      <c r="BI79" s="13"/>
      <c r="BJ79" s="16"/>
      <c r="BK79" s="13"/>
      <c r="BL79" s="16"/>
      <c r="BM79" s="13"/>
      <c r="BN79" s="16"/>
      <c r="BO79" s="13"/>
      <c r="BP79" s="16"/>
      <c r="BQ79" s="106">
        <f t="shared" ref="BQ79:BQ142" si="133">SUM(BE79:BP79)</f>
        <v>0</v>
      </c>
      <c r="BR79" s="566"/>
      <c r="BS79" s="569"/>
      <c r="BT79" s="570"/>
      <c r="BU79" s="557"/>
      <c r="BV79" s="560"/>
      <c r="BW79" s="563"/>
      <c r="BX79" s="615"/>
    </row>
    <row r="80" spans="1:76" x14ac:dyDescent="0.25">
      <c r="A80" s="586"/>
      <c r="B80" s="590"/>
      <c r="C80" s="591"/>
      <c r="D80" s="605"/>
      <c r="E80" s="517"/>
      <c r="F80" s="518"/>
      <c r="G80" s="523"/>
      <c r="H80" s="524"/>
      <c r="I80" s="529"/>
      <c r="J80" s="530"/>
      <c r="K80" s="513"/>
      <c r="L80" s="534"/>
      <c r="M80" s="537"/>
      <c r="N80" s="541"/>
      <c r="O80" s="542"/>
      <c r="P80" s="483"/>
      <c r="Q80" s="484"/>
      <c r="R80" s="517"/>
      <c r="S80" s="518"/>
      <c r="T80" s="487"/>
      <c r="U80" s="488"/>
      <c r="V80" s="492"/>
      <c r="W80" s="483"/>
      <c r="X80" s="495"/>
      <c r="Y80" s="484"/>
      <c r="Z80" s="498"/>
      <c r="AA80" s="502"/>
      <c r="AB80" s="503"/>
      <c r="AC80" s="508"/>
      <c r="AD80" s="509"/>
      <c r="AE80" s="509"/>
      <c r="AF80" s="511"/>
      <c r="AG80" s="511"/>
      <c r="AH80" s="511"/>
      <c r="AI80" s="511"/>
      <c r="AJ80" s="511"/>
      <c r="AK80" s="511"/>
      <c r="AL80" s="511"/>
      <c r="AM80" s="511"/>
      <c r="AN80" s="511"/>
      <c r="AO80" s="511"/>
      <c r="AP80" s="511"/>
      <c r="AQ80" s="466"/>
      <c r="AR80" s="468"/>
      <c r="AS80" s="122" t="s">
        <v>259</v>
      </c>
      <c r="AT80" s="123"/>
      <c r="AU80" s="123"/>
      <c r="AV80" s="123"/>
      <c r="AW80" s="124"/>
      <c r="AX80" s="126">
        <f t="shared" si="131"/>
        <v>0</v>
      </c>
      <c r="AY80" s="142" t="s">
        <v>259</v>
      </c>
      <c r="AZ80" s="138"/>
      <c r="BA80" s="138"/>
      <c r="BB80" s="135">
        <f t="shared" si="132"/>
        <v>0</v>
      </c>
      <c r="BC80" s="474" t="s">
        <v>260</v>
      </c>
      <c r="BD80" s="475"/>
      <c r="BE80" s="14"/>
      <c r="BF80" s="17"/>
      <c r="BG80" s="14"/>
      <c r="BH80" s="17"/>
      <c r="BI80" s="14"/>
      <c r="BJ80" s="17"/>
      <c r="BK80" s="14"/>
      <c r="BL80" s="17"/>
      <c r="BM80" s="14"/>
      <c r="BN80" s="17"/>
      <c r="BO80" s="14"/>
      <c r="BP80" s="17"/>
      <c r="BQ80" s="107">
        <f t="shared" si="133"/>
        <v>0</v>
      </c>
      <c r="BR80" s="567"/>
      <c r="BS80" s="571"/>
      <c r="BT80" s="572"/>
      <c r="BU80" s="558"/>
      <c r="BV80" s="561"/>
      <c r="BW80" s="564"/>
      <c r="BX80" s="616"/>
    </row>
    <row r="81" spans="1:76" ht="15.75" thickBot="1" x14ac:dyDescent="0.3">
      <c r="A81" s="586"/>
      <c r="B81" s="590"/>
      <c r="C81" s="591"/>
      <c r="D81" s="605"/>
      <c r="E81" s="517"/>
      <c r="F81" s="518"/>
      <c r="G81" s="523"/>
      <c r="H81" s="524"/>
      <c r="I81" s="529"/>
      <c r="J81" s="530"/>
      <c r="K81" s="513"/>
      <c r="L81" s="534"/>
      <c r="M81" s="537"/>
      <c r="N81" s="541"/>
      <c r="O81" s="542"/>
      <c r="P81" s="483"/>
      <c r="Q81" s="484"/>
      <c r="R81" s="517"/>
      <c r="S81" s="518"/>
      <c r="T81" s="487"/>
      <c r="U81" s="488"/>
      <c r="V81" s="492"/>
      <c r="W81" s="483"/>
      <c r="X81" s="495"/>
      <c r="Y81" s="484"/>
      <c r="Z81" s="498"/>
      <c r="AA81" s="502"/>
      <c r="AB81" s="503"/>
      <c r="AC81" s="471" t="s">
        <v>259</v>
      </c>
      <c r="AD81" s="472"/>
      <c r="AE81" s="473"/>
      <c r="AF81" s="100"/>
      <c r="AG81" s="100"/>
      <c r="AH81" s="100"/>
      <c r="AI81" s="100"/>
      <c r="AJ81" s="100"/>
      <c r="AK81" s="100"/>
      <c r="AL81" s="100"/>
      <c r="AM81" s="100"/>
      <c r="AN81" s="100"/>
      <c r="AO81" s="100"/>
      <c r="AP81" s="100"/>
      <c r="AQ81" s="101"/>
      <c r="AR81" s="104">
        <f t="shared" ref="AR81:AR82" si="134">SUM(AF81:AQ81)</f>
        <v>0</v>
      </c>
      <c r="AS81" s="128" t="s">
        <v>261</v>
      </c>
      <c r="AT81" s="129"/>
      <c r="AU81" s="129"/>
      <c r="AV81" s="129"/>
      <c r="AW81" s="130"/>
      <c r="AX81" s="126">
        <f t="shared" si="131"/>
        <v>0</v>
      </c>
      <c r="AY81" s="143" t="s">
        <v>261</v>
      </c>
      <c r="AZ81" s="139"/>
      <c r="BA81" s="139"/>
      <c r="BB81" s="136">
        <f t="shared" si="132"/>
        <v>0</v>
      </c>
      <c r="BC81" s="474" t="s">
        <v>262</v>
      </c>
      <c r="BD81" s="475"/>
      <c r="BE81" s="14"/>
      <c r="BF81" s="17"/>
      <c r="BG81" s="14"/>
      <c r="BH81" s="17"/>
      <c r="BI81" s="14"/>
      <c r="BJ81" s="17"/>
      <c r="BK81" s="14"/>
      <c r="BL81" s="17"/>
      <c r="BM81" s="14"/>
      <c r="BN81" s="17"/>
      <c r="BO81" s="14"/>
      <c r="BP81" s="17"/>
      <c r="BQ81" s="108">
        <f t="shared" si="133"/>
        <v>0</v>
      </c>
      <c r="BR81" s="567"/>
      <c r="BS81" s="571"/>
      <c r="BT81" s="572"/>
      <c r="BU81" s="558"/>
      <c r="BV81" s="561"/>
      <c r="BW81" s="564"/>
      <c r="BX81" s="616"/>
    </row>
    <row r="82" spans="1:76" ht="15.75" thickBot="1" x14ac:dyDescent="0.3">
      <c r="A82" s="587"/>
      <c r="B82" s="592"/>
      <c r="C82" s="593"/>
      <c r="D82" s="606"/>
      <c r="E82" s="519"/>
      <c r="F82" s="520"/>
      <c r="G82" s="525"/>
      <c r="H82" s="526"/>
      <c r="I82" s="531"/>
      <c r="J82" s="532"/>
      <c r="K82" s="514"/>
      <c r="L82" s="535"/>
      <c r="M82" s="538"/>
      <c r="N82" s="543"/>
      <c r="O82" s="544"/>
      <c r="P82" s="485"/>
      <c r="Q82" s="486"/>
      <c r="R82" s="519"/>
      <c r="S82" s="520"/>
      <c r="T82" s="489"/>
      <c r="U82" s="490"/>
      <c r="V82" s="493"/>
      <c r="W82" s="485"/>
      <c r="X82" s="496"/>
      <c r="Y82" s="486"/>
      <c r="Z82" s="499"/>
      <c r="AA82" s="504"/>
      <c r="AB82" s="505"/>
      <c r="AC82" s="476" t="s">
        <v>261</v>
      </c>
      <c r="AD82" s="477"/>
      <c r="AE82" s="478"/>
      <c r="AF82" s="102"/>
      <c r="AG82" s="102"/>
      <c r="AH82" s="102"/>
      <c r="AI82" s="102"/>
      <c r="AJ82" s="102"/>
      <c r="AK82" s="102"/>
      <c r="AL82" s="102"/>
      <c r="AM82" s="102"/>
      <c r="AN82" s="102"/>
      <c r="AO82" s="102"/>
      <c r="AP82" s="102"/>
      <c r="AQ82" s="103"/>
      <c r="AR82" s="105">
        <f t="shared" si="134"/>
        <v>0</v>
      </c>
      <c r="AS82" s="131" t="s">
        <v>161</v>
      </c>
      <c r="AT82" s="132">
        <f t="shared" ref="AT82:AX82" si="135">SUM(AT79:AT81)</f>
        <v>0</v>
      </c>
      <c r="AU82" s="132">
        <f t="shared" si="135"/>
        <v>0</v>
      </c>
      <c r="AV82" s="132">
        <f t="shared" si="135"/>
        <v>0</v>
      </c>
      <c r="AW82" s="133">
        <f t="shared" si="135"/>
        <v>0</v>
      </c>
      <c r="AX82" s="127">
        <f t="shared" si="135"/>
        <v>0</v>
      </c>
      <c r="AY82" s="144" t="s">
        <v>161</v>
      </c>
      <c r="AZ82" s="140">
        <f t="shared" ref="AZ82:BB82" si="136">SUM(AZ79:AZ81)</f>
        <v>0</v>
      </c>
      <c r="BA82" s="140">
        <f t="shared" si="136"/>
        <v>0</v>
      </c>
      <c r="BB82" s="140">
        <f t="shared" si="136"/>
        <v>0</v>
      </c>
      <c r="BC82" s="479" t="s">
        <v>263</v>
      </c>
      <c r="BD82" s="480"/>
      <c r="BE82" s="15"/>
      <c r="BF82" s="18"/>
      <c r="BG82" s="15"/>
      <c r="BH82" s="18"/>
      <c r="BI82" s="15"/>
      <c r="BJ82" s="18"/>
      <c r="BK82" s="15"/>
      <c r="BL82" s="18"/>
      <c r="BM82" s="15"/>
      <c r="BN82" s="18"/>
      <c r="BO82" s="15"/>
      <c r="BP82" s="18"/>
      <c r="BQ82" s="109">
        <f t="shared" si="133"/>
        <v>0</v>
      </c>
      <c r="BR82" s="568"/>
      <c r="BS82" s="573"/>
      <c r="BT82" s="574"/>
      <c r="BU82" s="559"/>
      <c r="BV82" s="562"/>
      <c r="BW82" s="565"/>
      <c r="BX82" s="617"/>
    </row>
    <row r="83" spans="1:76" ht="15.75" thickTop="1" x14ac:dyDescent="0.25">
      <c r="A83" s="585">
        <v>19</v>
      </c>
      <c r="B83" s="588"/>
      <c r="C83" s="589"/>
      <c r="D83" s="604"/>
      <c r="E83" s="515"/>
      <c r="F83" s="516"/>
      <c r="G83" s="521"/>
      <c r="H83" s="522"/>
      <c r="I83" s="527"/>
      <c r="J83" s="528"/>
      <c r="K83" s="512">
        <f t="shared" ref="K83" si="137">INT(YEARFRAC(I83,AA83))</f>
        <v>0</v>
      </c>
      <c r="L83" s="533">
        <f t="shared" ref="L83" ca="1" si="138">INT(YEARFRAC(I83,TODAY()))</f>
        <v>121</v>
      </c>
      <c r="M83" s="536"/>
      <c r="N83" s="539"/>
      <c r="O83" s="540"/>
      <c r="P83" s="481"/>
      <c r="Q83" s="482"/>
      <c r="R83" s="515"/>
      <c r="S83" s="516"/>
      <c r="T83" s="487"/>
      <c r="U83" s="488"/>
      <c r="V83" s="491"/>
      <c r="W83" s="481"/>
      <c r="X83" s="494"/>
      <c r="Y83" s="482"/>
      <c r="Z83" s="497"/>
      <c r="AA83" s="500"/>
      <c r="AB83" s="501"/>
      <c r="AC83" s="506" t="s">
        <v>257</v>
      </c>
      <c r="AD83" s="507"/>
      <c r="AE83" s="507"/>
      <c r="AF83" s="510"/>
      <c r="AG83" s="510"/>
      <c r="AH83" s="510"/>
      <c r="AI83" s="510"/>
      <c r="AJ83" s="510"/>
      <c r="AK83" s="510"/>
      <c r="AL83" s="510"/>
      <c r="AM83" s="510"/>
      <c r="AN83" s="510"/>
      <c r="AO83" s="510"/>
      <c r="AP83" s="510"/>
      <c r="AQ83" s="465"/>
      <c r="AR83" s="467">
        <f t="shared" ref="AR83" si="139">SUM(AF83:AQ84)</f>
        <v>0</v>
      </c>
      <c r="AS83" s="119" t="s">
        <v>257</v>
      </c>
      <c r="AT83" s="120"/>
      <c r="AU83" s="120"/>
      <c r="AV83" s="120"/>
      <c r="AW83" s="121"/>
      <c r="AX83" s="125">
        <f t="shared" ref="AX83:AX85" si="140">SUM(AT83:AW83)</f>
        <v>0</v>
      </c>
      <c r="AY83" s="141" t="s">
        <v>257</v>
      </c>
      <c r="AZ83" s="137"/>
      <c r="BA83" s="137"/>
      <c r="BB83" s="134">
        <f t="shared" ref="BB83:BB85" si="141">AZ83-BA83</f>
        <v>0</v>
      </c>
      <c r="BC83" s="469" t="s">
        <v>258</v>
      </c>
      <c r="BD83" s="470"/>
      <c r="BE83" s="13"/>
      <c r="BF83" s="16"/>
      <c r="BG83" s="13"/>
      <c r="BH83" s="16"/>
      <c r="BI83" s="13"/>
      <c r="BJ83" s="16"/>
      <c r="BK83" s="13"/>
      <c r="BL83" s="16"/>
      <c r="BM83" s="13"/>
      <c r="BN83" s="16"/>
      <c r="BO83" s="13"/>
      <c r="BP83" s="16"/>
      <c r="BQ83" s="106">
        <f t="shared" si="133"/>
        <v>0</v>
      </c>
      <c r="BR83" s="566"/>
      <c r="BS83" s="569"/>
      <c r="BT83" s="570"/>
      <c r="BU83" s="557"/>
      <c r="BV83" s="560"/>
      <c r="BW83" s="563"/>
      <c r="BX83" s="615"/>
    </row>
    <row r="84" spans="1:76" x14ac:dyDescent="0.25">
      <c r="A84" s="586"/>
      <c r="B84" s="590"/>
      <c r="C84" s="591"/>
      <c r="D84" s="605"/>
      <c r="E84" s="517"/>
      <c r="F84" s="518"/>
      <c r="G84" s="523"/>
      <c r="H84" s="524"/>
      <c r="I84" s="529"/>
      <c r="J84" s="530"/>
      <c r="K84" s="513"/>
      <c r="L84" s="534"/>
      <c r="M84" s="537"/>
      <c r="N84" s="541"/>
      <c r="O84" s="542"/>
      <c r="P84" s="483"/>
      <c r="Q84" s="484"/>
      <c r="R84" s="517"/>
      <c r="S84" s="518"/>
      <c r="T84" s="487"/>
      <c r="U84" s="488"/>
      <c r="V84" s="492"/>
      <c r="W84" s="483"/>
      <c r="X84" s="495"/>
      <c r="Y84" s="484"/>
      <c r="Z84" s="498"/>
      <c r="AA84" s="502"/>
      <c r="AB84" s="503"/>
      <c r="AC84" s="508"/>
      <c r="AD84" s="509"/>
      <c r="AE84" s="509"/>
      <c r="AF84" s="511"/>
      <c r="AG84" s="511"/>
      <c r="AH84" s="511"/>
      <c r="AI84" s="511"/>
      <c r="AJ84" s="511"/>
      <c r="AK84" s="511"/>
      <c r="AL84" s="511"/>
      <c r="AM84" s="511"/>
      <c r="AN84" s="511"/>
      <c r="AO84" s="511"/>
      <c r="AP84" s="511"/>
      <c r="AQ84" s="466"/>
      <c r="AR84" s="468"/>
      <c r="AS84" s="122" t="s">
        <v>259</v>
      </c>
      <c r="AT84" s="123"/>
      <c r="AU84" s="123"/>
      <c r="AV84" s="123"/>
      <c r="AW84" s="124"/>
      <c r="AX84" s="126">
        <f t="shared" si="140"/>
        <v>0</v>
      </c>
      <c r="AY84" s="142" t="s">
        <v>259</v>
      </c>
      <c r="AZ84" s="138"/>
      <c r="BA84" s="138"/>
      <c r="BB84" s="135">
        <f t="shared" si="141"/>
        <v>0</v>
      </c>
      <c r="BC84" s="474" t="s">
        <v>260</v>
      </c>
      <c r="BD84" s="475"/>
      <c r="BE84" s="14"/>
      <c r="BF84" s="17"/>
      <c r="BG84" s="14"/>
      <c r="BH84" s="17"/>
      <c r="BI84" s="14"/>
      <c r="BJ84" s="17"/>
      <c r="BK84" s="14"/>
      <c r="BL84" s="17"/>
      <c r="BM84" s="14"/>
      <c r="BN84" s="17"/>
      <c r="BO84" s="14"/>
      <c r="BP84" s="17"/>
      <c r="BQ84" s="107">
        <f t="shared" si="133"/>
        <v>0</v>
      </c>
      <c r="BR84" s="567"/>
      <c r="BS84" s="571"/>
      <c r="BT84" s="572"/>
      <c r="BU84" s="558"/>
      <c r="BV84" s="561"/>
      <c r="BW84" s="564"/>
      <c r="BX84" s="616"/>
    </row>
    <row r="85" spans="1:76" ht="15.75" thickBot="1" x14ac:dyDescent="0.3">
      <c r="A85" s="586"/>
      <c r="B85" s="590"/>
      <c r="C85" s="591"/>
      <c r="D85" s="605"/>
      <c r="E85" s="517"/>
      <c r="F85" s="518"/>
      <c r="G85" s="523"/>
      <c r="H85" s="524"/>
      <c r="I85" s="529"/>
      <c r="J85" s="530"/>
      <c r="K85" s="513"/>
      <c r="L85" s="534"/>
      <c r="M85" s="537"/>
      <c r="N85" s="541"/>
      <c r="O85" s="542"/>
      <c r="P85" s="483"/>
      <c r="Q85" s="484"/>
      <c r="R85" s="517"/>
      <c r="S85" s="518"/>
      <c r="T85" s="487"/>
      <c r="U85" s="488"/>
      <c r="V85" s="492"/>
      <c r="W85" s="483"/>
      <c r="X85" s="495"/>
      <c r="Y85" s="484"/>
      <c r="Z85" s="498"/>
      <c r="AA85" s="502"/>
      <c r="AB85" s="503"/>
      <c r="AC85" s="471" t="s">
        <v>259</v>
      </c>
      <c r="AD85" s="472"/>
      <c r="AE85" s="473"/>
      <c r="AF85" s="100"/>
      <c r="AG85" s="100"/>
      <c r="AH85" s="100"/>
      <c r="AI85" s="100"/>
      <c r="AJ85" s="100"/>
      <c r="AK85" s="100"/>
      <c r="AL85" s="100"/>
      <c r="AM85" s="100"/>
      <c r="AN85" s="100"/>
      <c r="AO85" s="100"/>
      <c r="AP85" s="100"/>
      <c r="AQ85" s="101"/>
      <c r="AR85" s="104">
        <f t="shared" ref="AR85:AR86" si="142">SUM(AF85:AQ85)</f>
        <v>0</v>
      </c>
      <c r="AS85" s="128" t="s">
        <v>261</v>
      </c>
      <c r="AT85" s="129"/>
      <c r="AU85" s="129"/>
      <c r="AV85" s="129"/>
      <c r="AW85" s="130"/>
      <c r="AX85" s="126">
        <f t="shared" si="140"/>
        <v>0</v>
      </c>
      <c r="AY85" s="143" t="s">
        <v>261</v>
      </c>
      <c r="AZ85" s="139"/>
      <c r="BA85" s="139"/>
      <c r="BB85" s="136">
        <f t="shared" si="141"/>
        <v>0</v>
      </c>
      <c r="BC85" s="474" t="s">
        <v>262</v>
      </c>
      <c r="BD85" s="475"/>
      <c r="BE85" s="14"/>
      <c r="BF85" s="17"/>
      <c r="BG85" s="14"/>
      <c r="BH85" s="17"/>
      <c r="BI85" s="14"/>
      <c r="BJ85" s="17"/>
      <c r="BK85" s="14"/>
      <c r="BL85" s="17"/>
      <c r="BM85" s="14"/>
      <c r="BN85" s="17"/>
      <c r="BO85" s="14"/>
      <c r="BP85" s="17"/>
      <c r="BQ85" s="108">
        <f t="shared" si="133"/>
        <v>0</v>
      </c>
      <c r="BR85" s="567"/>
      <c r="BS85" s="571"/>
      <c r="BT85" s="572"/>
      <c r="BU85" s="558"/>
      <c r="BV85" s="561"/>
      <c r="BW85" s="564"/>
      <c r="BX85" s="616"/>
    </row>
    <row r="86" spans="1:76" ht="15.75" thickBot="1" x14ac:dyDescent="0.3">
      <c r="A86" s="587"/>
      <c r="B86" s="592"/>
      <c r="C86" s="593"/>
      <c r="D86" s="606"/>
      <c r="E86" s="519"/>
      <c r="F86" s="520"/>
      <c r="G86" s="525"/>
      <c r="H86" s="526"/>
      <c r="I86" s="531"/>
      <c r="J86" s="532"/>
      <c r="K86" s="514"/>
      <c r="L86" s="535"/>
      <c r="M86" s="538"/>
      <c r="N86" s="543"/>
      <c r="O86" s="544"/>
      <c r="P86" s="485"/>
      <c r="Q86" s="486"/>
      <c r="R86" s="519"/>
      <c r="S86" s="520"/>
      <c r="T86" s="489"/>
      <c r="U86" s="490"/>
      <c r="V86" s="493"/>
      <c r="W86" s="485"/>
      <c r="X86" s="496"/>
      <c r="Y86" s="486"/>
      <c r="Z86" s="499"/>
      <c r="AA86" s="504"/>
      <c r="AB86" s="505"/>
      <c r="AC86" s="476" t="s">
        <v>261</v>
      </c>
      <c r="AD86" s="477"/>
      <c r="AE86" s="478"/>
      <c r="AF86" s="102"/>
      <c r="AG86" s="102"/>
      <c r="AH86" s="102"/>
      <c r="AI86" s="102"/>
      <c r="AJ86" s="102"/>
      <c r="AK86" s="102"/>
      <c r="AL86" s="102"/>
      <c r="AM86" s="102"/>
      <c r="AN86" s="102"/>
      <c r="AO86" s="102"/>
      <c r="AP86" s="102"/>
      <c r="AQ86" s="103"/>
      <c r="AR86" s="105">
        <f t="shared" si="142"/>
        <v>0</v>
      </c>
      <c r="AS86" s="131" t="s">
        <v>161</v>
      </c>
      <c r="AT86" s="132">
        <f t="shared" ref="AT86:AX86" si="143">SUM(AT83:AT85)</f>
        <v>0</v>
      </c>
      <c r="AU86" s="132">
        <f t="shared" si="143"/>
        <v>0</v>
      </c>
      <c r="AV86" s="132">
        <f t="shared" si="143"/>
        <v>0</v>
      </c>
      <c r="AW86" s="133">
        <f t="shared" si="143"/>
        <v>0</v>
      </c>
      <c r="AX86" s="127">
        <f t="shared" si="143"/>
        <v>0</v>
      </c>
      <c r="AY86" s="144" t="s">
        <v>161</v>
      </c>
      <c r="AZ86" s="140">
        <f t="shared" ref="AZ86:BB86" si="144">SUM(AZ83:AZ85)</f>
        <v>0</v>
      </c>
      <c r="BA86" s="140">
        <f t="shared" si="144"/>
        <v>0</v>
      </c>
      <c r="BB86" s="140">
        <f t="shared" si="144"/>
        <v>0</v>
      </c>
      <c r="BC86" s="479" t="s">
        <v>263</v>
      </c>
      <c r="BD86" s="480"/>
      <c r="BE86" s="15"/>
      <c r="BF86" s="18"/>
      <c r="BG86" s="15"/>
      <c r="BH86" s="18"/>
      <c r="BI86" s="15"/>
      <c r="BJ86" s="18"/>
      <c r="BK86" s="15"/>
      <c r="BL86" s="18"/>
      <c r="BM86" s="15"/>
      <c r="BN86" s="18"/>
      <c r="BO86" s="15"/>
      <c r="BP86" s="18"/>
      <c r="BQ86" s="109">
        <f t="shared" si="133"/>
        <v>0</v>
      </c>
      <c r="BR86" s="568"/>
      <c r="BS86" s="573"/>
      <c r="BT86" s="574"/>
      <c r="BU86" s="559"/>
      <c r="BV86" s="562"/>
      <c r="BW86" s="565"/>
      <c r="BX86" s="617"/>
    </row>
    <row r="87" spans="1:76" ht="15.75" thickTop="1" x14ac:dyDescent="0.25">
      <c r="A87" s="585">
        <v>20</v>
      </c>
      <c r="B87" s="588"/>
      <c r="C87" s="589"/>
      <c r="D87" s="604"/>
      <c r="E87" s="515"/>
      <c r="F87" s="516"/>
      <c r="G87" s="521"/>
      <c r="H87" s="522"/>
      <c r="I87" s="527"/>
      <c r="J87" s="528"/>
      <c r="K87" s="512">
        <f t="shared" ref="K87" si="145">INT(YEARFRAC(I87,AA87))</f>
        <v>0</v>
      </c>
      <c r="L87" s="533">
        <f t="shared" ref="L87" ca="1" si="146">INT(YEARFRAC(I87,TODAY()))</f>
        <v>121</v>
      </c>
      <c r="M87" s="536"/>
      <c r="N87" s="539"/>
      <c r="O87" s="540"/>
      <c r="P87" s="481"/>
      <c r="Q87" s="482"/>
      <c r="R87" s="515"/>
      <c r="S87" s="516"/>
      <c r="T87" s="487"/>
      <c r="U87" s="488"/>
      <c r="V87" s="491"/>
      <c r="W87" s="481"/>
      <c r="X87" s="494"/>
      <c r="Y87" s="482"/>
      <c r="Z87" s="497"/>
      <c r="AA87" s="500"/>
      <c r="AB87" s="501"/>
      <c r="AC87" s="506" t="s">
        <v>257</v>
      </c>
      <c r="AD87" s="507"/>
      <c r="AE87" s="507"/>
      <c r="AF87" s="510"/>
      <c r="AG87" s="510"/>
      <c r="AH87" s="510"/>
      <c r="AI87" s="510"/>
      <c r="AJ87" s="510"/>
      <c r="AK87" s="510"/>
      <c r="AL87" s="510"/>
      <c r="AM87" s="510"/>
      <c r="AN87" s="510"/>
      <c r="AO87" s="510"/>
      <c r="AP87" s="510"/>
      <c r="AQ87" s="465"/>
      <c r="AR87" s="467">
        <f t="shared" ref="AR87" si="147">SUM(AF87:AQ88)</f>
        <v>0</v>
      </c>
      <c r="AS87" s="119" t="s">
        <v>257</v>
      </c>
      <c r="AT87" s="120"/>
      <c r="AU87" s="120"/>
      <c r="AV87" s="120"/>
      <c r="AW87" s="121"/>
      <c r="AX87" s="125">
        <f t="shared" ref="AX87:AX89" si="148">SUM(AT87:AW87)</f>
        <v>0</v>
      </c>
      <c r="AY87" s="141" t="s">
        <v>257</v>
      </c>
      <c r="AZ87" s="137"/>
      <c r="BA87" s="137"/>
      <c r="BB87" s="134">
        <f t="shared" ref="BB87:BB89" si="149">AZ87-BA87</f>
        <v>0</v>
      </c>
      <c r="BC87" s="469" t="s">
        <v>258</v>
      </c>
      <c r="BD87" s="470"/>
      <c r="BE87" s="13"/>
      <c r="BF87" s="16"/>
      <c r="BG87" s="13"/>
      <c r="BH87" s="16"/>
      <c r="BI87" s="13"/>
      <c r="BJ87" s="16"/>
      <c r="BK87" s="13"/>
      <c r="BL87" s="16"/>
      <c r="BM87" s="13"/>
      <c r="BN87" s="16"/>
      <c r="BO87" s="13"/>
      <c r="BP87" s="16"/>
      <c r="BQ87" s="106">
        <f t="shared" si="133"/>
        <v>0</v>
      </c>
      <c r="BR87" s="566"/>
      <c r="BS87" s="569"/>
      <c r="BT87" s="570"/>
      <c r="BU87" s="557"/>
      <c r="BV87" s="560"/>
      <c r="BW87" s="563"/>
      <c r="BX87" s="615"/>
    </row>
    <row r="88" spans="1:76" x14ac:dyDescent="0.25">
      <c r="A88" s="586"/>
      <c r="B88" s="590"/>
      <c r="C88" s="591"/>
      <c r="D88" s="605"/>
      <c r="E88" s="517"/>
      <c r="F88" s="518"/>
      <c r="G88" s="523"/>
      <c r="H88" s="524"/>
      <c r="I88" s="529"/>
      <c r="J88" s="530"/>
      <c r="K88" s="513"/>
      <c r="L88" s="534"/>
      <c r="M88" s="537"/>
      <c r="N88" s="541"/>
      <c r="O88" s="542"/>
      <c r="P88" s="483"/>
      <c r="Q88" s="484"/>
      <c r="R88" s="517"/>
      <c r="S88" s="518"/>
      <c r="T88" s="487"/>
      <c r="U88" s="488"/>
      <c r="V88" s="492"/>
      <c r="W88" s="483"/>
      <c r="X88" s="495"/>
      <c r="Y88" s="484"/>
      <c r="Z88" s="498"/>
      <c r="AA88" s="502"/>
      <c r="AB88" s="503"/>
      <c r="AC88" s="508"/>
      <c r="AD88" s="509"/>
      <c r="AE88" s="509"/>
      <c r="AF88" s="511"/>
      <c r="AG88" s="511"/>
      <c r="AH88" s="511"/>
      <c r="AI88" s="511"/>
      <c r="AJ88" s="511"/>
      <c r="AK88" s="511"/>
      <c r="AL88" s="511"/>
      <c r="AM88" s="511"/>
      <c r="AN88" s="511"/>
      <c r="AO88" s="511"/>
      <c r="AP88" s="511"/>
      <c r="AQ88" s="466"/>
      <c r="AR88" s="468"/>
      <c r="AS88" s="122" t="s">
        <v>259</v>
      </c>
      <c r="AT88" s="123"/>
      <c r="AU88" s="123"/>
      <c r="AV88" s="123"/>
      <c r="AW88" s="124"/>
      <c r="AX88" s="126">
        <f t="shared" si="148"/>
        <v>0</v>
      </c>
      <c r="AY88" s="142" t="s">
        <v>259</v>
      </c>
      <c r="AZ88" s="138"/>
      <c r="BA88" s="138"/>
      <c r="BB88" s="135">
        <f t="shared" si="149"/>
        <v>0</v>
      </c>
      <c r="BC88" s="474" t="s">
        <v>260</v>
      </c>
      <c r="BD88" s="475"/>
      <c r="BE88" s="14"/>
      <c r="BF88" s="17"/>
      <c r="BG88" s="14"/>
      <c r="BH88" s="17"/>
      <c r="BI88" s="14"/>
      <c r="BJ88" s="17"/>
      <c r="BK88" s="14"/>
      <c r="BL88" s="17"/>
      <c r="BM88" s="14"/>
      <c r="BN88" s="17"/>
      <c r="BO88" s="14"/>
      <c r="BP88" s="17"/>
      <c r="BQ88" s="107">
        <f t="shared" si="133"/>
        <v>0</v>
      </c>
      <c r="BR88" s="567"/>
      <c r="BS88" s="571"/>
      <c r="BT88" s="572"/>
      <c r="BU88" s="558"/>
      <c r="BV88" s="561"/>
      <c r="BW88" s="564"/>
      <c r="BX88" s="616"/>
    </row>
    <row r="89" spans="1:76" ht="15.75" thickBot="1" x14ac:dyDescent="0.3">
      <c r="A89" s="586"/>
      <c r="B89" s="590"/>
      <c r="C89" s="591"/>
      <c r="D89" s="605"/>
      <c r="E89" s="517"/>
      <c r="F89" s="518"/>
      <c r="G89" s="523"/>
      <c r="H89" s="524"/>
      <c r="I89" s="529"/>
      <c r="J89" s="530"/>
      <c r="K89" s="513"/>
      <c r="L89" s="534"/>
      <c r="M89" s="537"/>
      <c r="N89" s="541"/>
      <c r="O89" s="542"/>
      <c r="P89" s="483"/>
      <c r="Q89" s="484"/>
      <c r="R89" s="517"/>
      <c r="S89" s="518"/>
      <c r="T89" s="487"/>
      <c r="U89" s="488"/>
      <c r="V89" s="492"/>
      <c r="W89" s="483"/>
      <c r="X89" s="495"/>
      <c r="Y89" s="484"/>
      <c r="Z89" s="498"/>
      <c r="AA89" s="502"/>
      <c r="AB89" s="503"/>
      <c r="AC89" s="471" t="s">
        <v>259</v>
      </c>
      <c r="AD89" s="472"/>
      <c r="AE89" s="473"/>
      <c r="AF89" s="100"/>
      <c r="AG89" s="100"/>
      <c r="AH89" s="100"/>
      <c r="AI89" s="100"/>
      <c r="AJ89" s="100"/>
      <c r="AK89" s="100"/>
      <c r="AL89" s="100"/>
      <c r="AM89" s="100"/>
      <c r="AN89" s="100"/>
      <c r="AO89" s="100"/>
      <c r="AP89" s="100"/>
      <c r="AQ89" s="101"/>
      <c r="AR89" s="104">
        <f t="shared" ref="AR89:AR90" si="150">SUM(AF89:AQ89)</f>
        <v>0</v>
      </c>
      <c r="AS89" s="128" t="s">
        <v>261</v>
      </c>
      <c r="AT89" s="129"/>
      <c r="AU89" s="129"/>
      <c r="AV89" s="129"/>
      <c r="AW89" s="130"/>
      <c r="AX89" s="126">
        <f t="shared" si="148"/>
        <v>0</v>
      </c>
      <c r="AY89" s="143" t="s">
        <v>261</v>
      </c>
      <c r="AZ89" s="139"/>
      <c r="BA89" s="139"/>
      <c r="BB89" s="136">
        <f t="shared" si="149"/>
        <v>0</v>
      </c>
      <c r="BC89" s="474" t="s">
        <v>262</v>
      </c>
      <c r="BD89" s="475"/>
      <c r="BE89" s="14"/>
      <c r="BF89" s="17"/>
      <c r="BG89" s="14"/>
      <c r="BH89" s="17"/>
      <c r="BI89" s="14"/>
      <c r="BJ89" s="17"/>
      <c r="BK89" s="14"/>
      <c r="BL89" s="17"/>
      <c r="BM89" s="14"/>
      <c r="BN89" s="17"/>
      <c r="BO89" s="14"/>
      <c r="BP89" s="17"/>
      <c r="BQ89" s="108">
        <f t="shared" si="133"/>
        <v>0</v>
      </c>
      <c r="BR89" s="567"/>
      <c r="BS89" s="571"/>
      <c r="BT89" s="572"/>
      <c r="BU89" s="558"/>
      <c r="BV89" s="561"/>
      <c r="BW89" s="564"/>
      <c r="BX89" s="616"/>
    </row>
    <row r="90" spans="1:76" ht="15.75" thickBot="1" x14ac:dyDescent="0.3">
      <c r="A90" s="587"/>
      <c r="B90" s="592"/>
      <c r="C90" s="593"/>
      <c r="D90" s="606"/>
      <c r="E90" s="519"/>
      <c r="F90" s="520"/>
      <c r="G90" s="525"/>
      <c r="H90" s="526"/>
      <c r="I90" s="531"/>
      <c r="J90" s="532"/>
      <c r="K90" s="514"/>
      <c r="L90" s="535"/>
      <c r="M90" s="538"/>
      <c r="N90" s="543"/>
      <c r="O90" s="544"/>
      <c r="P90" s="485"/>
      <c r="Q90" s="486"/>
      <c r="R90" s="519"/>
      <c r="S90" s="520"/>
      <c r="T90" s="489"/>
      <c r="U90" s="490"/>
      <c r="V90" s="493"/>
      <c r="W90" s="485"/>
      <c r="X90" s="496"/>
      <c r="Y90" s="486"/>
      <c r="Z90" s="499"/>
      <c r="AA90" s="504"/>
      <c r="AB90" s="505"/>
      <c r="AC90" s="476" t="s">
        <v>261</v>
      </c>
      <c r="AD90" s="477"/>
      <c r="AE90" s="478"/>
      <c r="AF90" s="102"/>
      <c r="AG90" s="102"/>
      <c r="AH90" s="102"/>
      <c r="AI90" s="102"/>
      <c r="AJ90" s="102"/>
      <c r="AK90" s="102"/>
      <c r="AL90" s="102"/>
      <c r="AM90" s="102"/>
      <c r="AN90" s="102"/>
      <c r="AO90" s="102"/>
      <c r="AP90" s="102"/>
      <c r="AQ90" s="103"/>
      <c r="AR90" s="105">
        <f t="shared" si="150"/>
        <v>0</v>
      </c>
      <c r="AS90" s="131" t="s">
        <v>161</v>
      </c>
      <c r="AT90" s="132">
        <f t="shared" ref="AT90:AX90" si="151">SUM(AT87:AT89)</f>
        <v>0</v>
      </c>
      <c r="AU90" s="132">
        <f t="shared" si="151"/>
        <v>0</v>
      </c>
      <c r="AV90" s="132">
        <f t="shared" si="151"/>
        <v>0</v>
      </c>
      <c r="AW90" s="133">
        <f t="shared" si="151"/>
        <v>0</v>
      </c>
      <c r="AX90" s="127">
        <f t="shared" si="151"/>
        <v>0</v>
      </c>
      <c r="AY90" s="144" t="s">
        <v>161</v>
      </c>
      <c r="AZ90" s="140">
        <f t="shared" ref="AZ90:BB90" si="152">SUM(AZ87:AZ89)</f>
        <v>0</v>
      </c>
      <c r="BA90" s="140">
        <f t="shared" si="152"/>
        <v>0</v>
      </c>
      <c r="BB90" s="140">
        <f t="shared" si="152"/>
        <v>0</v>
      </c>
      <c r="BC90" s="479" t="s">
        <v>263</v>
      </c>
      <c r="BD90" s="480"/>
      <c r="BE90" s="15"/>
      <c r="BF90" s="18"/>
      <c r="BG90" s="15"/>
      <c r="BH90" s="18"/>
      <c r="BI90" s="15"/>
      <c r="BJ90" s="18"/>
      <c r="BK90" s="15"/>
      <c r="BL90" s="18"/>
      <c r="BM90" s="15"/>
      <c r="BN90" s="18"/>
      <c r="BO90" s="15"/>
      <c r="BP90" s="18"/>
      <c r="BQ90" s="109">
        <f t="shared" si="133"/>
        <v>0</v>
      </c>
      <c r="BR90" s="568"/>
      <c r="BS90" s="573"/>
      <c r="BT90" s="574"/>
      <c r="BU90" s="559"/>
      <c r="BV90" s="562"/>
      <c r="BW90" s="565"/>
      <c r="BX90" s="617"/>
    </row>
    <row r="91" spans="1:76" ht="15.75" thickTop="1" x14ac:dyDescent="0.25">
      <c r="A91" s="585">
        <v>21</v>
      </c>
      <c r="B91" s="588"/>
      <c r="C91" s="589"/>
      <c r="D91" s="604"/>
      <c r="E91" s="515"/>
      <c r="F91" s="516"/>
      <c r="G91" s="521"/>
      <c r="H91" s="522"/>
      <c r="I91" s="527"/>
      <c r="J91" s="528"/>
      <c r="K91" s="512">
        <f t="shared" ref="K91" si="153">INT(YEARFRAC(I91,AA91))</f>
        <v>0</v>
      </c>
      <c r="L91" s="533">
        <f t="shared" ref="L91" ca="1" si="154">INT(YEARFRAC(I91,TODAY()))</f>
        <v>121</v>
      </c>
      <c r="M91" s="536"/>
      <c r="N91" s="539"/>
      <c r="O91" s="540"/>
      <c r="P91" s="481"/>
      <c r="Q91" s="482"/>
      <c r="R91" s="515"/>
      <c r="S91" s="516"/>
      <c r="T91" s="487"/>
      <c r="U91" s="488"/>
      <c r="V91" s="491"/>
      <c r="W91" s="481"/>
      <c r="X91" s="494"/>
      <c r="Y91" s="482"/>
      <c r="Z91" s="497"/>
      <c r="AA91" s="500"/>
      <c r="AB91" s="501"/>
      <c r="AC91" s="506" t="s">
        <v>257</v>
      </c>
      <c r="AD91" s="507"/>
      <c r="AE91" s="507"/>
      <c r="AF91" s="510"/>
      <c r="AG91" s="510"/>
      <c r="AH91" s="510"/>
      <c r="AI91" s="510"/>
      <c r="AJ91" s="510"/>
      <c r="AK91" s="510"/>
      <c r="AL91" s="510"/>
      <c r="AM91" s="510"/>
      <c r="AN91" s="510"/>
      <c r="AO91" s="510"/>
      <c r="AP91" s="510"/>
      <c r="AQ91" s="465"/>
      <c r="AR91" s="467">
        <f t="shared" ref="AR91" si="155">SUM(AF91:AQ92)</f>
        <v>0</v>
      </c>
      <c r="AS91" s="119" t="s">
        <v>257</v>
      </c>
      <c r="AT91" s="120"/>
      <c r="AU91" s="120"/>
      <c r="AV91" s="120"/>
      <c r="AW91" s="121"/>
      <c r="AX91" s="125">
        <f t="shared" ref="AX91:AX93" si="156">SUM(AT91:AW91)</f>
        <v>0</v>
      </c>
      <c r="AY91" s="141" t="s">
        <v>257</v>
      </c>
      <c r="AZ91" s="137"/>
      <c r="BA91" s="137"/>
      <c r="BB91" s="134">
        <f t="shared" ref="BB91:BB93" si="157">AZ91-BA91</f>
        <v>0</v>
      </c>
      <c r="BC91" s="469" t="s">
        <v>258</v>
      </c>
      <c r="BD91" s="470"/>
      <c r="BE91" s="13"/>
      <c r="BF91" s="16"/>
      <c r="BG91" s="13"/>
      <c r="BH91" s="16"/>
      <c r="BI91" s="13"/>
      <c r="BJ91" s="16"/>
      <c r="BK91" s="13"/>
      <c r="BL91" s="16"/>
      <c r="BM91" s="13"/>
      <c r="BN91" s="16"/>
      <c r="BO91" s="13"/>
      <c r="BP91" s="16"/>
      <c r="BQ91" s="106">
        <f t="shared" si="133"/>
        <v>0</v>
      </c>
      <c r="BR91" s="566"/>
      <c r="BS91" s="569"/>
      <c r="BT91" s="570"/>
      <c r="BU91" s="557"/>
      <c r="BV91" s="560"/>
      <c r="BW91" s="563"/>
      <c r="BX91" s="615"/>
    </row>
    <row r="92" spans="1:76" x14ac:dyDescent="0.25">
      <c r="A92" s="586"/>
      <c r="B92" s="590"/>
      <c r="C92" s="591"/>
      <c r="D92" s="605"/>
      <c r="E92" s="517"/>
      <c r="F92" s="518"/>
      <c r="G92" s="523"/>
      <c r="H92" s="524"/>
      <c r="I92" s="529"/>
      <c r="J92" s="530"/>
      <c r="K92" s="513"/>
      <c r="L92" s="534"/>
      <c r="M92" s="537"/>
      <c r="N92" s="541"/>
      <c r="O92" s="542"/>
      <c r="P92" s="483"/>
      <c r="Q92" s="484"/>
      <c r="R92" s="517"/>
      <c r="S92" s="518"/>
      <c r="T92" s="487"/>
      <c r="U92" s="488"/>
      <c r="V92" s="492"/>
      <c r="W92" s="483"/>
      <c r="X92" s="495"/>
      <c r="Y92" s="484"/>
      <c r="Z92" s="498"/>
      <c r="AA92" s="502"/>
      <c r="AB92" s="503"/>
      <c r="AC92" s="508"/>
      <c r="AD92" s="509"/>
      <c r="AE92" s="509"/>
      <c r="AF92" s="511"/>
      <c r="AG92" s="511"/>
      <c r="AH92" s="511"/>
      <c r="AI92" s="511"/>
      <c r="AJ92" s="511"/>
      <c r="AK92" s="511"/>
      <c r="AL92" s="511"/>
      <c r="AM92" s="511"/>
      <c r="AN92" s="511"/>
      <c r="AO92" s="511"/>
      <c r="AP92" s="511"/>
      <c r="AQ92" s="466"/>
      <c r="AR92" s="468"/>
      <c r="AS92" s="122" t="s">
        <v>259</v>
      </c>
      <c r="AT92" s="123"/>
      <c r="AU92" s="123"/>
      <c r="AV92" s="123"/>
      <c r="AW92" s="124"/>
      <c r="AX92" s="126">
        <f t="shared" si="156"/>
        <v>0</v>
      </c>
      <c r="AY92" s="142" t="s">
        <v>259</v>
      </c>
      <c r="AZ92" s="138"/>
      <c r="BA92" s="138"/>
      <c r="BB92" s="135">
        <f t="shared" si="157"/>
        <v>0</v>
      </c>
      <c r="BC92" s="474" t="s">
        <v>260</v>
      </c>
      <c r="BD92" s="475"/>
      <c r="BE92" s="14"/>
      <c r="BF92" s="17"/>
      <c r="BG92" s="14"/>
      <c r="BH92" s="17"/>
      <c r="BI92" s="14"/>
      <c r="BJ92" s="17"/>
      <c r="BK92" s="14"/>
      <c r="BL92" s="17"/>
      <c r="BM92" s="14"/>
      <c r="BN92" s="17"/>
      <c r="BO92" s="14"/>
      <c r="BP92" s="17"/>
      <c r="BQ92" s="107">
        <f t="shared" si="133"/>
        <v>0</v>
      </c>
      <c r="BR92" s="567"/>
      <c r="BS92" s="571"/>
      <c r="BT92" s="572"/>
      <c r="BU92" s="558"/>
      <c r="BV92" s="561"/>
      <c r="BW92" s="564"/>
      <c r="BX92" s="616"/>
    </row>
    <row r="93" spans="1:76" ht="15.75" thickBot="1" x14ac:dyDescent="0.3">
      <c r="A93" s="586"/>
      <c r="B93" s="590"/>
      <c r="C93" s="591"/>
      <c r="D93" s="605"/>
      <c r="E93" s="517"/>
      <c r="F93" s="518"/>
      <c r="G93" s="523"/>
      <c r="H93" s="524"/>
      <c r="I93" s="529"/>
      <c r="J93" s="530"/>
      <c r="K93" s="513"/>
      <c r="L93" s="534"/>
      <c r="M93" s="537"/>
      <c r="N93" s="541"/>
      <c r="O93" s="542"/>
      <c r="P93" s="483"/>
      <c r="Q93" s="484"/>
      <c r="R93" s="517"/>
      <c r="S93" s="518"/>
      <c r="T93" s="487"/>
      <c r="U93" s="488"/>
      <c r="V93" s="492"/>
      <c r="W93" s="483"/>
      <c r="X93" s="495"/>
      <c r="Y93" s="484"/>
      <c r="Z93" s="498"/>
      <c r="AA93" s="502"/>
      <c r="AB93" s="503"/>
      <c r="AC93" s="471" t="s">
        <v>259</v>
      </c>
      <c r="AD93" s="472"/>
      <c r="AE93" s="473"/>
      <c r="AF93" s="100"/>
      <c r="AG93" s="100"/>
      <c r="AH93" s="100"/>
      <c r="AI93" s="100"/>
      <c r="AJ93" s="100"/>
      <c r="AK93" s="100"/>
      <c r="AL93" s="100"/>
      <c r="AM93" s="100"/>
      <c r="AN93" s="100"/>
      <c r="AO93" s="100"/>
      <c r="AP93" s="100"/>
      <c r="AQ93" s="101"/>
      <c r="AR93" s="104">
        <f t="shared" ref="AR93:AR94" si="158">SUM(AF93:AQ93)</f>
        <v>0</v>
      </c>
      <c r="AS93" s="128" t="s">
        <v>261</v>
      </c>
      <c r="AT93" s="129"/>
      <c r="AU93" s="129"/>
      <c r="AV93" s="129"/>
      <c r="AW93" s="130"/>
      <c r="AX93" s="126">
        <f t="shared" si="156"/>
        <v>0</v>
      </c>
      <c r="AY93" s="143" t="s">
        <v>261</v>
      </c>
      <c r="AZ93" s="139"/>
      <c r="BA93" s="139"/>
      <c r="BB93" s="136">
        <f t="shared" si="157"/>
        <v>0</v>
      </c>
      <c r="BC93" s="474" t="s">
        <v>262</v>
      </c>
      <c r="BD93" s="475"/>
      <c r="BE93" s="14"/>
      <c r="BF93" s="17"/>
      <c r="BG93" s="14"/>
      <c r="BH93" s="17"/>
      <c r="BI93" s="14"/>
      <c r="BJ93" s="17"/>
      <c r="BK93" s="14"/>
      <c r="BL93" s="17"/>
      <c r="BM93" s="14"/>
      <c r="BN93" s="17"/>
      <c r="BO93" s="14"/>
      <c r="BP93" s="17"/>
      <c r="BQ93" s="108">
        <f t="shared" si="133"/>
        <v>0</v>
      </c>
      <c r="BR93" s="567"/>
      <c r="BS93" s="571"/>
      <c r="BT93" s="572"/>
      <c r="BU93" s="558"/>
      <c r="BV93" s="561"/>
      <c r="BW93" s="564"/>
      <c r="BX93" s="616"/>
    </row>
    <row r="94" spans="1:76" ht="15.75" thickBot="1" x14ac:dyDescent="0.3">
      <c r="A94" s="587"/>
      <c r="B94" s="592"/>
      <c r="C94" s="593"/>
      <c r="D94" s="606"/>
      <c r="E94" s="519"/>
      <c r="F94" s="520"/>
      <c r="G94" s="525"/>
      <c r="H94" s="526"/>
      <c r="I94" s="531"/>
      <c r="J94" s="532"/>
      <c r="K94" s="514"/>
      <c r="L94" s="535"/>
      <c r="M94" s="538"/>
      <c r="N94" s="543"/>
      <c r="O94" s="544"/>
      <c r="P94" s="485"/>
      <c r="Q94" s="486"/>
      <c r="R94" s="519"/>
      <c r="S94" s="520"/>
      <c r="T94" s="489"/>
      <c r="U94" s="490"/>
      <c r="V94" s="493"/>
      <c r="W94" s="485"/>
      <c r="X94" s="496"/>
      <c r="Y94" s="486"/>
      <c r="Z94" s="499"/>
      <c r="AA94" s="504"/>
      <c r="AB94" s="505"/>
      <c r="AC94" s="476" t="s">
        <v>261</v>
      </c>
      <c r="AD94" s="477"/>
      <c r="AE94" s="478"/>
      <c r="AF94" s="102"/>
      <c r="AG94" s="102"/>
      <c r="AH94" s="102"/>
      <c r="AI94" s="102"/>
      <c r="AJ94" s="102"/>
      <c r="AK94" s="102"/>
      <c r="AL94" s="102"/>
      <c r="AM94" s="102"/>
      <c r="AN94" s="102"/>
      <c r="AO94" s="102"/>
      <c r="AP94" s="102"/>
      <c r="AQ94" s="103"/>
      <c r="AR94" s="105">
        <f t="shared" si="158"/>
        <v>0</v>
      </c>
      <c r="AS94" s="131" t="s">
        <v>161</v>
      </c>
      <c r="AT94" s="132">
        <f t="shared" ref="AT94:AX94" si="159">SUM(AT91:AT93)</f>
        <v>0</v>
      </c>
      <c r="AU94" s="132">
        <f t="shared" si="159"/>
        <v>0</v>
      </c>
      <c r="AV94" s="132">
        <f t="shared" si="159"/>
        <v>0</v>
      </c>
      <c r="AW94" s="133">
        <f t="shared" si="159"/>
        <v>0</v>
      </c>
      <c r="AX94" s="127">
        <f t="shared" si="159"/>
        <v>0</v>
      </c>
      <c r="AY94" s="144" t="s">
        <v>161</v>
      </c>
      <c r="AZ94" s="140">
        <f t="shared" ref="AZ94:BB94" si="160">SUM(AZ91:AZ93)</f>
        <v>0</v>
      </c>
      <c r="BA94" s="140">
        <f t="shared" si="160"/>
        <v>0</v>
      </c>
      <c r="BB94" s="140">
        <f t="shared" si="160"/>
        <v>0</v>
      </c>
      <c r="BC94" s="479" t="s">
        <v>263</v>
      </c>
      <c r="BD94" s="480"/>
      <c r="BE94" s="15"/>
      <c r="BF94" s="18"/>
      <c r="BG94" s="15"/>
      <c r="BH94" s="18"/>
      <c r="BI94" s="15"/>
      <c r="BJ94" s="18"/>
      <c r="BK94" s="15"/>
      <c r="BL94" s="18"/>
      <c r="BM94" s="15"/>
      <c r="BN94" s="18"/>
      <c r="BO94" s="15"/>
      <c r="BP94" s="18"/>
      <c r="BQ94" s="109">
        <f t="shared" si="133"/>
        <v>0</v>
      </c>
      <c r="BR94" s="568"/>
      <c r="BS94" s="573"/>
      <c r="BT94" s="574"/>
      <c r="BU94" s="559"/>
      <c r="BV94" s="562"/>
      <c r="BW94" s="565"/>
      <c r="BX94" s="617"/>
    </row>
    <row r="95" spans="1:76" ht="15.75" thickTop="1" x14ac:dyDescent="0.25">
      <c r="A95" s="585">
        <v>22</v>
      </c>
      <c r="B95" s="588"/>
      <c r="C95" s="589"/>
      <c r="D95" s="604"/>
      <c r="E95" s="515"/>
      <c r="F95" s="516"/>
      <c r="G95" s="521"/>
      <c r="H95" s="522"/>
      <c r="I95" s="527"/>
      <c r="J95" s="528"/>
      <c r="K95" s="512">
        <f t="shared" ref="K95" si="161">INT(YEARFRAC(I95,AA95))</f>
        <v>0</v>
      </c>
      <c r="L95" s="533">
        <f t="shared" ref="L95" ca="1" si="162">INT(YEARFRAC(I95,TODAY()))</f>
        <v>121</v>
      </c>
      <c r="M95" s="536"/>
      <c r="N95" s="539"/>
      <c r="O95" s="540"/>
      <c r="P95" s="481"/>
      <c r="Q95" s="482"/>
      <c r="R95" s="515"/>
      <c r="S95" s="516"/>
      <c r="T95" s="487"/>
      <c r="U95" s="488"/>
      <c r="V95" s="491"/>
      <c r="W95" s="481"/>
      <c r="X95" s="494"/>
      <c r="Y95" s="482"/>
      <c r="Z95" s="497"/>
      <c r="AA95" s="500"/>
      <c r="AB95" s="501"/>
      <c r="AC95" s="506" t="s">
        <v>257</v>
      </c>
      <c r="AD95" s="507"/>
      <c r="AE95" s="507"/>
      <c r="AF95" s="510"/>
      <c r="AG95" s="510"/>
      <c r="AH95" s="510"/>
      <c r="AI95" s="510"/>
      <c r="AJ95" s="510"/>
      <c r="AK95" s="510"/>
      <c r="AL95" s="510"/>
      <c r="AM95" s="510"/>
      <c r="AN95" s="510"/>
      <c r="AO95" s="510"/>
      <c r="AP95" s="510"/>
      <c r="AQ95" s="465"/>
      <c r="AR95" s="467">
        <f t="shared" ref="AR95" si="163">SUM(AF95:AQ96)</f>
        <v>0</v>
      </c>
      <c r="AS95" s="119" t="s">
        <v>257</v>
      </c>
      <c r="AT95" s="120"/>
      <c r="AU95" s="120"/>
      <c r="AV95" s="120"/>
      <c r="AW95" s="121"/>
      <c r="AX95" s="125">
        <f t="shared" ref="AX95:AX97" si="164">SUM(AT95:AW95)</f>
        <v>0</v>
      </c>
      <c r="AY95" s="141" t="s">
        <v>257</v>
      </c>
      <c r="AZ95" s="137"/>
      <c r="BA95" s="137"/>
      <c r="BB95" s="134">
        <f t="shared" ref="BB95:BB97" si="165">AZ95-BA95</f>
        <v>0</v>
      </c>
      <c r="BC95" s="469" t="s">
        <v>258</v>
      </c>
      <c r="BD95" s="470"/>
      <c r="BE95" s="13"/>
      <c r="BF95" s="16"/>
      <c r="BG95" s="13"/>
      <c r="BH95" s="16"/>
      <c r="BI95" s="13"/>
      <c r="BJ95" s="16"/>
      <c r="BK95" s="13"/>
      <c r="BL95" s="16"/>
      <c r="BM95" s="13"/>
      <c r="BN95" s="16"/>
      <c r="BO95" s="13"/>
      <c r="BP95" s="16"/>
      <c r="BQ95" s="106">
        <f t="shared" si="133"/>
        <v>0</v>
      </c>
      <c r="BR95" s="566"/>
      <c r="BS95" s="569"/>
      <c r="BT95" s="570"/>
      <c r="BU95" s="557"/>
      <c r="BV95" s="560"/>
      <c r="BW95" s="563"/>
      <c r="BX95" s="615"/>
    </row>
    <row r="96" spans="1:76" x14ac:dyDescent="0.25">
      <c r="A96" s="586"/>
      <c r="B96" s="590"/>
      <c r="C96" s="591"/>
      <c r="D96" s="605"/>
      <c r="E96" s="517"/>
      <c r="F96" s="518"/>
      <c r="G96" s="523"/>
      <c r="H96" s="524"/>
      <c r="I96" s="529"/>
      <c r="J96" s="530"/>
      <c r="K96" s="513"/>
      <c r="L96" s="534"/>
      <c r="M96" s="537"/>
      <c r="N96" s="541"/>
      <c r="O96" s="542"/>
      <c r="P96" s="483"/>
      <c r="Q96" s="484"/>
      <c r="R96" s="517"/>
      <c r="S96" s="518"/>
      <c r="T96" s="487"/>
      <c r="U96" s="488"/>
      <c r="V96" s="492"/>
      <c r="W96" s="483"/>
      <c r="X96" s="495"/>
      <c r="Y96" s="484"/>
      <c r="Z96" s="498"/>
      <c r="AA96" s="502"/>
      <c r="AB96" s="503"/>
      <c r="AC96" s="508"/>
      <c r="AD96" s="509"/>
      <c r="AE96" s="509"/>
      <c r="AF96" s="511"/>
      <c r="AG96" s="511"/>
      <c r="AH96" s="511"/>
      <c r="AI96" s="511"/>
      <c r="AJ96" s="511"/>
      <c r="AK96" s="511"/>
      <c r="AL96" s="511"/>
      <c r="AM96" s="511"/>
      <c r="AN96" s="511"/>
      <c r="AO96" s="511"/>
      <c r="AP96" s="511"/>
      <c r="AQ96" s="466"/>
      <c r="AR96" s="468"/>
      <c r="AS96" s="122" t="s">
        <v>259</v>
      </c>
      <c r="AT96" s="123"/>
      <c r="AU96" s="123"/>
      <c r="AV96" s="123"/>
      <c r="AW96" s="124"/>
      <c r="AX96" s="126">
        <f t="shared" si="164"/>
        <v>0</v>
      </c>
      <c r="AY96" s="142" t="s">
        <v>259</v>
      </c>
      <c r="AZ96" s="138"/>
      <c r="BA96" s="138"/>
      <c r="BB96" s="135">
        <f t="shared" si="165"/>
        <v>0</v>
      </c>
      <c r="BC96" s="474" t="s">
        <v>260</v>
      </c>
      <c r="BD96" s="475"/>
      <c r="BE96" s="14"/>
      <c r="BF96" s="17"/>
      <c r="BG96" s="14"/>
      <c r="BH96" s="17"/>
      <c r="BI96" s="14"/>
      <c r="BJ96" s="17"/>
      <c r="BK96" s="14"/>
      <c r="BL96" s="17"/>
      <c r="BM96" s="14"/>
      <c r="BN96" s="17"/>
      <c r="BO96" s="14"/>
      <c r="BP96" s="17"/>
      <c r="BQ96" s="107">
        <f t="shared" si="133"/>
        <v>0</v>
      </c>
      <c r="BR96" s="567"/>
      <c r="BS96" s="571"/>
      <c r="BT96" s="572"/>
      <c r="BU96" s="558"/>
      <c r="BV96" s="561"/>
      <c r="BW96" s="564"/>
      <c r="BX96" s="616"/>
    </row>
    <row r="97" spans="1:76" ht="15.75" thickBot="1" x14ac:dyDescent="0.3">
      <c r="A97" s="586"/>
      <c r="B97" s="590"/>
      <c r="C97" s="591"/>
      <c r="D97" s="605"/>
      <c r="E97" s="517"/>
      <c r="F97" s="518"/>
      <c r="G97" s="523"/>
      <c r="H97" s="524"/>
      <c r="I97" s="529"/>
      <c r="J97" s="530"/>
      <c r="K97" s="513"/>
      <c r="L97" s="534"/>
      <c r="M97" s="537"/>
      <c r="N97" s="541"/>
      <c r="O97" s="542"/>
      <c r="P97" s="483"/>
      <c r="Q97" s="484"/>
      <c r="R97" s="517"/>
      <c r="S97" s="518"/>
      <c r="T97" s="487"/>
      <c r="U97" s="488"/>
      <c r="V97" s="492"/>
      <c r="W97" s="483"/>
      <c r="X97" s="495"/>
      <c r="Y97" s="484"/>
      <c r="Z97" s="498"/>
      <c r="AA97" s="502"/>
      <c r="AB97" s="503"/>
      <c r="AC97" s="471" t="s">
        <v>259</v>
      </c>
      <c r="AD97" s="472"/>
      <c r="AE97" s="473"/>
      <c r="AF97" s="100"/>
      <c r="AG97" s="100"/>
      <c r="AH97" s="100"/>
      <c r="AI97" s="100"/>
      <c r="AJ97" s="100"/>
      <c r="AK97" s="100"/>
      <c r="AL97" s="100"/>
      <c r="AM97" s="100"/>
      <c r="AN97" s="100"/>
      <c r="AO97" s="100"/>
      <c r="AP97" s="100"/>
      <c r="AQ97" s="101"/>
      <c r="AR97" s="104">
        <f t="shared" ref="AR97:AR98" si="166">SUM(AF97:AQ97)</f>
        <v>0</v>
      </c>
      <c r="AS97" s="128" t="s">
        <v>261</v>
      </c>
      <c r="AT97" s="129"/>
      <c r="AU97" s="129"/>
      <c r="AV97" s="129"/>
      <c r="AW97" s="130"/>
      <c r="AX97" s="126">
        <f t="shared" si="164"/>
        <v>0</v>
      </c>
      <c r="AY97" s="143" t="s">
        <v>261</v>
      </c>
      <c r="AZ97" s="139"/>
      <c r="BA97" s="139"/>
      <c r="BB97" s="136">
        <f t="shared" si="165"/>
        <v>0</v>
      </c>
      <c r="BC97" s="474" t="s">
        <v>262</v>
      </c>
      <c r="BD97" s="475"/>
      <c r="BE97" s="14"/>
      <c r="BF97" s="17"/>
      <c r="BG97" s="14"/>
      <c r="BH97" s="17"/>
      <c r="BI97" s="14"/>
      <c r="BJ97" s="17"/>
      <c r="BK97" s="14"/>
      <c r="BL97" s="17"/>
      <c r="BM97" s="14"/>
      <c r="BN97" s="17"/>
      <c r="BO97" s="14"/>
      <c r="BP97" s="17"/>
      <c r="BQ97" s="108">
        <f t="shared" si="133"/>
        <v>0</v>
      </c>
      <c r="BR97" s="567"/>
      <c r="BS97" s="571"/>
      <c r="BT97" s="572"/>
      <c r="BU97" s="558"/>
      <c r="BV97" s="561"/>
      <c r="BW97" s="564"/>
      <c r="BX97" s="616"/>
    </row>
    <row r="98" spans="1:76" ht="15.75" thickBot="1" x14ac:dyDescent="0.3">
      <c r="A98" s="587"/>
      <c r="B98" s="592"/>
      <c r="C98" s="593"/>
      <c r="D98" s="606"/>
      <c r="E98" s="519"/>
      <c r="F98" s="520"/>
      <c r="G98" s="525"/>
      <c r="H98" s="526"/>
      <c r="I98" s="531"/>
      <c r="J98" s="532"/>
      <c r="K98" s="514"/>
      <c r="L98" s="535"/>
      <c r="M98" s="538"/>
      <c r="N98" s="543"/>
      <c r="O98" s="544"/>
      <c r="P98" s="485"/>
      <c r="Q98" s="486"/>
      <c r="R98" s="519"/>
      <c r="S98" s="520"/>
      <c r="T98" s="489"/>
      <c r="U98" s="490"/>
      <c r="V98" s="493"/>
      <c r="W98" s="485"/>
      <c r="X98" s="496"/>
      <c r="Y98" s="486"/>
      <c r="Z98" s="499"/>
      <c r="AA98" s="504"/>
      <c r="AB98" s="505"/>
      <c r="AC98" s="476" t="s">
        <v>261</v>
      </c>
      <c r="AD98" s="477"/>
      <c r="AE98" s="478"/>
      <c r="AF98" s="102"/>
      <c r="AG98" s="102"/>
      <c r="AH98" s="102"/>
      <c r="AI98" s="102"/>
      <c r="AJ98" s="102"/>
      <c r="AK98" s="102"/>
      <c r="AL98" s="102"/>
      <c r="AM98" s="102"/>
      <c r="AN98" s="102"/>
      <c r="AO98" s="102"/>
      <c r="AP98" s="102"/>
      <c r="AQ98" s="103"/>
      <c r="AR98" s="105">
        <f t="shared" si="166"/>
        <v>0</v>
      </c>
      <c r="AS98" s="131" t="s">
        <v>161</v>
      </c>
      <c r="AT98" s="132">
        <f t="shared" ref="AT98:AX98" si="167">SUM(AT95:AT97)</f>
        <v>0</v>
      </c>
      <c r="AU98" s="132">
        <f t="shared" si="167"/>
        <v>0</v>
      </c>
      <c r="AV98" s="132">
        <f t="shared" si="167"/>
        <v>0</v>
      </c>
      <c r="AW98" s="133">
        <f t="shared" si="167"/>
        <v>0</v>
      </c>
      <c r="AX98" s="127">
        <f t="shared" si="167"/>
        <v>0</v>
      </c>
      <c r="AY98" s="144" t="s">
        <v>161</v>
      </c>
      <c r="AZ98" s="140">
        <f t="shared" ref="AZ98:BB98" si="168">SUM(AZ95:AZ97)</f>
        <v>0</v>
      </c>
      <c r="BA98" s="140">
        <f t="shared" si="168"/>
        <v>0</v>
      </c>
      <c r="BB98" s="140">
        <f t="shared" si="168"/>
        <v>0</v>
      </c>
      <c r="BC98" s="479" t="s">
        <v>263</v>
      </c>
      <c r="BD98" s="480"/>
      <c r="BE98" s="15"/>
      <c r="BF98" s="18"/>
      <c r="BG98" s="15"/>
      <c r="BH98" s="18"/>
      <c r="BI98" s="15"/>
      <c r="BJ98" s="18"/>
      <c r="BK98" s="15"/>
      <c r="BL98" s="18"/>
      <c r="BM98" s="15"/>
      <c r="BN98" s="18"/>
      <c r="BO98" s="15"/>
      <c r="BP98" s="18"/>
      <c r="BQ98" s="109">
        <f t="shared" si="133"/>
        <v>0</v>
      </c>
      <c r="BR98" s="568"/>
      <c r="BS98" s="573"/>
      <c r="BT98" s="574"/>
      <c r="BU98" s="559"/>
      <c r="BV98" s="562"/>
      <c r="BW98" s="565"/>
      <c r="BX98" s="617"/>
    </row>
    <row r="99" spans="1:76" ht="15.75" thickTop="1" x14ac:dyDescent="0.25">
      <c r="A99" s="585">
        <v>23</v>
      </c>
      <c r="B99" s="588"/>
      <c r="C99" s="589"/>
      <c r="D99" s="604"/>
      <c r="E99" s="515"/>
      <c r="F99" s="516"/>
      <c r="G99" s="521"/>
      <c r="H99" s="522"/>
      <c r="I99" s="527"/>
      <c r="J99" s="528"/>
      <c r="K99" s="512">
        <f t="shared" ref="K99" si="169">INT(YEARFRAC(I99,AA99))</f>
        <v>0</v>
      </c>
      <c r="L99" s="533">
        <f t="shared" ref="L99" ca="1" si="170">INT(YEARFRAC(I99,TODAY()))</f>
        <v>121</v>
      </c>
      <c r="M99" s="536"/>
      <c r="N99" s="539"/>
      <c r="O99" s="540"/>
      <c r="P99" s="481"/>
      <c r="Q99" s="482"/>
      <c r="R99" s="515"/>
      <c r="S99" s="516"/>
      <c r="T99" s="487"/>
      <c r="U99" s="488"/>
      <c r="V99" s="491"/>
      <c r="W99" s="481"/>
      <c r="X99" s="494"/>
      <c r="Y99" s="482"/>
      <c r="Z99" s="497"/>
      <c r="AA99" s="500"/>
      <c r="AB99" s="501"/>
      <c r="AC99" s="506" t="s">
        <v>257</v>
      </c>
      <c r="AD99" s="507"/>
      <c r="AE99" s="507"/>
      <c r="AF99" s="510"/>
      <c r="AG99" s="510"/>
      <c r="AH99" s="510"/>
      <c r="AI99" s="510"/>
      <c r="AJ99" s="510"/>
      <c r="AK99" s="510"/>
      <c r="AL99" s="510"/>
      <c r="AM99" s="510"/>
      <c r="AN99" s="510"/>
      <c r="AO99" s="510"/>
      <c r="AP99" s="510"/>
      <c r="AQ99" s="465"/>
      <c r="AR99" s="467">
        <f t="shared" ref="AR99" si="171">SUM(AF99:AQ100)</f>
        <v>0</v>
      </c>
      <c r="AS99" s="119" t="s">
        <v>257</v>
      </c>
      <c r="AT99" s="120"/>
      <c r="AU99" s="120"/>
      <c r="AV99" s="120"/>
      <c r="AW99" s="121"/>
      <c r="AX99" s="125">
        <f t="shared" ref="AX99:AX101" si="172">SUM(AT99:AW99)</f>
        <v>0</v>
      </c>
      <c r="AY99" s="141" t="s">
        <v>257</v>
      </c>
      <c r="AZ99" s="137"/>
      <c r="BA99" s="137"/>
      <c r="BB99" s="134">
        <f t="shared" ref="BB99:BB101" si="173">AZ99-BA99</f>
        <v>0</v>
      </c>
      <c r="BC99" s="469" t="s">
        <v>258</v>
      </c>
      <c r="BD99" s="470"/>
      <c r="BE99" s="13"/>
      <c r="BF99" s="16"/>
      <c r="BG99" s="13"/>
      <c r="BH99" s="16"/>
      <c r="BI99" s="13"/>
      <c r="BJ99" s="16"/>
      <c r="BK99" s="13"/>
      <c r="BL99" s="16"/>
      <c r="BM99" s="13"/>
      <c r="BN99" s="16"/>
      <c r="BO99" s="13"/>
      <c r="BP99" s="16"/>
      <c r="BQ99" s="106">
        <f t="shared" si="133"/>
        <v>0</v>
      </c>
      <c r="BR99" s="566"/>
      <c r="BS99" s="569"/>
      <c r="BT99" s="570"/>
      <c r="BU99" s="557"/>
      <c r="BV99" s="560"/>
      <c r="BW99" s="563"/>
      <c r="BX99" s="615"/>
    </row>
    <row r="100" spans="1:76" x14ac:dyDescent="0.25">
      <c r="A100" s="586"/>
      <c r="B100" s="590"/>
      <c r="C100" s="591"/>
      <c r="D100" s="605"/>
      <c r="E100" s="517"/>
      <c r="F100" s="518"/>
      <c r="G100" s="523"/>
      <c r="H100" s="524"/>
      <c r="I100" s="529"/>
      <c r="J100" s="530"/>
      <c r="K100" s="513"/>
      <c r="L100" s="534"/>
      <c r="M100" s="537"/>
      <c r="N100" s="541"/>
      <c r="O100" s="542"/>
      <c r="P100" s="483"/>
      <c r="Q100" s="484"/>
      <c r="R100" s="517"/>
      <c r="S100" s="518"/>
      <c r="T100" s="487"/>
      <c r="U100" s="488"/>
      <c r="V100" s="492"/>
      <c r="W100" s="483"/>
      <c r="X100" s="495"/>
      <c r="Y100" s="484"/>
      <c r="Z100" s="498"/>
      <c r="AA100" s="502"/>
      <c r="AB100" s="503"/>
      <c r="AC100" s="508"/>
      <c r="AD100" s="509"/>
      <c r="AE100" s="509"/>
      <c r="AF100" s="511"/>
      <c r="AG100" s="511"/>
      <c r="AH100" s="511"/>
      <c r="AI100" s="511"/>
      <c r="AJ100" s="511"/>
      <c r="AK100" s="511"/>
      <c r="AL100" s="511"/>
      <c r="AM100" s="511"/>
      <c r="AN100" s="511"/>
      <c r="AO100" s="511"/>
      <c r="AP100" s="511"/>
      <c r="AQ100" s="466"/>
      <c r="AR100" s="468"/>
      <c r="AS100" s="122" t="s">
        <v>259</v>
      </c>
      <c r="AT100" s="123"/>
      <c r="AU100" s="123"/>
      <c r="AV100" s="123"/>
      <c r="AW100" s="124"/>
      <c r="AX100" s="126">
        <f t="shared" si="172"/>
        <v>0</v>
      </c>
      <c r="AY100" s="142" t="s">
        <v>259</v>
      </c>
      <c r="AZ100" s="138"/>
      <c r="BA100" s="138"/>
      <c r="BB100" s="135">
        <f t="shared" si="173"/>
        <v>0</v>
      </c>
      <c r="BC100" s="474" t="s">
        <v>260</v>
      </c>
      <c r="BD100" s="475"/>
      <c r="BE100" s="14"/>
      <c r="BF100" s="17"/>
      <c r="BG100" s="14"/>
      <c r="BH100" s="17"/>
      <c r="BI100" s="14"/>
      <c r="BJ100" s="17"/>
      <c r="BK100" s="14"/>
      <c r="BL100" s="17"/>
      <c r="BM100" s="14"/>
      <c r="BN100" s="17"/>
      <c r="BO100" s="14"/>
      <c r="BP100" s="17"/>
      <c r="BQ100" s="107">
        <f t="shared" si="133"/>
        <v>0</v>
      </c>
      <c r="BR100" s="567"/>
      <c r="BS100" s="571"/>
      <c r="BT100" s="572"/>
      <c r="BU100" s="558"/>
      <c r="BV100" s="561"/>
      <c r="BW100" s="564"/>
      <c r="BX100" s="616"/>
    </row>
    <row r="101" spans="1:76" ht="15.75" thickBot="1" x14ac:dyDescent="0.3">
      <c r="A101" s="586"/>
      <c r="B101" s="590"/>
      <c r="C101" s="591"/>
      <c r="D101" s="605"/>
      <c r="E101" s="517"/>
      <c r="F101" s="518"/>
      <c r="G101" s="523"/>
      <c r="H101" s="524"/>
      <c r="I101" s="529"/>
      <c r="J101" s="530"/>
      <c r="K101" s="513"/>
      <c r="L101" s="534"/>
      <c r="M101" s="537"/>
      <c r="N101" s="541"/>
      <c r="O101" s="542"/>
      <c r="P101" s="483"/>
      <c r="Q101" s="484"/>
      <c r="R101" s="517"/>
      <c r="S101" s="518"/>
      <c r="T101" s="487"/>
      <c r="U101" s="488"/>
      <c r="V101" s="492"/>
      <c r="W101" s="483"/>
      <c r="X101" s="495"/>
      <c r="Y101" s="484"/>
      <c r="Z101" s="498"/>
      <c r="AA101" s="502"/>
      <c r="AB101" s="503"/>
      <c r="AC101" s="471" t="s">
        <v>259</v>
      </c>
      <c r="AD101" s="472"/>
      <c r="AE101" s="473"/>
      <c r="AF101" s="100"/>
      <c r="AG101" s="100"/>
      <c r="AH101" s="100"/>
      <c r="AI101" s="100"/>
      <c r="AJ101" s="100"/>
      <c r="AK101" s="100"/>
      <c r="AL101" s="100"/>
      <c r="AM101" s="100"/>
      <c r="AN101" s="100"/>
      <c r="AO101" s="100"/>
      <c r="AP101" s="100"/>
      <c r="AQ101" s="101"/>
      <c r="AR101" s="104">
        <f t="shared" ref="AR101:AR102" si="174">SUM(AF101:AQ101)</f>
        <v>0</v>
      </c>
      <c r="AS101" s="128" t="s">
        <v>261</v>
      </c>
      <c r="AT101" s="129"/>
      <c r="AU101" s="129"/>
      <c r="AV101" s="129"/>
      <c r="AW101" s="130"/>
      <c r="AX101" s="126">
        <f t="shared" si="172"/>
        <v>0</v>
      </c>
      <c r="AY101" s="143" t="s">
        <v>261</v>
      </c>
      <c r="AZ101" s="139"/>
      <c r="BA101" s="139"/>
      <c r="BB101" s="136">
        <f t="shared" si="173"/>
        <v>0</v>
      </c>
      <c r="BC101" s="474" t="s">
        <v>262</v>
      </c>
      <c r="BD101" s="475"/>
      <c r="BE101" s="14"/>
      <c r="BF101" s="17"/>
      <c r="BG101" s="14"/>
      <c r="BH101" s="17"/>
      <c r="BI101" s="14"/>
      <c r="BJ101" s="17"/>
      <c r="BK101" s="14"/>
      <c r="BL101" s="17"/>
      <c r="BM101" s="14"/>
      <c r="BN101" s="17"/>
      <c r="BO101" s="14"/>
      <c r="BP101" s="17"/>
      <c r="BQ101" s="108">
        <f t="shared" si="133"/>
        <v>0</v>
      </c>
      <c r="BR101" s="567"/>
      <c r="BS101" s="571"/>
      <c r="BT101" s="572"/>
      <c r="BU101" s="558"/>
      <c r="BV101" s="561"/>
      <c r="BW101" s="564"/>
      <c r="BX101" s="616"/>
    </row>
    <row r="102" spans="1:76" ht="15.75" thickBot="1" x14ac:dyDescent="0.3">
      <c r="A102" s="587"/>
      <c r="B102" s="592"/>
      <c r="C102" s="593"/>
      <c r="D102" s="606"/>
      <c r="E102" s="519"/>
      <c r="F102" s="520"/>
      <c r="G102" s="525"/>
      <c r="H102" s="526"/>
      <c r="I102" s="531"/>
      <c r="J102" s="532"/>
      <c r="K102" s="514"/>
      <c r="L102" s="535"/>
      <c r="M102" s="538"/>
      <c r="N102" s="543"/>
      <c r="O102" s="544"/>
      <c r="P102" s="485"/>
      <c r="Q102" s="486"/>
      <c r="R102" s="519"/>
      <c r="S102" s="520"/>
      <c r="T102" s="489"/>
      <c r="U102" s="490"/>
      <c r="V102" s="493"/>
      <c r="W102" s="485"/>
      <c r="X102" s="496"/>
      <c r="Y102" s="486"/>
      <c r="Z102" s="499"/>
      <c r="AA102" s="504"/>
      <c r="AB102" s="505"/>
      <c r="AC102" s="476" t="s">
        <v>261</v>
      </c>
      <c r="AD102" s="477"/>
      <c r="AE102" s="478"/>
      <c r="AF102" s="102"/>
      <c r="AG102" s="102"/>
      <c r="AH102" s="102"/>
      <c r="AI102" s="102"/>
      <c r="AJ102" s="102"/>
      <c r="AK102" s="102"/>
      <c r="AL102" s="102"/>
      <c r="AM102" s="102"/>
      <c r="AN102" s="102"/>
      <c r="AO102" s="102"/>
      <c r="AP102" s="102"/>
      <c r="AQ102" s="103"/>
      <c r="AR102" s="105">
        <f t="shared" si="174"/>
        <v>0</v>
      </c>
      <c r="AS102" s="131" t="s">
        <v>161</v>
      </c>
      <c r="AT102" s="132">
        <f t="shared" ref="AT102:AX102" si="175">SUM(AT99:AT101)</f>
        <v>0</v>
      </c>
      <c r="AU102" s="132">
        <f t="shared" si="175"/>
        <v>0</v>
      </c>
      <c r="AV102" s="132">
        <f t="shared" si="175"/>
        <v>0</v>
      </c>
      <c r="AW102" s="133">
        <f t="shared" si="175"/>
        <v>0</v>
      </c>
      <c r="AX102" s="127">
        <f t="shared" si="175"/>
        <v>0</v>
      </c>
      <c r="AY102" s="144" t="s">
        <v>161</v>
      </c>
      <c r="AZ102" s="140">
        <f t="shared" ref="AZ102:BB102" si="176">SUM(AZ99:AZ101)</f>
        <v>0</v>
      </c>
      <c r="BA102" s="140">
        <f t="shared" si="176"/>
        <v>0</v>
      </c>
      <c r="BB102" s="140">
        <f t="shared" si="176"/>
        <v>0</v>
      </c>
      <c r="BC102" s="479" t="s">
        <v>263</v>
      </c>
      <c r="BD102" s="480"/>
      <c r="BE102" s="15"/>
      <c r="BF102" s="18"/>
      <c r="BG102" s="15"/>
      <c r="BH102" s="18"/>
      <c r="BI102" s="15"/>
      <c r="BJ102" s="18"/>
      <c r="BK102" s="15"/>
      <c r="BL102" s="18"/>
      <c r="BM102" s="15"/>
      <c r="BN102" s="18"/>
      <c r="BO102" s="15"/>
      <c r="BP102" s="18"/>
      <c r="BQ102" s="109">
        <f t="shared" si="133"/>
        <v>0</v>
      </c>
      <c r="BR102" s="568"/>
      <c r="BS102" s="573"/>
      <c r="BT102" s="574"/>
      <c r="BU102" s="559"/>
      <c r="BV102" s="562"/>
      <c r="BW102" s="565"/>
      <c r="BX102" s="617"/>
    </row>
    <row r="103" spans="1:76" ht="15.75" thickTop="1" x14ac:dyDescent="0.25">
      <c r="A103" s="585">
        <v>24</v>
      </c>
      <c r="B103" s="588"/>
      <c r="C103" s="589"/>
      <c r="D103" s="604"/>
      <c r="E103" s="515"/>
      <c r="F103" s="516"/>
      <c r="G103" s="521"/>
      <c r="H103" s="522"/>
      <c r="I103" s="527"/>
      <c r="J103" s="528"/>
      <c r="K103" s="512">
        <f t="shared" ref="K103" si="177">INT(YEARFRAC(I103,AA103))</f>
        <v>0</v>
      </c>
      <c r="L103" s="533">
        <f t="shared" ref="L103" ca="1" si="178">INT(YEARFRAC(I103,TODAY()))</f>
        <v>121</v>
      </c>
      <c r="M103" s="536"/>
      <c r="N103" s="539"/>
      <c r="O103" s="540"/>
      <c r="P103" s="481"/>
      <c r="Q103" s="482"/>
      <c r="R103" s="515"/>
      <c r="S103" s="516"/>
      <c r="T103" s="487"/>
      <c r="U103" s="488"/>
      <c r="V103" s="491"/>
      <c r="W103" s="481"/>
      <c r="X103" s="494"/>
      <c r="Y103" s="482"/>
      <c r="Z103" s="497"/>
      <c r="AA103" s="500"/>
      <c r="AB103" s="501"/>
      <c r="AC103" s="506" t="s">
        <v>257</v>
      </c>
      <c r="AD103" s="507"/>
      <c r="AE103" s="507"/>
      <c r="AF103" s="510"/>
      <c r="AG103" s="510"/>
      <c r="AH103" s="510"/>
      <c r="AI103" s="510"/>
      <c r="AJ103" s="510"/>
      <c r="AK103" s="510"/>
      <c r="AL103" s="510"/>
      <c r="AM103" s="510"/>
      <c r="AN103" s="510"/>
      <c r="AO103" s="510"/>
      <c r="AP103" s="510"/>
      <c r="AQ103" s="465"/>
      <c r="AR103" s="467">
        <f t="shared" ref="AR103" si="179">SUM(AF103:AQ104)</f>
        <v>0</v>
      </c>
      <c r="AS103" s="119" t="s">
        <v>257</v>
      </c>
      <c r="AT103" s="120"/>
      <c r="AU103" s="120"/>
      <c r="AV103" s="120"/>
      <c r="AW103" s="121"/>
      <c r="AX103" s="125">
        <f t="shared" ref="AX103:AX105" si="180">SUM(AT103:AW103)</f>
        <v>0</v>
      </c>
      <c r="AY103" s="141" t="s">
        <v>257</v>
      </c>
      <c r="AZ103" s="137"/>
      <c r="BA103" s="137"/>
      <c r="BB103" s="134">
        <f t="shared" ref="BB103:BB105" si="181">AZ103-BA103</f>
        <v>0</v>
      </c>
      <c r="BC103" s="469" t="s">
        <v>258</v>
      </c>
      <c r="BD103" s="470"/>
      <c r="BE103" s="13"/>
      <c r="BF103" s="16"/>
      <c r="BG103" s="13"/>
      <c r="BH103" s="16"/>
      <c r="BI103" s="13"/>
      <c r="BJ103" s="16"/>
      <c r="BK103" s="13"/>
      <c r="BL103" s="16"/>
      <c r="BM103" s="13"/>
      <c r="BN103" s="16"/>
      <c r="BO103" s="13"/>
      <c r="BP103" s="16"/>
      <c r="BQ103" s="106">
        <f t="shared" si="133"/>
        <v>0</v>
      </c>
      <c r="BR103" s="566"/>
      <c r="BS103" s="569"/>
      <c r="BT103" s="570"/>
      <c r="BU103" s="557"/>
      <c r="BV103" s="560"/>
      <c r="BW103" s="563"/>
      <c r="BX103" s="615"/>
    </row>
    <row r="104" spans="1:76" x14ac:dyDescent="0.25">
      <c r="A104" s="586"/>
      <c r="B104" s="590"/>
      <c r="C104" s="591"/>
      <c r="D104" s="605"/>
      <c r="E104" s="517"/>
      <c r="F104" s="518"/>
      <c r="G104" s="523"/>
      <c r="H104" s="524"/>
      <c r="I104" s="529"/>
      <c r="J104" s="530"/>
      <c r="K104" s="513"/>
      <c r="L104" s="534"/>
      <c r="M104" s="537"/>
      <c r="N104" s="541"/>
      <c r="O104" s="542"/>
      <c r="P104" s="483"/>
      <c r="Q104" s="484"/>
      <c r="R104" s="517"/>
      <c r="S104" s="518"/>
      <c r="T104" s="487"/>
      <c r="U104" s="488"/>
      <c r="V104" s="492"/>
      <c r="W104" s="483"/>
      <c r="X104" s="495"/>
      <c r="Y104" s="484"/>
      <c r="Z104" s="498"/>
      <c r="AA104" s="502"/>
      <c r="AB104" s="503"/>
      <c r="AC104" s="508"/>
      <c r="AD104" s="509"/>
      <c r="AE104" s="509"/>
      <c r="AF104" s="511"/>
      <c r="AG104" s="511"/>
      <c r="AH104" s="511"/>
      <c r="AI104" s="511"/>
      <c r="AJ104" s="511"/>
      <c r="AK104" s="511"/>
      <c r="AL104" s="511"/>
      <c r="AM104" s="511"/>
      <c r="AN104" s="511"/>
      <c r="AO104" s="511"/>
      <c r="AP104" s="511"/>
      <c r="AQ104" s="466"/>
      <c r="AR104" s="468"/>
      <c r="AS104" s="122" t="s">
        <v>259</v>
      </c>
      <c r="AT104" s="123"/>
      <c r="AU104" s="123"/>
      <c r="AV104" s="123"/>
      <c r="AW104" s="124"/>
      <c r="AX104" s="126">
        <f t="shared" si="180"/>
        <v>0</v>
      </c>
      <c r="AY104" s="142" t="s">
        <v>259</v>
      </c>
      <c r="AZ104" s="138"/>
      <c r="BA104" s="138"/>
      <c r="BB104" s="135">
        <f t="shared" si="181"/>
        <v>0</v>
      </c>
      <c r="BC104" s="474" t="s">
        <v>260</v>
      </c>
      <c r="BD104" s="475"/>
      <c r="BE104" s="14"/>
      <c r="BF104" s="17"/>
      <c r="BG104" s="14"/>
      <c r="BH104" s="17"/>
      <c r="BI104" s="14"/>
      <c r="BJ104" s="17"/>
      <c r="BK104" s="14"/>
      <c r="BL104" s="17"/>
      <c r="BM104" s="14"/>
      <c r="BN104" s="17"/>
      <c r="BO104" s="14"/>
      <c r="BP104" s="17"/>
      <c r="BQ104" s="107">
        <f t="shared" si="133"/>
        <v>0</v>
      </c>
      <c r="BR104" s="567"/>
      <c r="BS104" s="571"/>
      <c r="BT104" s="572"/>
      <c r="BU104" s="558"/>
      <c r="BV104" s="561"/>
      <c r="BW104" s="564"/>
      <c r="BX104" s="616"/>
    </row>
    <row r="105" spans="1:76" ht="15.75" thickBot="1" x14ac:dyDescent="0.3">
      <c r="A105" s="586"/>
      <c r="B105" s="590"/>
      <c r="C105" s="591"/>
      <c r="D105" s="605"/>
      <c r="E105" s="517"/>
      <c r="F105" s="518"/>
      <c r="G105" s="523"/>
      <c r="H105" s="524"/>
      <c r="I105" s="529"/>
      <c r="J105" s="530"/>
      <c r="K105" s="513"/>
      <c r="L105" s="534"/>
      <c r="M105" s="537"/>
      <c r="N105" s="541"/>
      <c r="O105" s="542"/>
      <c r="P105" s="483"/>
      <c r="Q105" s="484"/>
      <c r="R105" s="517"/>
      <c r="S105" s="518"/>
      <c r="T105" s="487"/>
      <c r="U105" s="488"/>
      <c r="V105" s="492"/>
      <c r="W105" s="483"/>
      <c r="X105" s="495"/>
      <c r="Y105" s="484"/>
      <c r="Z105" s="498"/>
      <c r="AA105" s="502"/>
      <c r="AB105" s="503"/>
      <c r="AC105" s="471" t="s">
        <v>259</v>
      </c>
      <c r="AD105" s="472"/>
      <c r="AE105" s="473"/>
      <c r="AF105" s="100"/>
      <c r="AG105" s="100"/>
      <c r="AH105" s="100"/>
      <c r="AI105" s="100"/>
      <c r="AJ105" s="100"/>
      <c r="AK105" s="100"/>
      <c r="AL105" s="100"/>
      <c r="AM105" s="100"/>
      <c r="AN105" s="100"/>
      <c r="AO105" s="100"/>
      <c r="AP105" s="100"/>
      <c r="AQ105" s="101"/>
      <c r="AR105" s="104">
        <f t="shared" ref="AR105:AR106" si="182">SUM(AF105:AQ105)</f>
        <v>0</v>
      </c>
      <c r="AS105" s="128" t="s">
        <v>261</v>
      </c>
      <c r="AT105" s="129"/>
      <c r="AU105" s="129"/>
      <c r="AV105" s="129"/>
      <c r="AW105" s="130"/>
      <c r="AX105" s="126">
        <f t="shared" si="180"/>
        <v>0</v>
      </c>
      <c r="AY105" s="143" t="s">
        <v>261</v>
      </c>
      <c r="AZ105" s="139"/>
      <c r="BA105" s="139"/>
      <c r="BB105" s="136">
        <f t="shared" si="181"/>
        <v>0</v>
      </c>
      <c r="BC105" s="474" t="s">
        <v>262</v>
      </c>
      <c r="BD105" s="475"/>
      <c r="BE105" s="14"/>
      <c r="BF105" s="17"/>
      <c r="BG105" s="14"/>
      <c r="BH105" s="17"/>
      <c r="BI105" s="14"/>
      <c r="BJ105" s="17"/>
      <c r="BK105" s="14"/>
      <c r="BL105" s="17"/>
      <c r="BM105" s="14"/>
      <c r="BN105" s="17"/>
      <c r="BO105" s="14"/>
      <c r="BP105" s="17"/>
      <c r="BQ105" s="108">
        <f t="shared" si="133"/>
        <v>0</v>
      </c>
      <c r="BR105" s="567"/>
      <c r="BS105" s="571"/>
      <c r="BT105" s="572"/>
      <c r="BU105" s="558"/>
      <c r="BV105" s="561"/>
      <c r="BW105" s="564"/>
      <c r="BX105" s="616"/>
    </row>
    <row r="106" spans="1:76" ht="15.75" thickBot="1" x14ac:dyDescent="0.3">
      <c r="A106" s="587"/>
      <c r="B106" s="592"/>
      <c r="C106" s="593"/>
      <c r="D106" s="606"/>
      <c r="E106" s="519"/>
      <c r="F106" s="520"/>
      <c r="G106" s="525"/>
      <c r="H106" s="526"/>
      <c r="I106" s="531"/>
      <c r="J106" s="532"/>
      <c r="K106" s="514"/>
      <c r="L106" s="535"/>
      <c r="M106" s="538"/>
      <c r="N106" s="543"/>
      <c r="O106" s="544"/>
      <c r="P106" s="485"/>
      <c r="Q106" s="486"/>
      <c r="R106" s="519"/>
      <c r="S106" s="520"/>
      <c r="T106" s="489"/>
      <c r="U106" s="490"/>
      <c r="V106" s="493"/>
      <c r="W106" s="485"/>
      <c r="X106" s="496"/>
      <c r="Y106" s="486"/>
      <c r="Z106" s="499"/>
      <c r="AA106" s="504"/>
      <c r="AB106" s="505"/>
      <c r="AC106" s="476" t="s">
        <v>261</v>
      </c>
      <c r="AD106" s="477"/>
      <c r="AE106" s="478"/>
      <c r="AF106" s="102"/>
      <c r="AG106" s="102"/>
      <c r="AH106" s="102"/>
      <c r="AI106" s="102"/>
      <c r="AJ106" s="102"/>
      <c r="AK106" s="102"/>
      <c r="AL106" s="102"/>
      <c r="AM106" s="102"/>
      <c r="AN106" s="102"/>
      <c r="AO106" s="102"/>
      <c r="AP106" s="102"/>
      <c r="AQ106" s="103"/>
      <c r="AR106" s="105">
        <f t="shared" si="182"/>
        <v>0</v>
      </c>
      <c r="AS106" s="131" t="s">
        <v>161</v>
      </c>
      <c r="AT106" s="132">
        <f t="shared" ref="AT106:AX106" si="183">SUM(AT103:AT105)</f>
        <v>0</v>
      </c>
      <c r="AU106" s="132">
        <f t="shared" si="183"/>
        <v>0</v>
      </c>
      <c r="AV106" s="132">
        <f t="shared" si="183"/>
        <v>0</v>
      </c>
      <c r="AW106" s="133">
        <f t="shared" si="183"/>
        <v>0</v>
      </c>
      <c r="AX106" s="127">
        <f t="shared" si="183"/>
        <v>0</v>
      </c>
      <c r="AY106" s="144" t="s">
        <v>161</v>
      </c>
      <c r="AZ106" s="140">
        <f t="shared" ref="AZ106:BB106" si="184">SUM(AZ103:AZ105)</f>
        <v>0</v>
      </c>
      <c r="BA106" s="140">
        <f t="shared" si="184"/>
        <v>0</v>
      </c>
      <c r="BB106" s="140">
        <f t="shared" si="184"/>
        <v>0</v>
      </c>
      <c r="BC106" s="479" t="s">
        <v>263</v>
      </c>
      <c r="BD106" s="480"/>
      <c r="BE106" s="15"/>
      <c r="BF106" s="18"/>
      <c r="BG106" s="15"/>
      <c r="BH106" s="18"/>
      <c r="BI106" s="15"/>
      <c r="BJ106" s="18"/>
      <c r="BK106" s="15"/>
      <c r="BL106" s="18"/>
      <c r="BM106" s="15"/>
      <c r="BN106" s="18"/>
      <c r="BO106" s="15"/>
      <c r="BP106" s="18"/>
      <c r="BQ106" s="109">
        <f t="shared" si="133"/>
        <v>0</v>
      </c>
      <c r="BR106" s="568"/>
      <c r="BS106" s="573"/>
      <c r="BT106" s="574"/>
      <c r="BU106" s="559"/>
      <c r="BV106" s="562"/>
      <c r="BW106" s="565"/>
      <c r="BX106" s="617"/>
    </row>
    <row r="107" spans="1:76" ht="15.75" thickTop="1" x14ac:dyDescent="0.25">
      <c r="A107" s="585">
        <v>25</v>
      </c>
      <c r="B107" s="588"/>
      <c r="C107" s="589"/>
      <c r="D107" s="604"/>
      <c r="E107" s="515"/>
      <c r="F107" s="516"/>
      <c r="G107" s="521"/>
      <c r="H107" s="522"/>
      <c r="I107" s="527"/>
      <c r="J107" s="528"/>
      <c r="K107" s="512">
        <f t="shared" ref="K107" si="185">INT(YEARFRAC(I107,AA107))</f>
        <v>0</v>
      </c>
      <c r="L107" s="533">
        <f t="shared" ref="L107" ca="1" si="186">INT(YEARFRAC(I107,TODAY()))</f>
        <v>121</v>
      </c>
      <c r="M107" s="536"/>
      <c r="N107" s="539"/>
      <c r="O107" s="540"/>
      <c r="P107" s="481"/>
      <c r="Q107" s="482"/>
      <c r="R107" s="515"/>
      <c r="S107" s="516"/>
      <c r="T107" s="487"/>
      <c r="U107" s="488"/>
      <c r="V107" s="491"/>
      <c r="W107" s="481"/>
      <c r="X107" s="494"/>
      <c r="Y107" s="482"/>
      <c r="Z107" s="497"/>
      <c r="AA107" s="500"/>
      <c r="AB107" s="501"/>
      <c r="AC107" s="506" t="s">
        <v>257</v>
      </c>
      <c r="AD107" s="507"/>
      <c r="AE107" s="507"/>
      <c r="AF107" s="510"/>
      <c r="AG107" s="510"/>
      <c r="AH107" s="510"/>
      <c r="AI107" s="510"/>
      <c r="AJ107" s="510"/>
      <c r="AK107" s="510"/>
      <c r="AL107" s="510"/>
      <c r="AM107" s="510"/>
      <c r="AN107" s="510"/>
      <c r="AO107" s="510"/>
      <c r="AP107" s="510"/>
      <c r="AQ107" s="465"/>
      <c r="AR107" s="467">
        <f t="shared" ref="AR107" si="187">SUM(AF107:AQ108)</f>
        <v>0</v>
      </c>
      <c r="AS107" s="119" t="s">
        <v>257</v>
      </c>
      <c r="AT107" s="120"/>
      <c r="AU107" s="120"/>
      <c r="AV107" s="120"/>
      <c r="AW107" s="121"/>
      <c r="AX107" s="125">
        <f t="shared" ref="AX107:AX109" si="188">SUM(AT107:AW107)</f>
        <v>0</v>
      </c>
      <c r="AY107" s="141" t="s">
        <v>257</v>
      </c>
      <c r="AZ107" s="137"/>
      <c r="BA107" s="137"/>
      <c r="BB107" s="134">
        <f t="shared" ref="BB107:BB109" si="189">AZ107-BA107</f>
        <v>0</v>
      </c>
      <c r="BC107" s="469" t="s">
        <v>258</v>
      </c>
      <c r="BD107" s="470"/>
      <c r="BE107" s="13"/>
      <c r="BF107" s="16"/>
      <c r="BG107" s="13"/>
      <c r="BH107" s="16"/>
      <c r="BI107" s="13"/>
      <c r="BJ107" s="16"/>
      <c r="BK107" s="13"/>
      <c r="BL107" s="16"/>
      <c r="BM107" s="13"/>
      <c r="BN107" s="16"/>
      <c r="BO107" s="13"/>
      <c r="BP107" s="16"/>
      <c r="BQ107" s="106">
        <f t="shared" si="133"/>
        <v>0</v>
      </c>
      <c r="BR107" s="566"/>
      <c r="BS107" s="569"/>
      <c r="BT107" s="570"/>
      <c r="BU107" s="557"/>
      <c r="BV107" s="560"/>
      <c r="BW107" s="563"/>
      <c r="BX107" s="615"/>
    </row>
    <row r="108" spans="1:76" x14ac:dyDescent="0.25">
      <c r="A108" s="586"/>
      <c r="B108" s="590"/>
      <c r="C108" s="591"/>
      <c r="D108" s="605"/>
      <c r="E108" s="517"/>
      <c r="F108" s="518"/>
      <c r="G108" s="523"/>
      <c r="H108" s="524"/>
      <c r="I108" s="529"/>
      <c r="J108" s="530"/>
      <c r="K108" s="513"/>
      <c r="L108" s="534"/>
      <c r="M108" s="537"/>
      <c r="N108" s="541"/>
      <c r="O108" s="542"/>
      <c r="P108" s="483"/>
      <c r="Q108" s="484"/>
      <c r="R108" s="517"/>
      <c r="S108" s="518"/>
      <c r="T108" s="487"/>
      <c r="U108" s="488"/>
      <c r="V108" s="492"/>
      <c r="W108" s="483"/>
      <c r="X108" s="495"/>
      <c r="Y108" s="484"/>
      <c r="Z108" s="498"/>
      <c r="AA108" s="502"/>
      <c r="AB108" s="503"/>
      <c r="AC108" s="508"/>
      <c r="AD108" s="509"/>
      <c r="AE108" s="509"/>
      <c r="AF108" s="511"/>
      <c r="AG108" s="511"/>
      <c r="AH108" s="511"/>
      <c r="AI108" s="511"/>
      <c r="AJ108" s="511"/>
      <c r="AK108" s="511"/>
      <c r="AL108" s="511"/>
      <c r="AM108" s="511"/>
      <c r="AN108" s="511"/>
      <c r="AO108" s="511"/>
      <c r="AP108" s="511"/>
      <c r="AQ108" s="466"/>
      <c r="AR108" s="468"/>
      <c r="AS108" s="122" t="s">
        <v>259</v>
      </c>
      <c r="AT108" s="123"/>
      <c r="AU108" s="123"/>
      <c r="AV108" s="123"/>
      <c r="AW108" s="124"/>
      <c r="AX108" s="126">
        <f t="shared" si="188"/>
        <v>0</v>
      </c>
      <c r="AY108" s="142" t="s">
        <v>259</v>
      </c>
      <c r="AZ108" s="138"/>
      <c r="BA108" s="138"/>
      <c r="BB108" s="135">
        <f t="shared" si="189"/>
        <v>0</v>
      </c>
      <c r="BC108" s="474" t="s">
        <v>260</v>
      </c>
      <c r="BD108" s="475"/>
      <c r="BE108" s="14"/>
      <c r="BF108" s="17"/>
      <c r="BG108" s="14"/>
      <c r="BH108" s="17"/>
      <c r="BI108" s="14"/>
      <c r="BJ108" s="17"/>
      <c r="BK108" s="14"/>
      <c r="BL108" s="17"/>
      <c r="BM108" s="14"/>
      <c r="BN108" s="17"/>
      <c r="BO108" s="14"/>
      <c r="BP108" s="17"/>
      <c r="BQ108" s="107">
        <f t="shared" si="133"/>
        <v>0</v>
      </c>
      <c r="BR108" s="567"/>
      <c r="BS108" s="571"/>
      <c r="BT108" s="572"/>
      <c r="BU108" s="558"/>
      <c r="BV108" s="561"/>
      <c r="BW108" s="564"/>
      <c r="BX108" s="616"/>
    </row>
    <row r="109" spans="1:76" ht="15.75" thickBot="1" x14ac:dyDescent="0.3">
      <c r="A109" s="586"/>
      <c r="B109" s="590"/>
      <c r="C109" s="591"/>
      <c r="D109" s="605"/>
      <c r="E109" s="517"/>
      <c r="F109" s="518"/>
      <c r="G109" s="523"/>
      <c r="H109" s="524"/>
      <c r="I109" s="529"/>
      <c r="J109" s="530"/>
      <c r="K109" s="513"/>
      <c r="L109" s="534"/>
      <c r="M109" s="537"/>
      <c r="N109" s="541"/>
      <c r="O109" s="542"/>
      <c r="P109" s="483"/>
      <c r="Q109" s="484"/>
      <c r="R109" s="517"/>
      <c r="S109" s="518"/>
      <c r="T109" s="487"/>
      <c r="U109" s="488"/>
      <c r="V109" s="492"/>
      <c r="W109" s="483"/>
      <c r="X109" s="495"/>
      <c r="Y109" s="484"/>
      <c r="Z109" s="498"/>
      <c r="AA109" s="502"/>
      <c r="AB109" s="503"/>
      <c r="AC109" s="471" t="s">
        <v>259</v>
      </c>
      <c r="AD109" s="472"/>
      <c r="AE109" s="473"/>
      <c r="AF109" s="100"/>
      <c r="AG109" s="100"/>
      <c r="AH109" s="100"/>
      <c r="AI109" s="100"/>
      <c r="AJ109" s="100"/>
      <c r="AK109" s="100"/>
      <c r="AL109" s="100"/>
      <c r="AM109" s="100"/>
      <c r="AN109" s="100"/>
      <c r="AO109" s="100"/>
      <c r="AP109" s="100"/>
      <c r="AQ109" s="101"/>
      <c r="AR109" s="104">
        <f t="shared" ref="AR109:AR110" si="190">SUM(AF109:AQ109)</f>
        <v>0</v>
      </c>
      <c r="AS109" s="128" t="s">
        <v>261</v>
      </c>
      <c r="AT109" s="129"/>
      <c r="AU109" s="129"/>
      <c r="AV109" s="129"/>
      <c r="AW109" s="130"/>
      <c r="AX109" s="126">
        <f t="shared" si="188"/>
        <v>0</v>
      </c>
      <c r="AY109" s="143" t="s">
        <v>261</v>
      </c>
      <c r="AZ109" s="139"/>
      <c r="BA109" s="139"/>
      <c r="BB109" s="136">
        <f t="shared" si="189"/>
        <v>0</v>
      </c>
      <c r="BC109" s="474" t="s">
        <v>262</v>
      </c>
      <c r="BD109" s="475"/>
      <c r="BE109" s="14"/>
      <c r="BF109" s="17"/>
      <c r="BG109" s="14"/>
      <c r="BH109" s="17"/>
      <c r="BI109" s="14"/>
      <c r="BJ109" s="17"/>
      <c r="BK109" s="14"/>
      <c r="BL109" s="17"/>
      <c r="BM109" s="14"/>
      <c r="BN109" s="17"/>
      <c r="BO109" s="14"/>
      <c r="BP109" s="17"/>
      <c r="BQ109" s="108">
        <f t="shared" si="133"/>
        <v>0</v>
      </c>
      <c r="BR109" s="567"/>
      <c r="BS109" s="571"/>
      <c r="BT109" s="572"/>
      <c r="BU109" s="558"/>
      <c r="BV109" s="561"/>
      <c r="BW109" s="564"/>
      <c r="BX109" s="616"/>
    </row>
    <row r="110" spans="1:76" ht="15.75" thickBot="1" x14ac:dyDescent="0.3">
      <c r="A110" s="587"/>
      <c r="B110" s="592"/>
      <c r="C110" s="593"/>
      <c r="D110" s="606"/>
      <c r="E110" s="519"/>
      <c r="F110" s="520"/>
      <c r="G110" s="525"/>
      <c r="H110" s="526"/>
      <c r="I110" s="531"/>
      <c r="J110" s="532"/>
      <c r="K110" s="514"/>
      <c r="L110" s="535"/>
      <c r="M110" s="538"/>
      <c r="N110" s="543"/>
      <c r="O110" s="544"/>
      <c r="P110" s="485"/>
      <c r="Q110" s="486"/>
      <c r="R110" s="519"/>
      <c r="S110" s="520"/>
      <c r="T110" s="489"/>
      <c r="U110" s="490"/>
      <c r="V110" s="493"/>
      <c r="W110" s="485"/>
      <c r="X110" s="496"/>
      <c r="Y110" s="486"/>
      <c r="Z110" s="499"/>
      <c r="AA110" s="504"/>
      <c r="AB110" s="505"/>
      <c r="AC110" s="476" t="s">
        <v>261</v>
      </c>
      <c r="AD110" s="477"/>
      <c r="AE110" s="478"/>
      <c r="AF110" s="102"/>
      <c r="AG110" s="102"/>
      <c r="AH110" s="102"/>
      <c r="AI110" s="102"/>
      <c r="AJ110" s="102"/>
      <c r="AK110" s="102"/>
      <c r="AL110" s="102"/>
      <c r="AM110" s="102"/>
      <c r="AN110" s="102"/>
      <c r="AO110" s="102"/>
      <c r="AP110" s="102"/>
      <c r="AQ110" s="103"/>
      <c r="AR110" s="105">
        <f t="shared" si="190"/>
        <v>0</v>
      </c>
      <c r="AS110" s="131" t="s">
        <v>161</v>
      </c>
      <c r="AT110" s="132">
        <f t="shared" ref="AT110:AX110" si="191">SUM(AT107:AT109)</f>
        <v>0</v>
      </c>
      <c r="AU110" s="132">
        <f t="shared" si="191"/>
        <v>0</v>
      </c>
      <c r="AV110" s="132">
        <f t="shared" si="191"/>
        <v>0</v>
      </c>
      <c r="AW110" s="133">
        <f t="shared" si="191"/>
        <v>0</v>
      </c>
      <c r="AX110" s="127">
        <f t="shared" si="191"/>
        <v>0</v>
      </c>
      <c r="AY110" s="144" t="s">
        <v>161</v>
      </c>
      <c r="AZ110" s="140">
        <f t="shared" ref="AZ110:BB110" si="192">SUM(AZ107:AZ109)</f>
        <v>0</v>
      </c>
      <c r="BA110" s="140">
        <f t="shared" si="192"/>
        <v>0</v>
      </c>
      <c r="BB110" s="140">
        <f t="shared" si="192"/>
        <v>0</v>
      </c>
      <c r="BC110" s="479" t="s">
        <v>263</v>
      </c>
      <c r="BD110" s="480"/>
      <c r="BE110" s="15"/>
      <c r="BF110" s="18"/>
      <c r="BG110" s="15"/>
      <c r="BH110" s="18"/>
      <c r="BI110" s="15"/>
      <c r="BJ110" s="18"/>
      <c r="BK110" s="15"/>
      <c r="BL110" s="18"/>
      <c r="BM110" s="15"/>
      <c r="BN110" s="18"/>
      <c r="BO110" s="15"/>
      <c r="BP110" s="18"/>
      <c r="BQ110" s="109">
        <f t="shared" si="133"/>
        <v>0</v>
      </c>
      <c r="BR110" s="568"/>
      <c r="BS110" s="573"/>
      <c r="BT110" s="574"/>
      <c r="BU110" s="559"/>
      <c r="BV110" s="562"/>
      <c r="BW110" s="565"/>
      <c r="BX110" s="617"/>
    </row>
    <row r="111" spans="1:76" ht="15.75" thickTop="1" x14ac:dyDescent="0.25">
      <c r="A111" s="585">
        <v>26</v>
      </c>
      <c r="B111" s="588"/>
      <c r="C111" s="589"/>
      <c r="D111" s="604"/>
      <c r="E111" s="515"/>
      <c r="F111" s="516"/>
      <c r="G111" s="521"/>
      <c r="H111" s="522"/>
      <c r="I111" s="527"/>
      <c r="J111" s="528"/>
      <c r="K111" s="512">
        <f t="shared" ref="K111" si="193">INT(YEARFRAC(I111,AA111))</f>
        <v>0</v>
      </c>
      <c r="L111" s="533">
        <f t="shared" ref="L111" ca="1" si="194">INT(YEARFRAC(I111,TODAY()))</f>
        <v>121</v>
      </c>
      <c r="M111" s="536"/>
      <c r="N111" s="539"/>
      <c r="O111" s="540"/>
      <c r="P111" s="481"/>
      <c r="Q111" s="482"/>
      <c r="R111" s="515"/>
      <c r="S111" s="516"/>
      <c r="T111" s="487"/>
      <c r="U111" s="488"/>
      <c r="V111" s="491"/>
      <c r="W111" s="481"/>
      <c r="X111" s="494"/>
      <c r="Y111" s="482"/>
      <c r="Z111" s="497"/>
      <c r="AA111" s="500"/>
      <c r="AB111" s="501"/>
      <c r="AC111" s="506" t="s">
        <v>257</v>
      </c>
      <c r="AD111" s="507"/>
      <c r="AE111" s="507"/>
      <c r="AF111" s="510"/>
      <c r="AG111" s="510"/>
      <c r="AH111" s="510"/>
      <c r="AI111" s="510"/>
      <c r="AJ111" s="510"/>
      <c r="AK111" s="510"/>
      <c r="AL111" s="510"/>
      <c r="AM111" s="510"/>
      <c r="AN111" s="510"/>
      <c r="AO111" s="510"/>
      <c r="AP111" s="510"/>
      <c r="AQ111" s="465"/>
      <c r="AR111" s="467">
        <f t="shared" ref="AR111" si="195">SUM(AF111:AQ112)</f>
        <v>0</v>
      </c>
      <c r="AS111" s="119" t="s">
        <v>257</v>
      </c>
      <c r="AT111" s="120"/>
      <c r="AU111" s="120"/>
      <c r="AV111" s="120"/>
      <c r="AW111" s="121"/>
      <c r="AX111" s="125">
        <f t="shared" ref="AX111:AX113" si="196">SUM(AT111:AW111)</f>
        <v>0</v>
      </c>
      <c r="AY111" s="141" t="s">
        <v>257</v>
      </c>
      <c r="AZ111" s="137"/>
      <c r="BA111" s="137"/>
      <c r="BB111" s="134">
        <f t="shared" ref="BB111:BB113" si="197">AZ111-BA111</f>
        <v>0</v>
      </c>
      <c r="BC111" s="469" t="s">
        <v>258</v>
      </c>
      <c r="BD111" s="470"/>
      <c r="BE111" s="13"/>
      <c r="BF111" s="16"/>
      <c r="BG111" s="13"/>
      <c r="BH111" s="16"/>
      <c r="BI111" s="13"/>
      <c r="BJ111" s="16"/>
      <c r="BK111" s="13"/>
      <c r="BL111" s="16"/>
      <c r="BM111" s="13"/>
      <c r="BN111" s="16"/>
      <c r="BO111" s="13"/>
      <c r="BP111" s="16"/>
      <c r="BQ111" s="106">
        <f t="shared" si="133"/>
        <v>0</v>
      </c>
      <c r="BR111" s="566"/>
      <c r="BS111" s="569"/>
      <c r="BT111" s="570"/>
      <c r="BU111" s="557"/>
      <c r="BV111" s="560"/>
      <c r="BW111" s="563"/>
      <c r="BX111" s="615"/>
    </row>
    <row r="112" spans="1:76" x14ac:dyDescent="0.25">
      <c r="A112" s="586"/>
      <c r="B112" s="590"/>
      <c r="C112" s="591"/>
      <c r="D112" s="605"/>
      <c r="E112" s="517"/>
      <c r="F112" s="518"/>
      <c r="G112" s="523"/>
      <c r="H112" s="524"/>
      <c r="I112" s="529"/>
      <c r="J112" s="530"/>
      <c r="K112" s="513"/>
      <c r="L112" s="534"/>
      <c r="M112" s="537"/>
      <c r="N112" s="541"/>
      <c r="O112" s="542"/>
      <c r="P112" s="483"/>
      <c r="Q112" s="484"/>
      <c r="R112" s="517"/>
      <c r="S112" s="518"/>
      <c r="T112" s="487"/>
      <c r="U112" s="488"/>
      <c r="V112" s="492"/>
      <c r="W112" s="483"/>
      <c r="X112" s="495"/>
      <c r="Y112" s="484"/>
      <c r="Z112" s="498"/>
      <c r="AA112" s="502"/>
      <c r="AB112" s="503"/>
      <c r="AC112" s="508"/>
      <c r="AD112" s="509"/>
      <c r="AE112" s="509"/>
      <c r="AF112" s="511"/>
      <c r="AG112" s="511"/>
      <c r="AH112" s="511"/>
      <c r="AI112" s="511"/>
      <c r="AJ112" s="511"/>
      <c r="AK112" s="511"/>
      <c r="AL112" s="511"/>
      <c r="AM112" s="511"/>
      <c r="AN112" s="511"/>
      <c r="AO112" s="511"/>
      <c r="AP112" s="511"/>
      <c r="AQ112" s="466"/>
      <c r="AR112" s="468"/>
      <c r="AS112" s="122" t="s">
        <v>259</v>
      </c>
      <c r="AT112" s="123"/>
      <c r="AU112" s="123"/>
      <c r="AV112" s="123"/>
      <c r="AW112" s="124"/>
      <c r="AX112" s="126">
        <f t="shared" si="196"/>
        <v>0</v>
      </c>
      <c r="AY112" s="142" t="s">
        <v>259</v>
      </c>
      <c r="AZ112" s="138"/>
      <c r="BA112" s="138"/>
      <c r="BB112" s="135">
        <f t="shared" si="197"/>
        <v>0</v>
      </c>
      <c r="BC112" s="474" t="s">
        <v>260</v>
      </c>
      <c r="BD112" s="475"/>
      <c r="BE112" s="14"/>
      <c r="BF112" s="17"/>
      <c r="BG112" s="14"/>
      <c r="BH112" s="17"/>
      <c r="BI112" s="14"/>
      <c r="BJ112" s="17"/>
      <c r="BK112" s="14"/>
      <c r="BL112" s="17"/>
      <c r="BM112" s="14"/>
      <c r="BN112" s="17"/>
      <c r="BO112" s="14"/>
      <c r="BP112" s="17"/>
      <c r="BQ112" s="107">
        <f t="shared" si="133"/>
        <v>0</v>
      </c>
      <c r="BR112" s="567"/>
      <c r="BS112" s="571"/>
      <c r="BT112" s="572"/>
      <c r="BU112" s="558"/>
      <c r="BV112" s="561"/>
      <c r="BW112" s="564"/>
      <c r="BX112" s="616"/>
    </row>
    <row r="113" spans="1:76" ht="15.75" thickBot="1" x14ac:dyDescent="0.3">
      <c r="A113" s="586"/>
      <c r="B113" s="590"/>
      <c r="C113" s="591"/>
      <c r="D113" s="605"/>
      <c r="E113" s="517"/>
      <c r="F113" s="518"/>
      <c r="G113" s="523"/>
      <c r="H113" s="524"/>
      <c r="I113" s="529"/>
      <c r="J113" s="530"/>
      <c r="K113" s="513"/>
      <c r="L113" s="534"/>
      <c r="M113" s="537"/>
      <c r="N113" s="541"/>
      <c r="O113" s="542"/>
      <c r="P113" s="483"/>
      <c r="Q113" s="484"/>
      <c r="R113" s="517"/>
      <c r="S113" s="518"/>
      <c r="T113" s="487"/>
      <c r="U113" s="488"/>
      <c r="V113" s="492"/>
      <c r="W113" s="483"/>
      <c r="X113" s="495"/>
      <c r="Y113" s="484"/>
      <c r="Z113" s="498"/>
      <c r="AA113" s="502"/>
      <c r="AB113" s="503"/>
      <c r="AC113" s="471" t="s">
        <v>259</v>
      </c>
      <c r="AD113" s="472"/>
      <c r="AE113" s="473"/>
      <c r="AF113" s="100"/>
      <c r="AG113" s="100"/>
      <c r="AH113" s="100"/>
      <c r="AI113" s="100"/>
      <c r="AJ113" s="100"/>
      <c r="AK113" s="100"/>
      <c r="AL113" s="100"/>
      <c r="AM113" s="100"/>
      <c r="AN113" s="100"/>
      <c r="AO113" s="100"/>
      <c r="AP113" s="100"/>
      <c r="AQ113" s="101"/>
      <c r="AR113" s="104">
        <f t="shared" ref="AR113:AR114" si="198">SUM(AF113:AQ113)</f>
        <v>0</v>
      </c>
      <c r="AS113" s="128" t="s">
        <v>261</v>
      </c>
      <c r="AT113" s="129"/>
      <c r="AU113" s="129"/>
      <c r="AV113" s="129"/>
      <c r="AW113" s="130"/>
      <c r="AX113" s="126">
        <f t="shared" si="196"/>
        <v>0</v>
      </c>
      <c r="AY113" s="143" t="s">
        <v>261</v>
      </c>
      <c r="AZ113" s="139"/>
      <c r="BA113" s="139"/>
      <c r="BB113" s="136">
        <f t="shared" si="197"/>
        <v>0</v>
      </c>
      <c r="BC113" s="474" t="s">
        <v>262</v>
      </c>
      <c r="BD113" s="475"/>
      <c r="BE113" s="14"/>
      <c r="BF113" s="17"/>
      <c r="BG113" s="14"/>
      <c r="BH113" s="17"/>
      <c r="BI113" s="14"/>
      <c r="BJ113" s="17"/>
      <c r="BK113" s="14"/>
      <c r="BL113" s="17"/>
      <c r="BM113" s="14"/>
      <c r="BN113" s="17"/>
      <c r="BO113" s="14"/>
      <c r="BP113" s="17"/>
      <c r="BQ113" s="108">
        <f t="shared" si="133"/>
        <v>0</v>
      </c>
      <c r="BR113" s="567"/>
      <c r="BS113" s="571"/>
      <c r="BT113" s="572"/>
      <c r="BU113" s="558"/>
      <c r="BV113" s="561"/>
      <c r="BW113" s="564"/>
      <c r="BX113" s="616"/>
    </row>
    <row r="114" spans="1:76" ht="15.75" thickBot="1" x14ac:dyDescent="0.3">
      <c r="A114" s="587"/>
      <c r="B114" s="592"/>
      <c r="C114" s="593"/>
      <c r="D114" s="606"/>
      <c r="E114" s="519"/>
      <c r="F114" s="520"/>
      <c r="G114" s="525"/>
      <c r="H114" s="526"/>
      <c r="I114" s="531"/>
      <c r="J114" s="532"/>
      <c r="K114" s="514"/>
      <c r="L114" s="535"/>
      <c r="M114" s="538"/>
      <c r="N114" s="543"/>
      <c r="O114" s="544"/>
      <c r="P114" s="485"/>
      <c r="Q114" s="486"/>
      <c r="R114" s="519"/>
      <c r="S114" s="520"/>
      <c r="T114" s="489"/>
      <c r="U114" s="490"/>
      <c r="V114" s="493"/>
      <c r="W114" s="485"/>
      <c r="X114" s="496"/>
      <c r="Y114" s="486"/>
      <c r="Z114" s="499"/>
      <c r="AA114" s="504"/>
      <c r="AB114" s="505"/>
      <c r="AC114" s="476" t="s">
        <v>261</v>
      </c>
      <c r="AD114" s="477"/>
      <c r="AE114" s="478"/>
      <c r="AF114" s="102"/>
      <c r="AG114" s="102"/>
      <c r="AH114" s="102"/>
      <c r="AI114" s="102"/>
      <c r="AJ114" s="102"/>
      <c r="AK114" s="102"/>
      <c r="AL114" s="102"/>
      <c r="AM114" s="102"/>
      <c r="AN114" s="102"/>
      <c r="AO114" s="102"/>
      <c r="AP114" s="102"/>
      <c r="AQ114" s="103"/>
      <c r="AR114" s="105">
        <f t="shared" si="198"/>
        <v>0</v>
      </c>
      <c r="AS114" s="131" t="s">
        <v>161</v>
      </c>
      <c r="AT114" s="132">
        <f t="shared" ref="AT114:AX114" si="199">SUM(AT111:AT113)</f>
        <v>0</v>
      </c>
      <c r="AU114" s="132">
        <f t="shared" si="199"/>
        <v>0</v>
      </c>
      <c r="AV114" s="132">
        <f t="shared" si="199"/>
        <v>0</v>
      </c>
      <c r="AW114" s="133">
        <f t="shared" si="199"/>
        <v>0</v>
      </c>
      <c r="AX114" s="127">
        <f t="shared" si="199"/>
        <v>0</v>
      </c>
      <c r="AY114" s="144" t="s">
        <v>161</v>
      </c>
      <c r="AZ114" s="140">
        <f t="shared" ref="AZ114:BB114" si="200">SUM(AZ111:AZ113)</f>
        <v>0</v>
      </c>
      <c r="BA114" s="140">
        <f t="shared" si="200"/>
        <v>0</v>
      </c>
      <c r="BB114" s="140">
        <f t="shared" si="200"/>
        <v>0</v>
      </c>
      <c r="BC114" s="479" t="s">
        <v>263</v>
      </c>
      <c r="BD114" s="480"/>
      <c r="BE114" s="15"/>
      <c r="BF114" s="18"/>
      <c r="BG114" s="15"/>
      <c r="BH114" s="18"/>
      <c r="BI114" s="15"/>
      <c r="BJ114" s="18"/>
      <c r="BK114" s="15"/>
      <c r="BL114" s="18"/>
      <c r="BM114" s="15"/>
      <c r="BN114" s="18"/>
      <c r="BO114" s="15"/>
      <c r="BP114" s="18"/>
      <c r="BQ114" s="109">
        <f t="shared" si="133"/>
        <v>0</v>
      </c>
      <c r="BR114" s="568"/>
      <c r="BS114" s="573"/>
      <c r="BT114" s="574"/>
      <c r="BU114" s="559"/>
      <c r="BV114" s="562"/>
      <c r="BW114" s="565"/>
      <c r="BX114" s="617"/>
    </row>
    <row r="115" spans="1:76" ht="15.75" thickTop="1" x14ac:dyDescent="0.25">
      <c r="A115" s="585">
        <v>27</v>
      </c>
      <c r="B115" s="588"/>
      <c r="C115" s="589"/>
      <c r="D115" s="604"/>
      <c r="E115" s="515"/>
      <c r="F115" s="516"/>
      <c r="G115" s="521"/>
      <c r="H115" s="522"/>
      <c r="I115" s="527"/>
      <c r="J115" s="528"/>
      <c r="K115" s="512">
        <f t="shared" ref="K115" si="201">INT(YEARFRAC(I115,AA115))</f>
        <v>0</v>
      </c>
      <c r="L115" s="533">
        <f t="shared" ref="L115" ca="1" si="202">INT(YEARFRAC(I115,TODAY()))</f>
        <v>121</v>
      </c>
      <c r="M115" s="536"/>
      <c r="N115" s="539"/>
      <c r="O115" s="540"/>
      <c r="P115" s="481"/>
      <c r="Q115" s="482"/>
      <c r="R115" s="515"/>
      <c r="S115" s="516"/>
      <c r="T115" s="487"/>
      <c r="U115" s="488"/>
      <c r="V115" s="491"/>
      <c r="W115" s="481"/>
      <c r="X115" s="494"/>
      <c r="Y115" s="482"/>
      <c r="Z115" s="497"/>
      <c r="AA115" s="500"/>
      <c r="AB115" s="501"/>
      <c r="AC115" s="506" t="s">
        <v>257</v>
      </c>
      <c r="AD115" s="507"/>
      <c r="AE115" s="507"/>
      <c r="AF115" s="510"/>
      <c r="AG115" s="510"/>
      <c r="AH115" s="510"/>
      <c r="AI115" s="510"/>
      <c r="AJ115" s="510"/>
      <c r="AK115" s="510"/>
      <c r="AL115" s="510"/>
      <c r="AM115" s="510"/>
      <c r="AN115" s="510"/>
      <c r="AO115" s="510"/>
      <c r="AP115" s="510"/>
      <c r="AQ115" s="465"/>
      <c r="AR115" s="467">
        <f t="shared" ref="AR115" si="203">SUM(AF115:AQ116)</f>
        <v>0</v>
      </c>
      <c r="AS115" s="119" t="s">
        <v>257</v>
      </c>
      <c r="AT115" s="120"/>
      <c r="AU115" s="120"/>
      <c r="AV115" s="120"/>
      <c r="AW115" s="121"/>
      <c r="AX115" s="125">
        <f t="shared" ref="AX115:AX117" si="204">SUM(AT115:AW115)</f>
        <v>0</v>
      </c>
      <c r="AY115" s="141" t="s">
        <v>257</v>
      </c>
      <c r="AZ115" s="137"/>
      <c r="BA115" s="137"/>
      <c r="BB115" s="134">
        <f t="shared" ref="BB115:BB117" si="205">AZ115-BA115</f>
        <v>0</v>
      </c>
      <c r="BC115" s="469" t="s">
        <v>258</v>
      </c>
      <c r="BD115" s="470"/>
      <c r="BE115" s="13"/>
      <c r="BF115" s="16"/>
      <c r="BG115" s="13"/>
      <c r="BH115" s="16"/>
      <c r="BI115" s="13"/>
      <c r="BJ115" s="16"/>
      <c r="BK115" s="13"/>
      <c r="BL115" s="16"/>
      <c r="BM115" s="13"/>
      <c r="BN115" s="16"/>
      <c r="BO115" s="13"/>
      <c r="BP115" s="16"/>
      <c r="BQ115" s="106">
        <f t="shared" si="133"/>
        <v>0</v>
      </c>
      <c r="BR115" s="566"/>
      <c r="BS115" s="569"/>
      <c r="BT115" s="570"/>
      <c r="BU115" s="557"/>
      <c r="BV115" s="560"/>
      <c r="BW115" s="563"/>
      <c r="BX115" s="615"/>
    </row>
    <row r="116" spans="1:76" x14ac:dyDescent="0.25">
      <c r="A116" s="586"/>
      <c r="B116" s="590"/>
      <c r="C116" s="591"/>
      <c r="D116" s="605"/>
      <c r="E116" s="517"/>
      <c r="F116" s="518"/>
      <c r="G116" s="523"/>
      <c r="H116" s="524"/>
      <c r="I116" s="529"/>
      <c r="J116" s="530"/>
      <c r="K116" s="513"/>
      <c r="L116" s="534"/>
      <c r="M116" s="537"/>
      <c r="N116" s="541"/>
      <c r="O116" s="542"/>
      <c r="P116" s="483"/>
      <c r="Q116" s="484"/>
      <c r="R116" s="517"/>
      <c r="S116" s="518"/>
      <c r="T116" s="487"/>
      <c r="U116" s="488"/>
      <c r="V116" s="492"/>
      <c r="W116" s="483"/>
      <c r="X116" s="495"/>
      <c r="Y116" s="484"/>
      <c r="Z116" s="498"/>
      <c r="AA116" s="502"/>
      <c r="AB116" s="503"/>
      <c r="AC116" s="508"/>
      <c r="AD116" s="509"/>
      <c r="AE116" s="509"/>
      <c r="AF116" s="511"/>
      <c r="AG116" s="511"/>
      <c r="AH116" s="511"/>
      <c r="AI116" s="511"/>
      <c r="AJ116" s="511"/>
      <c r="AK116" s="511"/>
      <c r="AL116" s="511"/>
      <c r="AM116" s="511"/>
      <c r="AN116" s="511"/>
      <c r="AO116" s="511"/>
      <c r="AP116" s="511"/>
      <c r="AQ116" s="466"/>
      <c r="AR116" s="468"/>
      <c r="AS116" s="122" t="s">
        <v>259</v>
      </c>
      <c r="AT116" s="123"/>
      <c r="AU116" s="123"/>
      <c r="AV116" s="123"/>
      <c r="AW116" s="124"/>
      <c r="AX116" s="126">
        <f t="shared" si="204"/>
        <v>0</v>
      </c>
      <c r="AY116" s="142" t="s">
        <v>259</v>
      </c>
      <c r="AZ116" s="138"/>
      <c r="BA116" s="138"/>
      <c r="BB116" s="135">
        <f t="shared" si="205"/>
        <v>0</v>
      </c>
      <c r="BC116" s="474" t="s">
        <v>260</v>
      </c>
      <c r="BD116" s="475"/>
      <c r="BE116" s="14"/>
      <c r="BF116" s="17"/>
      <c r="BG116" s="14"/>
      <c r="BH116" s="17"/>
      <c r="BI116" s="14"/>
      <c r="BJ116" s="17"/>
      <c r="BK116" s="14"/>
      <c r="BL116" s="17"/>
      <c r="BM116" s="14"/>
      <c r="BN116" s="17"/>
      <c r="BO116" s="14"/>
      <c r="BP116" s="17"/>
      <c r="BQ116" s="107">
        <f t="shared" si="133"/>
        <v>0</v>
      </c>
      <c r="BR116" s="567"/>
      <c r="BS116" s="571"/>
      <c r="BT116" s="572"/>
      <c r="BU116" s="558"/>
      <c r="BV116" s="561"/>
      <c r="BW116" s="564"/>
      <c r="BX116" s="616"/>
    </row>
    <row r="117" spans="1:76" ht="15.75" thickBot="1" x14ac:dyDescent="0.3">
      <c r="A117" s="586"/>
      <c r="B117" s="590"/>
      <c r="C117" s="591"/>
      <c r="D117" s="605"/>
      <c r="E117" s="517"/>
      <c r="F117" s="518"/>
      <c r="G117" s="523"/>
      <c r="H117" s="524"/>
      <c r="I117" s="529"/>
      <c r="J117" s="530"/>
      <c r="K117" s="513"/>
      <c r="L117" s="534"/>
      <c r="M117" s="537"/>
      <c r="N117" s="541"/>
      <c r="O117" s="542"/>
      <c r="P117" s="483"/>
      <c r="Q117" s="484"/>
      <c r="R117" s="517"/>
      <c r="S117" s="518"/>
      <c r="T117" s="487"/>
      <c r="U117" s="488"/>
      <c r="V117" s="492"/>
      <c r="W117" s="483"/>
      <c r="X117" s="495"/>
      <c r="Y117" s="484"/>
      <c r="Z117" s="498"/>
      <c r="AA117" s="502"/>
      <c r="AB117" s="503"/>
      <c r="AC117" s="471" t="s">
        <v>259</v>
      </c>
      <c r="AD117" s="472"/>
      <c r="AE117" s="473"/>
      <c r="AF117" s="100"/>
      <c r="AG117" s="100"/>
      <c r="AH117" s="100"/>
      <c r="AI117" s="100"/>
      <c r="AJ117" s="100"/>
      <c r="AK117" s="100"/>
      <c r="AL117" s="100"/>
      <c r="AM117" s="100"/>
      <c r="AN117" s="100"/>
      <c r="AO117" s="100"/>
      <c r="AP117" s="100"/>
      <c r="AQ117" s="101"/>
      <c r="AR117" s="104">
        <f t="shared" ref="AR117:AR118" si="206">SUM(AF117:AQ117)</f>
        <v>0</v>
      </c>
      <c r="AS117" s="128" t="s">
        <v>261</v>
      </c>
      <c r="AT117" s="129"/>
      <c r="AU117" s="129"/>
      <c r="AV117" s="129"/>
      <c r="AW117" s="130"/>
      <c r="AX117" s="126">
        <f t="shared" si="204"/>
        <v>0</v>
      </c>
      <c r="AY117" s="143" t="s">
        <v>261</v>
      </c>
      <c r="AZ117" s="139"/>
      <c r="BA117" s="139"/>
      <c r="BB117" s="136">
        <f t="shared" si="205"/>
        <v>0</v>
      </c>
      <c r="BC117" s="474" t="s">
        <v>262</v>
      </c>
      <c r="BD117" s="475"/>
      <c r="BE117" s="14"/>
      <c r="BF117" s="17"/>
      <c r="BG117" s="14"/>
      <c r="BH117" s="17"/>
      <c r="BI117" s="14"/>
      <c r="BJ117" s="17"/>
      <c r="BK117" s="14"/>
      <c r="BL117" s="17"/>
      <c r="BM117" s="14"/>
      <c r="BN117" s="17"/>
      <c r="BO117" s="14"/>
      <c r="BP117" s="17"/>
      <c r="BQ117" s="108">
        <f t="shared" si="133"/>
        <v>0</v>
      </c>
      <c r="BR117" s="567"/>
      <c r="BS117" s="571"/>
      <c r="BT117" s="572"/>
      <c r="BU117" s="558"/>
      <c r="BV117" s="561"/>
      <c r="BW117" s="564"/>
      <c r="BX117" s="616"/>
    </row>
    <row r="118" spans="1:76" ht="15.75" thickBot="1" x14ac:dyDescent="0.3">
      <c r="A118" s="587"/>
      <c r="B118" s="592"/>
      <c r="C118" s="593"/>
      <c r="D118" s="606"/>
      <c r="E118" s="519"/>
      <c r="F118" s="520"/>
      <c r="G118" s="525"/>
      <c r="H118" s="526"/>
      <c r="I118" s="531"/>
      <c r="J118" s="532"/>
      <c r="K118" s="514"/>
      <c r="L118" s="535"/>
      <c r="M118" s="538"/>
      <c r="N118" s="543"/>
      <c r="O118" s="544"/>
      <c r="P118" s="485"/>
      <c r="Q118" s="486"/>
      <c r="R118" s="519"/>
      <c r="S118" s="520"/>
      <c r="T118" s="489"/>
      <c r="U118" s="490"/>
      <c r="V118" s="493"/>
      <c r="W118" s="485"/>
      <c r="X118" s="496"/>
      <c r="Y118" s="486"/>
      <c r="Z118" s="499"/>
      <c r="AA118" s="504"/>
      <c r="AB118" s="505"/>
      <c r="AC118" s="476" t="s">
        <v>261</v>
      </c>
      <c r="AD118" s="477"/>
      <c r="AE118" s="478"/>
      <c r="AF118" s="102"/>
      <c r="AG118" s="102"/>
      <c r="AH118" s="102"/>
      <c r="AI118" s="102"/>
      <c r="AJ118" s="102"/>
      <c r="AK118" s="102"/>
      <c r="AL118" s="102"/>
      <c r="AM118" s="102"/>
      <c r="AN118" s="102"/>
      <c r="AO118" s="102"/>
      <c r="AP118" s="102"/>
      <c r="AQ118" s="103"/>
      <c r="AR118" s="105">
        <f t="shared" si="206"/>
        <v>0</v>
      </c>
      <c r="AS118" s="131" t="s">
        <v>161</v>
      </c>
      <c r="AT118" s="132">
        <f t="shared" ref="AT118:AX118" si="207">SUM(AT115:AT117)</f>
        <v>0</v>
      </c>
      <c r="AU118" s="132">
        <f t="shared" si="207"/>
        <v>0</v>
      </c>
      <c r="AV118" s="132">
        <f t="shared" si="207"/>
        <v>0</v>
      </c>
      <c r="AW118" s="133">
        <f t="shared" si="207"/>
        <v>0</v>
      </c>
      <c r="AX118" s="127">
        <f t="shared" si="207"/>
        <v>0</v>
      </c>
      <c r="AY118" s="144" t="s">
        <v>161</v>
      </c>
      <c r="AZ118" s="140">
        <f t="shared" ref="AZ118:BB118" si="208">SUM(AZ115:AZ117)</f>
        <v>0</v>
      </c>
      <c r="BA118" s="140">
        <f t="shared" si="208"/>
        <v>0</v>
      </c>
      <c r="BB118" s="140">
        <f t="shared" si="208"/>
        <v>0</v>
      </c>
      <c r="BC118" s="479" t="s">
        <v>263</v>
      </c>
      <c r="BD118" s="480"/>
      <c r="BE118" s="15"/>
      <c r="BF118" s="18"/>
      <c r="BG118" s="15"/>
      <c r="BH118" s="18"/>
      <c r="BI118" s="15"/>
      <c r="BJ118" s="18"/>
      <c r="BK118" s="15"/>
      <c r="BL118" s="18"/>
      <c r="BM118" s="15"/>
      <c r="BN118" s="18"/>
      <c r="BO118" s="15"/>
      <c r="BP118" s="18"/>
      <c r="BQ118" s="109">
        <f t="shared" si="133"/>
        <v>0</v>
      </c>
      <c r="BR118" s="568"/>
      <c r="BS118" s="573"/>
      <c r="BT118" s="574"/>
      <c r="BU118" s="559"/>
      <c r="BV118" s="562"/>
      <c r="BW118" s="565"/>
      <c r="BX118" s="617"/>
    </row>
    <row r="119" spans="1:76" ht="15.75" thickTop="1" x14ac:dyDescent="0.25">
      <c r="A119" s="585">
        <v>28</v>
      </c>
      <c r="B119" s="588"/>
      <c r="C119" s="589"/>
      <c r="D119" s="604"/>
      <c r="E119" s="515"/>
      <c r="F119" s="516"/>
      <c r="G119" s="521"/>
      <c r="H119" s="522"/>
      <c r="I119" s="527"/>
      <c r="J119" s="528"/>
      <c r="K119" s="512">
        <f t="shared" ref="K119" si="209">INT(YEARFRAC(I119,AA119))</f>
        <v>0</v>
      </c>
      <c r="L119" s="533">
        <f t="shared" ref="L119" ca="1" si="210">INT(YEARFRAC(I119,TODAY()))</f>
        <v>121</v>
      </c>
      <c r="M119" s="536"/>
      <c r="N119" s="539"/>
      <c r="O119" s="540"/>
      <c r="P119" s="481"/>
      <c r="Q119" s="482"/>
      <c r="R119" s="515"/>
      <c r="S119" s="516"/>
      <c r="T119" s="487"/>
      <c r="U119" s="488"/>
      <c r="V119" s="491"/>
      <c r="W119" s="481"/>
      <c r="X119" s="494"/>
      <c r="Y119" s="482"/>
      <c r="Z119" s="497"/>
      <c r="AA119" s="500"/>
      <c r="AB119" s="501"/>
      <c r="AC119" s="506" t="s">
        <v>257</v>
      </c>
      <c r="AD119" s="507"/>
      <c r="AE119" s="507"/>
      <c r="AF119" s="510"/>
      <c r="AG119" s="510"/>
      <c r="AH119" s="510"/>
      <c r="AI119" s="510"/>
      <c r="AJ119" s="510"/>
      <c r="AK119" s="510"/>
      <c r="AL119" s="510"/>
      <c r="AM119" s="510"/>
      <c r="AN119" s="510"/>
      <c r="AO119" s="510"/>
      <c r="AP119" s="510"/>
      <c r="AQ119" s="465"/>
      <c r="AR119" s="467">
        <f t="shared" ref="AR119" si="211">SUM(AF119:AQ120)</f>
        <v>0</v>
      </c>
      <c r="AS119" s="119" t="s">
        <v>257</v>
      </c>
      <c r="AT119" s="120"/>
      <c r="AU119" s="120"/>
      <c r="AV119" s="120"/>
      <c r="AW119" s="121"/>
      <c r="AX119" s="125">
        <f t="shared" ref="AX119:AX121" si="212">SUM(AT119:AW119)</f>
        <v>0</v>
      </c>
      <c r="AY119" s="141" t="s">
        <v>257</v>
      </c>
      <c r="AZ119" s="137"/>
      <c r="BA119" s="137"/>
      <c r="BB119" s="134">
        <f t="shared" ref="BB119:BB121" si="213">AZ119-BA119</f>
        <v>0</v>
      </c>
      <c r="BC119" s="469" t="s">
        <v>258</v>
      </c>
      <c r="BD119" s="470"/>
      <c r="BE119" s="13"/>
      <c r="BF119" s="16"/>
      <c r="BG119" s="13"/>
      <c r="BH119" s="16"/>
      <c r="BI119" s="13"/>
      <c r="BJ119" s="16"/>
      <c r="BK119" s="13"/>
      <c r="BL119" s="16"/>
      <c r="BM119" s="13"/>
      <c r="BN119" s="16"/>
      <c r="BO119" s="13"/>
      <c r="BP119" s="16"/>
      <c r="BQ119" s="106">
        <f t="shared" si="133"/>
        <v>0</v>
      </c>
      <c r="BR119" s="566"/>
      <c r="BS119" s="569"/>
      <c r="BT119" s="570"/>
      <c r="BU119" s="557"/>
      <c r="BV119" s="560"/>
      <c r="BW119" s="563"/>
      <c r="BX119" s="615"/>
    </row>
    <row r="120" spans="1:76" x14ac:dyDescent="0.25">
      <c r="A120" s="586"/>
      <c r="B120" s="590"/>
      <c r="C120" s="591"/>
      <c r="D120" s="605"/>
      <c r="E120" s="517"/>
      <c r="F120" s="518"/>
      <c r="G120" s="523"/>
      <c r="H120" s="524"/>
      <c r="I120" s="529"/>
      <c r="J120" s="530"/>
      <c r="K120" s="513"/>
      <c r="L120" s="534"/>
      <c r="M120" s="537"/>
      <c r="N120" s="541"/>
      <c r="O120" s="542"/>
      <c r="P120" s="483"/>
      <c r="Q120" s="484"/>
      <c r="R120" s="517"/>
      <c r="S120" s="518"/>
      <c r="T120" s="487"/>
      <c r="U120" s="488"/>
      <c r="V120" s="492"/>
      <c r="W120" s="483"/>
      <c r="X120" s="495"/>
      <c r="Y120" s="484"/>
      <c r="Z120" s="498"/>
      <c r="AA120" s="502"/>
      <c r="AB120" s="503"/>
      <c r="AC120" s="508"/>
      <c r="AD120" s="509"/>
      <c r="AE120" s="509"/>
      <c r="AF120" s="511"/>
      <c r="AG120" s="511"/>
      <c r="AH120" s="511"/>
      <c r="AI120" s="511"/>
      <c r="AJ120" s="511"/>
      <c r="AK120" s="511"/>
      <c r="AL120" s="511"/>
      <c r="AM120" s="511"/>
      <c r="AN120" s="511"/>
      <c r="AO120" s="511"/>
      <c r="AP120" s="511"/>
      <c r="AQ120" s="466"/>
      <c r="AR120" s="468"/>
      <c r="AS120" s="122" t="s">
        <v>259</v>
      </c>
      <c r="AT120" s="123"/>
      <c r="AU120" s="123"/>
      <c r="AV120" s="123"/>
      <c r="AW120" s="124"/>
      <c r="AX120" s="126">
        <f t="shared" si="212"/>
        <v>0</v>
      </c>
      <c r="AY120" s="142" t="s">
        <v>259</v>
      </c>
      <c r="AZ120" s="138"/>
      <c r="BA120" s="138"/>
      <c r="BB120" s="135">
        <f t="shared" si="213"/>
        <v>0</v>
      </c>
      <c r="BC120" s="474" t="s">
        <v>260</v>
      </c>
      <c r="BD120" s="475"/>
      <c r="BE120" s="14"/>
      <c r="BF120" s="17"/>
      <c r="BG120" s="14"/>
      <c r="BH120" s="17"/>
      <c r="BI120" s="14"/>
      <c r="BJ120" s="17"/>
      <c r="BK120" s="14"/>
      <c r="BL120" s="17"/>
      <c r="BM120" s="14"/>
      <c r="BN120" s="17"/>
      <c r="BO120" s="14"/>
      <c r="BP120" s="17"/>
      <c r="BQ120" s="107">
        <f t="shared" si="133"/>
        <v>0</v>
      </c>
      <c r="BR120" s="567"/>
      <c r="BS120" s="571"/>
      <c r="BT120" s="572"/>
      <c r="BU120" s="558"/>
      <c r="BV120" s="561"/>
      <c r="BW120" s="564"/>
      <c r="BX120" s="616"/>
    </row>
    <row r="121" spans="1:76" ht="15.75" thickBot="1" x14ac:dyDescent="0.3">
      <c r="A121" s="586"/>
      <c r="B121" s="590"/>
      <c r="C121" s="591"/>
      <c r="D121" s="605"/>
      <c r="E121" s="517"/>
      <c r="F121" s="518"/>
      <c r="G121" s="523"/>
      <c r="H121" s="524"/>
      <c r="I121" s="529"/>
      <c r="J121" s="530"/>
      <c r="K121" s="513"/>
      <c r="L121" s="534"/>
      <c r="M121" s="537"/>
      <c r="N121" s="541"/>
      <c r="O121" s="542"/>
      <c r="P121" s="483"/>
      <c r="Q121" s="484"/>
      <c r="R121" s="517"/>
      <c r="S121" s="518"/>
      <c r="T121" s="487"/>
      <c r="U121" s="488"/>
      <c r="V121" s="492"/>
      <c r="W121" s="483"/>
      <c r="X121" s="495"/>
      <c r="Y121" s="484"/>
      <c r="Z121" s="498"/>
      <c r="AA121" s="502"/>
      <c r="AB121" s="503"/>
      <c r="AC121" s="471" t="s">
        <v>259</v>
      </c>
      <c r="AD121" s="472"/>
      <c r="AE121" s="473"/>
      <c r="AF121" s="100"/>
      <c r="AG121" s="100"/>
      <c r="AH121" s="100"/>
      <c r="AI121" s="100"/>
      <c r="AJ121" s="100"/>
      <c r="AK121" s="100"/>
      <c r="AL121" s="100"/>
      <c r="AM121" s="100"/>
      <c r="AN121" s="100"/>
      <c r="AO121" s="100"/>
      <c r="AP121" s="100"/>
      <c r="AQ121" s="101"/>
      <c r="AR121" s="104">
        <f t="shared" ref="AR121:AR122" si="214">SUM(AF121:AQ121)</f>
        <v>0</v>
      </c>
      <c r="AS121" s="128" t="s">
        <v>261</v>
      </c>
      <c r="AT121" s="129"/>
      <c r="AU121" s="129"/>
      <c r="AV121" s="129"/>
      <c r="AW121" s="130"/>
      <c r="AX121" s="126">
        <f t="shared" si="212"/>
        <v>0</v>
      </c>
      <c r="AY121" s="143" t="s">
        <v>261</v>
      </c>
      <c r="AZ121" s="139"/>
      <c r="BA121" s="139"/>
      <c r="BB121" s="136">
        <f t="shared" si="213"/>
        <v>0</v>
      </c>
      <c r="BC121" s="474" t="s">
        <v>262</v>
      </c>
      <c r="BD121" s="475"/>
      <c r="BE121" s="14"/>
      <c r="BF121" s="17"/>
      <c r="BG121" s="14"/>
      <c r="BH121" s="17"/>
      <c r="BI121" s="14"/>
      <c r="BJ121" s="17"/>
      <c r="BK121" s="14"/>
      <c r="BL121" s="17"/>
      <c r="BM121" s="14"/>
      <c r="BN121" s="17"/>
      <c r="BO121" s="14"/>
      <c r="BP121" s="17"/>
      <c r="BQ121" s="108">
        <f t="shared" si="133"/>
        <v>0</v>
      </c>
      <c r="BR121" s="567"/>
      <c r="BS121" s="571"/>
      <c r="BT121" s="572"/>
      <c r="BU121" s="558"/>
      <c r="BV121" s="561"/>
      <c r="BW121" s="564"/>
      <c r="BX121" s="616"/>
    </row>
    <row r="122" spans="1:76" ht="15.75" thickBot="1" x14ac:dyDescent="0.3">
      <c r="A122" s="587"/>
      <c r="B122" s="592"/>
      <c r="C122" s="593"/>
      <c r="D122" s="606"/>
      <c r="E122" s="519"/>
      <c r="F122" s="520"/>
      <c r="G122" s="525"/>
      <c r="H122" s="526"/>
      <c r="I122" s="531"/>
      <c r="J122" s="532"/>
      <c r="K122" s="514"/>
      <c r="L122" s="535"/>
      <c r="M122" s="538"/>
      <c r="N122" s="543"/>
      <c r="O122" s="544"/>
      <c r="P122" s="485"/>
      <c r="Q122" s="486"/>
      <c r="R122" s="519"/>
      <c r="S122" s="520"/>
      <c r="T122" s="489"/>
      <c r="U122" s="490"/>
      <c r="V122" s="493"/>
      <c r="W122" s="485"/>
      <c r="X122" s="496"/>
      <c r="Y122" s="486"/>
      <c r="Z122" s="499"/>
      <c r="AA122" s="504"/>
      <c r="AB122" s="505"/>
      <c r="AC122" s="476" t="s">
        <v>261</v>
      </c>
      <c r="AD122" s="477"/>
      <c r="AE122" s="478"/>
      <c r="AF122" s="102"/>
      <c r="AG122" s="102"/>
      <c r="AH122" s="102"/>
      <c r="AI122" s="102"/>
      <c r="AJ122" s="102"/>
      <c r="AK122" s="102"/>
      <c r="AL122" s="102"/>
      <c r="AM122" s="102"/>
      <c r="AN122" s="102"/>
      <c r="AO122" s="102"/>
      <c r="AP122" s="102"/>
      <c r="AQ122" s="103"/>
      <c r="AR122" s="105">
        <f t="shared" si="214"/>
        <v>0</v>
      </c>
      <c r="AS122" s="131" t="s">
        <v>161</v>
      </c>
      <c r="AT122" s="132">
        <f t="shared" ref="AT122:AX122" si="215">SUM(AT119:AT121)</f>
        <v>0</v>
      </c>
      <c r="AU122" s="132">
        <f t="shared" si="215"/>
        <v>0</v>
      </c>
      <c r="AV122" s="132">
        <f t="shared" si="215"/>
        <v>0</v>
      </c>
      <c r="AW122" s="133">
        <f t="shared" si="215"/>
        <v>0</v>
      </c>
      <c r="AX122" s="127">
        <f t="shared" si="215"/>
        <v>0</v>
      </c>
      <c r="AY122" s="144" t="s">
        <v>161</v>
      </c>
      <c r="AZ122" s="140">
        <f t="shared" ref="AZ122:BB122" si="216">SUM(AZ119:AZ121)</f>
        <v>0</v>
      </c>
      <c r="BA122" s="140">
        <f t="shared" si="216"/>
        <v>0</v>
      </c>
      <c r="BB122" s="140">
        <f t="shared" si="216"/>
        <v>0</v>
      </c>
      <c r="BC122" s="479" t="s">
        <v>263</v>
      </c>
      <c r="BD122" s="480"/>
      <c r="BE122" s="15"/>
      <c r="BF122" s="18"/>
      <c r="BG122" s="15"/>
      <c r="BH122" s="18"/>
      <c r="BI122" s="15"/>
      <c r="BJ122" s="18"/>
      <c r="BK122" s="15"/>
      <c r="BL122" s="18"/>
      <c r="BM122" s="15"/>
      <c r="BN122" s="18"/>
      <c r="BO122" s="15"/>
      <c r="BP122" s="18"/>
      <c r="BQ122" s="109">
        <f t="shared" si="133"/>
        <v>0</v>
      </c>
      <c r="BR122" s="568"/>
      <c r="BS122" s="573"/>
      <c r="BT122" s="574"/>
      <c r="BU122" s="559"/>
      <c r="BV122" s="562"/>
      <c r="BW122" s="565"/>
      <c r="BX122" s="617"/>
    </row>
    <row r="123" spans="1:76" ht="15.75" thickTop="1" x14ac:dyDescent="0.25">
      <c r="A123" s="585">
        <v>29</v>
      </c>
      <c r="B123" s="588"/>
      <c r="C123" s="589"/>
      <c r="D123" s="604"/>
      <c r="E123" s="515"/>
      <c r="F123" s="516"/>
      <c r="G123" s="521"/>
      <c r="H123" s="522"/>
      <c r="I123" s="527"/>
      <c r="J123" s="528"/>
      <c r="K123" s="512">
        <f t="shared" ref="K123" si="217">INT(YEARFRAC(I123,AA123))</f>
        <v>0</v>
      </c>
      <c r="L123" s="533">
        <f t="shared" ref="L123" ca="1" si="218">INT(YEARFRAC(I123,TODAY()))</f>
        <v>121</v>
      </c>
      <c r="M123" s="536"/>
      <c r="N123" s="539"/>
      <c r="O123" s="540"/>
      <c r="P123" s="481"/>
      <c r="Q123" s="482"/>
      <c r="R123" s="515"/>
      <c r="S123" s="516"/>
      <c r="T123" s="487"/>
      <c r="U123" s="488"/>
      <c r="V123" s="491"/>
      <c r="W123" s="481"/>
      <c r="X123" s="494"/>
      <c r="Y123" s="482"/>
      <c r="Z123" s="497"/>
      <c r="AA123" s="500"/>
      <c r="AB123" s="501"/>
      <c r="AC123" s="506" t="s">
        <v>257</v>
      </c>
      <c r="AD123" s="507"/>
      <c r="AE123" s="507"/>
      <c r="AF123" s="510"/>
      <c r="AG123" s="510"/>
      <c r="AH123" s="510"/>
      <c r="AI123" s="510"/>
      <c r="AJ123" s="510"/>
      <c r="AK123" s="510"/>
      <c r="AL123" s="510"/>
      <c r="AM123" s="510"/>
      <c r="AN123" s="510"/>
      <c r="AO123" s="510"/>
      <c r="AP123" s="510"/>
      <c r="AQ123" s="465"/>
      <c r="AR123" s="467">
        <f t="shared" ref="AR123" si="219">SUM(AF123:AQ124)</f>
        <v>0</v>
      </c>
      <c r="AS123" s="119" t="s">
        <v>257</v>
      </c>
      <c r="AT123" s="120"/>
      <c r="AU123" s="120"/>
      <c r="AV123" s="120"/>
      <c r="AW123" s="121"/>
      <c r="AX123" s="125">
        <f t="shared" ref="AX123:AX125" si="220">SUM(AT123:AW123)</f>
        <v>0</v>
      </c>
      <c r="AY123" s="141" t="s">
        <v>257</v>
      </c>
      <c r="AZ123" s="137"/>
      <c r="BA123" s="137"/>
      <c r="BB123" s="134">
        <f t="shared" ref="BB123:BB125" si="221">AZ123-BA123</f>
        <v>0</v>
      </c>
      <c r="BC123" s="469" t="s">
        <v>258</v>
      </c>
      <c r="BD123" s="470"/>
      <c r="BE123" s="13"/>
      <c r="BF123" s="16"/>
      <c r="BG123" s="13"/>
      <c r="BH123" s="16"/>
      <c r="BI123" s="13"/>
      <c r="BJ123" s="16"/>
      <c r="BK123" s="13"/>
      <c r="BL123" s="16"/>
      <c r="BM123" s="13"/>
      <c r="BN123" s="16"/>
      <c r="BO123" s="13"/>
      <c r="BP123" s="16"/>
      <c r="BQ123" s="106">
        <f t="shared" si="133"/>
        <v>0</v>
      </c>
      <c r="BR123" s="566"/>
      <c r="BS123" s="569"/>
      <c r="BT123" s="570"/>
      <c r="BU123" s="557"/>
      <c r="BV123" s="560"/>
      <c r="BW123" s="563"/>
      <c r="BX123" s="615"/>
    </row>
    <row r="124" spans="1:76" x14ac:dyDescent="0.25">
      <c r="A124" s="586"/>
      <c r="B124" s="590"/>
      <c r="C124" s="591"/>
      <c r="D124" s="605"/>
      <c r="E124" s="517"/>
      <c r="F124" s="518"/>
      <c r="G124" s="523"/>
      <c r="H124" s="524"/>
      <c r="I124" s="529"/>
      <c r="J124" s="530"/>
      <c r="K124" s="513"/>
      <c r="L124" s="534"/>
      <c r="M124" s="537"/>
      <c r="N124" s="541"/>
      <c r="O124" s="542"/>
      <c r="P124" s="483"/>
      <c r="Q124" s="484"/>
      <c r="R124" s="517"/>
      <c r="S124" s="518"/>
      <c r="T124" s="487"/>
      <c r="U124" s="488"/>
      <c r="V124" s="492"/>
      <c r="W124" s="483"/>
      <c r="X124" s="495"/>
      <c r="Y124" s="484"/>
      <c r="Z124" s="498"/>
      <c r="AA124" s="502"/>
      <c r="AB124" s="503"/>
      <c r="AC124" s="508"/>
      <c r="AD124" s="509"/>
      <c r="AE124" s="509"/>
      <c r="AF124" s="511"/>
      <c r="AG124" s="511"/>
      <c r="AH124" s="511"/>
      <c r="AI124" s="511"/>
      <c r="AJ124" s="511"/>
      <c r="AK124" s="511"/>
      <c r="AL124" s="511"/>
      <c r="AM124" s="511"/>
      <c r="AN124" s="511"/>
      <c r="AO124" s="511"/>
      <c r="AP124" s="511"/>
      <c r="AQ124" s="466"/>
      <c r="AR124" s="468"/>
      <c r="AS124" s="122" t="s">
        <v>259</v>
      </c>
      <c r="AT124" s="123"/>
      <c r="AU124" s="123"/>
      <c r="AV124" s="123"/>
      <c r="AW124" s="124"/>
      <c r="AX124" s="126">
        <f t="shared" si="220"/>
        <v>0</v>
      </c>
      <c r="AY124" s="142" t="s">
        <v>259</v>
      </c>
      <c r="AZ124" s="138"/>
      <c r="BA124" s="138"/>
      <c r="BB124" s="135">
        <f t="shared" si="221"/>
        <v>0</v>
      </c>
      <c r="BC124" s="474" t="s">
        <v>260</v>
      </c>
      <c r="BD124" s="475"/>
      <c r="BE124" s="14"/>
      <c r="BF124" s="17"/>
      <c r="BG124" s="14"/>
      <c r="BH124" s="17"/>
      <c r="BI124" s="14"/>
      <c r="BJ124" s="17"/>
      <c r="BK124" s="14"/>
      <c r="BL124" s="17"/>
      <c r="BM124" s="14"/>
      <c r="BN124" s="17"/>
      <c r="BO124" s="14"/>
      <c r="BP124" s="17"/>
      <c r="BQ124" s="107">
        <f t="shared" si="133"/>
        <v>0</v>
      </c>
      <c r="BR124" s="567"/>
      <c r="BS124" s="571"/>
      <c r="BT124" s="572"/>
      <c r="BU124" s="558"/>
      <c r="BV124" s="561"/>
      <c r="BW124" s="564"/>
      <c r="BX124" s="616"/>
    </row>
    <row r="125" spans="1:76" ht="15.75" thickBot="1" x14ac:dyDescent="0.3">
      <c r="A125" s="586"/>
      <c r="B125" s="590"/>
      <c r="C125" s="591"/>
      <c r="D125" s="605"/>
      <c r="E125" s="517"/>
      <c r="F125" s="518"/>
      <c r="G125" s="523"/>
      <c r="H125" s="524"/>
      <c r="I125" s="529"/>
      <c r="J125" s="530"/>
      <c r="K125" s="513"/>
      <c r="L125" s="534"/>
      <c r="M125" s="537"/>
      <c r="N125" s="541"/>
      <c r="O125" s="542"/>
      <c r="P125" s="483"/>
      <c r="Q125" s="484"/>
      <c r="R125" s="517"/>
      <c r="S125" s="518"/>
      <c r="T125" s="487"/>
      <c r="U125" s="488"/>
      <c r="V125" s="492"/>
      <c r="W125" s="483"/>
      <c r="X125" s="495"/>
      <c r="Y125" s="484"/>
      <c r="Z125" s="498"/>
      <c r="AA125" s="502"/>
      <c r="AB125" s="503"/>
      <c r="AC125" s="471" t="s">
        <v>259</v>
      </c>
      <c r="AD125" s="472"/>
      <c r="AE125" s="473"/>
      <c r="AF125" s="100"/>
      <c r="AG125" s="100"/>
      <c r="AH125" s="100"/>
      <c r="AI125" s="100"/>
      <c r="AJ125" s="100"/>
      <c r="AK125" s="100"/>
      <c r="AL125" s="100"/>
      <c r="AM125" s="100"/>
      <c r="AN125" s="100"/>
      <c r="AO125" s="100"/>
      <c r="AP125" s="100"/>
      <c r="AQ125" s="101"/>
      <c r="AR125" s="104">
        <f t="shared" ref="AR125:AR126" si="222">SUM(AF125:AQ125)</f>
        <v>0</v>
      </c>
      <c r="AS125" s="128" t="s">
        <v>261</v>
      </c>
      <c r="AT125" s="129"/>
      <c r="AU125" s="129"/>
      <c r="AV125" s="129"/>
      <c r="AW125" s="130"/>
      <c r="AX125" s="126">
        <f t="shared" si="220"/>
        <v>0</v>
      </c>
      <c r="AY125" s="143" t="s">
        <v>261</v>
      </c>
      <c r="AZ125" s="139"/>
      <c r="BA125" s="139"/>
      <c r="BB125" s="136">
        <f t="shared" si="221"/>
        <v>0</v>
      </c>
      <c r="BC125" s="474" t="s">
        <v>262</v>
      </c>
      <c r="BD125" s="475"/>
      <c r="BE125" s="14"/>
      <c r="BF125" s="17"/>
      <c r="BG125" s="14"/>
      <c r="BH125" s="17"/>
      <c r="BI125" s="14"/>
      <c r="BJ125" s="17"/>
      <c r="BK125" s="14"/>
      <c r="BL125" s="17"/>
      <c r="BM125" s="14"/>
      <c r="BN125" s="17"/>
      <c r="BO125" s="14"/>
      <c r="BP125" s="17"/>
      <c r="BQ125" s="108">
        <f t="shared" si="133"/>
        <v>0</v>
      </c>
      <c r="BR125" s="567"/>
      <c r="BS125" s="571"/>
      <c r="BT125" s="572"/>
      <c r="BU125" s="558"/>
      <c r="BV125" s="561"/>
      <c r="BW125" s="564"/>
      <c r="BX125" s="616"/>
    </row>
    <row r="126" spans="1:76" ht="15.75" thickBot="1" x14ac:dyDescent="0.3">
      <c r="A126" s="587"/>
      <c r="B126" s="592"/>
      <c r="C126" s="593"/>
      <c r="D126" s="606"/>
      <c r="E126" s="519"/>
      <c r="F126" s="520"/>
      <c r="G126" s="525"/>
      <c r="H126" s="526"/>
      <c r="I126" s="531"/>
      <c r="J126" s="532"/>
      <c r="K126" s="514"/>
      <c r="L126" s="535"/>
      <c r="M126" s="538"/>
      <c r="N126" s="543"/>
      <c r="O126" s="544"/>
      <c r="P126" s="485"/>
      <c r="Q126" s="486"/>
      <c r="R126" s="519"/>
      <c r="S126" s="520"/>
      <c r="T126" s="489"/>
      <c r="U126" s="490"/>
      <c r="V126" s="493"/>
      <c r="W126" s="485"/>
      <c r="X126" s="496"/>
      <c r="Y126" s="486"/>
      <c r="Z126" s="499"/>
      <c r="AA126" s="504"/>
      <c r="AB126" s="505"/>
      <c r="AC126" s="476" t="s">
        <v>261</v>
      </c>
      <c r="AD126" s="477"/>
      <c r="AE126" s="478"/>
      <c r="AF126" s="102"/>
      <c r="AG126" s="102"/>
      <c r="AH126" s="102"/>
      <c r="AI126" s="102"/>
      <c r="AJ126" s="102"/>
      <c r="AK126" s="102"/>
      <c r="AL126" s="102"/>
      <c r="AM126" s="102"/>
      <c r="AN126" s="102"/>
      <c r="AO126" s="102"/>
      <c r="AP126" s="102"/>
      <c r="AQ126" s="103"/>
      <c r="AR126" s="105">
        <f t="shared" si="222"/>
        <v>0</v>
      </c>
      <c r="AS126" s="131" t="s">
        <v>161</v>
      </c>
      <c r="AT126" s="132">
        <f t="shared" ref="AT126:AX126" si="223">SUM(AT123:AT125)</f>
        <v>0</v>
      </c>
      <c r="AU126" s="132">
        <f t="shared" si="223"/>
        <v>0</v>
      </c>
      <c r="AV126" s="132">
        <f t="shared" si="223"/>
        <v>0</v>
      </c>
      <c r="AW126" s="133">
        <f t="shared" si="223"/>
        <v>0</v>
      </c>
      <c r="AX126" s="127">
        <f t="shared" si="223"/>
        <v>0</v>
      </c>
      <c r="AY126" s="144" t="s">
        <v>161</v>
      </c>
      <c r="AZ126" s="140">
        <f t="shared" ref="AZ126:BB126" si="224">SUM(AZ123:AZ125)</f>
        <v>0</v>
      </c>
      <c r="BA126" s="140">
        <f t="shared" si="224"/>
        <v>0</v>
      </c>
      <c r="BB126" s="140">
        <f t="shared" si="224"/>
        <v>0</v>
      </c>
      <c r="BC126" s="479" t="s">
        <v>263</v>
      </c>
      <c r="BD126" s="480"/>
      <c r="BE126" s="15"/>
      <c r="BF126" s="18"/>
      <c r="BG126" s="15"/>
      <c r="BH126" s="18"/>
      <c r="BI126" s="15"/>
      <c r="BJ126" s="18"/>
      <c r="BK126" s="15"/>
      <c r="BL126" s="18"/>
      <c r="BM126" s="15"/>
      <c r="BN126" s="18"/>
      <c r="BO126" s="15"/>
      <c r="BP126" s="18"/>
      <c r="BQ126" s="109">
        <f t="shared" si="133"/>
        <v>0</v>
      </c>
      <c r="BR126" s="568"/>
      <c r="BS126" s="573"/>
      <c r="BT126" s="574"/>
      <c r="BU126" s="559"/>
      <c r="BV126" s="562"/>
      <c r="BW126" s="565"/>
      <c r="BX126" s="617"/>
    </row>
    <row r="127" spans="1:76" ht="15.75" thickTop="1" x14ac:dyDescent="0.25">
      <c r="A127" s="585">
        <v>30</v>
      </c>
      <c r="B127" s="588"/>
      <c r="C127" s="589"/>
      <c r="D127" s="604"/>
      <c r="E127" s="515"/>
      <c r="F127" s="516"/>
      <c r="G127" s="521"/>
      <c r="H127" s="522"/>
      <c r="I127" s="527"/>
      <c r="J127" s="528"/>
      <c r="K127" s="512">
        <f t="shared" ref="K127" si="225">INT(YEARFRAC(I127,AA127))</f>
        <v>0</v>
      </c>
      <c r="L127" s="533">
        <f t="shared" ref="L127" ca="1" si="226">INT(YEARFRAC(I127,TODAY()))</f>
        <v>121</v>
      </c>
      <c r="M127" s="536"/>
      <c r="N127" s="539"/>
      <c r="O127" s="540"/>
      <c r="P127" s="481"/>
      <c r="Q127" s="482"/>
      <c r="R127" s="515"/>
      <c r="S127" s="516"/>
      <c r="T127" s="487"/>
      <c r="U127" s="488"/>
      <c r="V127" s="491"/>
      <c r="W127" s="481"/>
      <c r="X127" s="494"/>
      <c r="Y127" s="482"/>
      <c r="Z127" s="497"/>
      <c r="AA127" s="500"/>
      <c r="AB127" s="501"/>
      <c r="AC127" s="506" t="s">
        <v>257</v>
      </c>
      <c r="AD127" s="507"/>
      <c r="AE127" s="507"/>
      <c r="AF127" s="510"/>
      <c r="AG127" s="510"/>
      <c r="AH127" s="510"/>
      <c r="AI127" s="510"/>
      <c r="AJ127" s="510"/>
      <c r="AK127" s="510"/>
      <c r="AL127" s="510"/>
      <c r="AM127" s="510"/>
      <c r="AN127" s="510"/>
      <c r="AO127" s="510"/>
      <c r="AP127" s="510"/>
      <c r="AQ127" s="465"/>
      <c r="AR127" s="467">
        <f t="shared" ref="AR127" si="227">SUM(AF127:AQ128)</f>
        <v>0</v>
      </c>
      <c r="AS127" s="119" t="s">
        <v>257</v>
      </c>
      <c r="AT127" s="120"/>
      <c r="AU127" s="120"/>
      <c r="AV127" s="120"/>
      <c r="AW127" s="121"/>
      <c r="AX127" s="125">
        <f t="shared" ref="AX127:AX129" si="228">SUM(AT127:AW127)</f>
        <v>0</v>
      </c>
      <c r="AY127" s="141" t="s">
        <v>257</v>
      </c>
      <c r="AZ127" s="137"/>
      <c r="BA127" s="137"/>
      <c r="BB127" s="134">
        <f t="shared" ref="BB127:BB129" si="229">AZ127-BA127</f>
        <v>0</v>
      </c>
      <c r="BC127" s="469" t="s">
        <v>258</v>
      </c>
      <c r="BD127" s="470"/>
      <c r="BE127" s="13"/>
      <c r="BF127" s="16"/>
      <c r="BG127" s="13"/>
      <c r="BH127" s="16"/>
      <c r="BI127" s="13"/>
      <c r="BJ127" s="16"/>
      <c r="BK127" s="13"/>
      <c r="BL127" s="16"/>
      <c r="BM127" s="13"/>
      <c r="BN127" s="16"/>
      <c r="BO127" s="13"/>
      <c r="BP127" s="16"/>
      <c r="BQ127" s="106">
        <f t="shared" si="133"/>
        <v>0</v>
      </c>
      <c r="BR127" s="566"/>
      <c r="BS127" s="569"/>
      <c r="BT127" s="570"/>
      <c r="BU127" s="557"/>
      <c r="BV127" s="560"/>
      <c r="BW127" s="563"/>
      <c r="BX127" s="615"/>
    </row>
    <row r="128" spans="1:76" x14ac:dyDescent="0.25">
      <c r="A128" s="586"/>
      <c r="B128" s="590"/>
      <c r="C128" s="591"/>
      <c r="D128" s="605"/>
      <c r="E128" s="517"/>
      <c r="F128" s="518"/>
      <c r="G128" s="523"/>
      <c r="H128" s="524"/>
      <c r="I128" s="529"/>
      <c r="J128" s="530"/>
      <c r="K128" s="513"/>
      <c r="L128" s="534"/>
      <c r="M128" s="537"/>
      <c r="N128" s="541"/>
      <c r="O128" s="542"/>
      <c r="P128" s="483"/>
      <c r="Q128" s="484"/>
      <c r="R128" s="517"/>
      <c r="S128" s="518"/>
      <c r="T128" s="487"/>
      <c r="U128" s="488"/>
      <c r="V128" s="492"/>
      <c r="W128" s="483"/>
      <c r="X128" s="495"/>
      <c r="Y128" s="484"/>
      <c r="Z128" s="498"/>
      <c r="AA128" s="502"/>
      <c r="AB128" s="503"/>
      <c r="AC128" s="508"/>
      <c r="AD128" s="509"/>
      <c r="AE128" s="509"/>
      <c r="AF128" s="511"/>
      <c r="AG128" s="511"/>
      <c r="AH128" s="511"/>
      <c r="AI128" s="511"/>
      <c r="AJ128" s="511"/>
      <c r="AK128" s="511"/>
      <c r="AL128" s="511"/>
      <c r="AM128" s="511"/>
      <c r="AN128" s="511"/>
      <c r="AO128" s="511"/>
      <c r="AP128" s="511"/>
      <c r="AQ128" s="466"/>
      <c r="AR128" s="468"/>
      <c r="AS128" s="122" t="s">
        <v>259</v>
      </c>
      <c r="AT128" s="123"/>
      <c r="AU128" s="123"/>
      <c r="AV128" s="123"/>
      <c r="AW128" s="124"/>
      <c r="AX128" s="126">
        <f t="shared" si="228"/>
        <v>0</v>
      </c>
      <c r="AY128" s="142" t="s">
        <v>259</v>
      </c>
      <c r="AZ128" s="138"/>
      <c r="BA128" s="138"/>
      <c r="BB128" s="135">
        <f t="shared" si="229"/>
        <v>0</v>
      </c>
      <c r="BC128" s="474" t="s">
        <v>260</v>
      </c>
      <c r="BD128" s="475"/>
      <c r="BE128" s="14"/>
      <c r="BF128" s="17"/>
      <c r="BG128" s="14"/>
      <c r="BH128" s="17"/>
      <c r="BI128" s="14"/>
      <c r="BJ128" s="17"/>
      <c r="BK128" s="14"/>
      <c r="BL128" s="17"/>
      <c r="BM128" s="14"/>
      <c r="BN128" s="17"/>
      <c r="BO128" s="14"/>
      <c r="BP128" s="17"/>
      <c r="BQ128" s="107">
        <f t="shared" si="133"/>
        <v>0</v>
      </c>
      <c r="BR128" s="567"/>
      <c r="BS128" s="571"/>
      <c r="BT128" s="572"/>
      <c r="BU128" s="558"/>
      <c r="BV128" s="561"/>
      <c r="BW128" s="564"/>
      <c r="BX128" s="616"/>
    </row>
    <row r="129" spans="1:76" ht="15.75" thickBot="1" x14ac:dyDescent="0.3">
      <c r="A129" s="586"/>
      <c r="B129" s="590"/>
      <c r="C129" s="591"/>
      <c r="D129" s="605"/>
      <c r="E129" s="517"/>
      <c r="F129" s="518"/>
      <c r="G129" s="523"/>
      <c r="H129" s="524"/>
      <c r="I129" s="529"/>
      <c r="J129" s="530"/>
      <c r="K129" s="513"/>
      <c r="L129" s="534"/>
      <c r="M129" s="537"/>
      <c r="N129" s="541"/>
      <c r="O129" s="542"/>
      <c r="P129" s="483"/>
      <c r="Q129" s="484"/>
      <c r="R129" s="517"/>
      <c r="S129" s="518"/>
      <c r="T129" s="487"/>
      <c r="U129" s="488"/>
      <c r="V129" s="492"/>
      <c r="W129" s="483"/>
      <c r="X129" s="495"/>
      <c r="Y129" s="484"/>
      <c r="Z129" s="498"/>
      <c r="AA129" s="502"/>
      <c r="AB129" s="503"/>
      <c r="AC129" s="471" t="s">
        <v>259</v>
      </c>
      <c r="AD129" s="472"/>
      <c r="AE129" s="473"/>
      <c r="AF129" s="100"/>
      <c r="AG129" s="100"/>
      <c r="AH129" s="100"/>
      <c r="AI129" s="100"/>
      <c r="AJ129" s="100"/>
      <c r="AK129" s="100"/>
      <c r="AL129" s="100"/>
      <c r="AM129" s="100"/>
      <c r="AN129" s="100"/>
      <c r="AO129" s="100"/>
      <c r="AP129" s="100"/>
      <c r="AQ129" s="101"/>
      <c r="AR129" s="104">
        <f t="shared" ref="AR129:AR130" si="230">SUM(AF129:AQ129)</f>
        <v>0</v>
      </c>
      <c r="AS129" s="128" t="s">
        <v>261</v>
      </c>
      <c r="AT129" s="129"/>
      <c r="AU129" s="129"/>
      <c r="AV129" s="129"/>
      <c r="AW129" s="130"/>
      <c r="AX129" s="126">
        <f t="shared" si="228"/>
        <v>0</v>
      </c>
      <c r="AY129" s="143" t="s">
        <v>261</v>
      </c>
      <c r="AZ129" s="139"/>
      <c r="BA129" s="139"/>
      <c r="BB129" s="136">
        <f t="shared" si="229"/>
        <v>0</v>
      </c>
      <c r="BC129" s="474" t="s">
        <v>262</v>
      </c>
      <c r="BD129" s="475"/>
      <c r="BE129" s="14"/>
      <c r="BF129" s="17"/>
      <c r="BG129" s="14"/>
      <c r="BH129" s="17"/>
      <c r="BI129" s="14"/>
      <c r="BJ129" s="17"/>
      <c r="BK129" s="14"/>
      <c r="BL129" s="17"/>
      <c r="BM129" s="14"/>
      <c r="BN129" s="17"/>
      <c r="BO129" s="14"/>
      <c r="BP129" s="17"/>
      <c r="BQ129" s="108">
        <f t="shared" si="133"/>
        <v>0</v>
      </c>
      <c r="BR129" s="567"/>
      <c r="BS129" s="571"/>
      <c r="BT129" s="572"/>
      <c r="BU129" s="558"/>
      <c r="BV129" s="561"/>
      <c r="BW129" s="564"/>
      <c r="BX129" s="616"/>
    </row>
    <row r="130" spans="1:76" ht="15.75" thickBot="1" x14ac:dyDescent="0.3">
      <c r="A130" s="587"/>
      <c r="B130" s="592"/>
      <c r="C130" s="593"/>
      <c r="D130" s="606"/>
      <c r="E130" s="519"/>
      <c r="F130" s="520"/>
      <c r="G130" s="525"/>
      <c r="H130" s="526"/>
      <c r="I130" s="531"/>
      <c r="J130" s="532"/>
      <c r="K130" s="514"/>
      <c r="L130" s="535"/>
      <c r="M130" s="538"/>
      <c r="N130" s="543"/>
      <c r="O130" s="544"/>
      <c r="P130" s="485"/>
      <c r="Q130" s="486"/>
      <c r="R130" s="519"/>
      <c r="S130" s="520"/>
      <c r="T130" s="489"/>
      <c r="U130" s="490"/>
      <c r="V130" s="493"/>
      <c r="W130" s="485"/>
      <c r="X130" s="496"/>
      <c r="Y130" s="486"/>
      <c r="Z130" s="499"/>
      <c r="AA130" s="504"/>
      <c r="AB130" s="505"/>
      <c r="AC130" s="476" t="s">
        <v>261</v>
      </c>
      <c r="AD130" s="477"/>
      <c r="AE130" s="478"/>
      <c r="AF130" s="102"/>
      <c r="AG130" s="102"/>
      <c r="AH130" s="102"/>
      <c r="AI130" s="102"/>
      <c r="AJ130" s="102"/>
      <c r="AK130" s="102"/>
      <c r="AL130" s="102"/>
      <c r="AM130" s="102"/>
      <c r="AN130" s="102"/>
      <c r="AO130" s="102"/>
      <c r="AP130" s="102"/>
      <c r="AQ130" s="103"/>
      <c r="AR130" s="105">
        <f t="shared" si="230"/>
        <v>0</v>
      </c>
      <c r="AS130" s="131" t="s">
        <v>161</v>
      </c>
      <c r="AT130" s="132">
        <f t="shared" ref="AT130:AX130" si="231">SUM(AT127:AT129)</f>
        <v>0</v>
      </c>
      <c r="AU130" s="132">
        <f t="shared" si="231"/>
        <v>0</v>
      </c>
      <c r="AV130" s="132">
        <f t="shared" si="231"/>
        <v>0</v>
      </c>
      <c r="AW130" s="133">
        <f t="shared" si="231"/>
        <v>0</v>
      </c>
      <c r="AX130" s="127">
        <f t="shared" si="231"/>
        <v>0</v>
      </c>
      <c r="AY130" s="144" t="s">
        <v>161</v>
      </c>
      <c r="AZ130" s="140">
        <f t="shared" ref="AZ130:BB130" si="232">SUM(AZ127:AZ129)</f>
        <v>0</v>
      </c>
      <c r="BA130" s="140">
        <f t="shared" si="232"/>
        <v>0</v>
      </c>
      <c r="BB130" s="140">
        <f t="shared" si="232"/>
        <v>0</v>
      </c>
      <c r="BC130" s="479" t="s">
        <v>263</v>
      </c>
      <c r="BD130" s="480"/>
      <c r="BE130" s="15"/>
      <c r="BF130" s="18"/>
      <c r="BG130" s="15"/>
      <c r="BH130" s="18"/>
      <c r="BI130" s="15"/>
      <c r="BJ130" s="18"/>
      <c r="BK130" s="15"/>
      <c r="BL130" s="18"/>
      <c r="BM130" s="15"/>
      <c r="BN130" s="18"/>
      <c r="BO130" s="15"/>
      <c r="BP130" s="18"/>
      <c r="BQ130" s="109">
        <f t="shared" si="133"/>
        <v>0</v>
      </c>
      <c r="BR130" s="568"/>
      <c r="BS130" s="573"/>
      <c r="BT130" s="574"/>
      <c r="BU130" s="559"/>
      <c r="BV130" s="562"/>
      <c r="BW130" s="565"/>
      <c r="BX130" s="617"/>
    </row>
    <row r="131" spans="1:76" ht="15.75" thickTop="1" x14ac:dyDescent="0.25">
      <c r="A131" s="585">
        <v>31</v>
      </c>
      <c r="B131" s="588"/>
      <c r="C131" s="589"/>
      <c r="D131" s="604"/>
      <c r="E131" s="515"/>
      <c r="F131" s="516"/>
      <c r="G131" s="521"/>
      <c r="H131" s="522"/>
      <c r="I131" s="527"/>
      <c r="J131" s="528"/>
      <c r="K131" s="512">
        <f t="shared" ref="K131" si="233">INT(YEARFRAC(I131,AA131))</f>
        <v>0</v>
      </c>
      <c r="L131" s="533">
        <f t="shared" ref="L131" ca="1" si="234">INT(YEARFRAC(I131,TODAY()))</f>
        <v>121</v>
      </c>
      <c r="M131" s="536"/>
      <c r="N131" s="539"/>
      <c r="O131" s="540"/>
      <c r="P131" s="481"/>
      <c r="Q131" s="482"/>
      <c r="R131" s="515"/>
      <c r="S131" s="516"/>
      <c r="T131" s="487"/>
      <c r="U131" s="488"/>
      <c r="V131" s="491"/>
      <c r="W131" s="481"/>
      <c r="X131" s="494"/>
      <c r="Y131" s="482"/>
      <c r="Z131" s="497"/>
      <c r="AA131" s="500"/>
      <c r="AB131" s="501"/>
      <c r="AC131" s="506" t="s">
        <v>257</v>
      </c>
      <c r="AD131" s="507"/>
      <c r="AE131" s="507"/>
      <c r="AF131" s="510"/>
      <c r="AG131" s="510"/>
      <c r="AH131" s="510"/>
      <c r="AI131" s="510"/>
      <c r="AJ131" s="510"/>
      <c r="AK131" s="510"/>
      <c r="AL131" s="510"/>
      <c r="AM131" s="510"/>
      <c r="AN131" s="510"/>
      <c r="AO131" s="510"/>
      <c r="AP131" s="510"/>
      <c r="AQ131" s="465"/>
      <c r="AR131" s="467">
        <f t="shared" ref="AR131" si="235">SUM(AF131:AQ132)</f>
        <v>0</v>
      </c>
      <c r="AS131" s="119" t="s">
        <v>257</v>
      </c>
      <c r="AT131" s="120"/>
      <c r="AU131" s="120"/>
      <c r="AV131" s="120"/>
      <c r="AW131" s="121"/>
      <c r="AX131" s="125">
        <f t="shared" ref="AX131:AX133" si="236">SUM(AT131:AW131)</f>
        <v>0</v>
      </c>
      <c r="AY131" s="141" t="s">
        <v>257</v>
      </c>
      <c r="AZ131" s="137"/>
      <c r="BA131" s="137"/>
      <c r="BB131" s="134">
        <f t="shared" ref="BB131:BB133" si="237">AZ131-BA131</f>
        <v>0</v>
      </c>
      <c r="BC131" s="469" t="s">
        <v>258</v>
      </c>
      <c r="BD131" s="470"/>
      <c r="BE131" s="13"/>
      <c r="BF131" s="16"/>
      <c r="BG131" s="13"/>
      <c r="BH131" s="16"/>
      <c r="BI131" s="13"/>
      <c r="BJ131" s="16"/>
      <c r="BK131" s="13"/>
      <c r="BL131" s="16"/>
      <c r="BM131" s="13"/>
      <c r="BN131" s="16"/>
      <c r="BO131" s="13"/>
      <c r="BP131" s="16"/>
      <c r="BQ131" s="106">
        <f t="shared" si="133"/>
        <v>0</v>
      </c>
      <c r="BR131" s="566"/>
      <c r="BS131" s="569"/>
      <c r="BT131" s="570"/>
      <c r="BU131" s="557"/>
      <c r="BV131" s="560"/>
      <c r="BW131" s="563"/>
      <c r="BX131" s="615"/>
    </row>
    <row r="132" spans="1:76" x14ac:dyDescent="0.25">
      <c r="A132" s="586"/>
      <c r="B132" s="590"/>
      <c r="C132" s="591"/>
      <c r="D132" s="605"/>
      <c r="E132" s="517"/>
      <c r="F132" s="518"/>
      <c r="G132" s="523"/>
      <c r="H132" s="524"/>
      <c r="I132" s="529"/>
      <c r="J132" s="530"/>
      <c r="K132" s="513"/>
      <c r="L132" s="534"/>
      <c r="M132" s="537"/>
      <c r="N132" s="541"/>
      <c r="O132" s="542"/>
      <c r="P132" s="483"/>
      <c r="Q132" s="484"/>
      <c r="R132" s="517"/>
      <c r="S132" s="518"/>
      <c r="T132" s="487"/>
      <c r="U132" s="488"/>
      <c r="V132" s="492"/>
      <c r="W132" s="483"/>
      <c r="X132" s="495"/>
      <c r="Y132" s="484"/>
      <c r="Z132" s="498"/>
      <c r="AA132" s="502"/>
      <c r="AB132" s="503"/>
      <c r="AC132" s="508"/>
      <c r="AD132" s="509"/>
      <c r="AE132" s="509"/>
      <c r="AF132" s="511"/>
      <c r="AG132" s="511"/>
      <c r="AH132" s="511"/>
      <c r="AI132" s="511"/>
      <c r="AJ132" s="511"/>
      <c r="AK132" s="511"/>
      <c r="AL132" s="511"/>
      <c r="AM132" s="511"/>
      <c r="AN132" s="511"/>
      <c r="AO132" s="511"/>
      <c r="AP132" s="511"/>
      <c r="AQ132" s="466"/>
      <c r="AR132" s="468"/>
      <c r="AS132" s="122" t="s">
        <v>259</v>
      </c>
      <c r="AT132" s="123"/>
      <c r="AU132" s="123"/>
      <c r="AV132" s="123"/>
      <c r="AW132" s="124"/>
      <c r="AX132" s="126">
        <f t="shared" si="236"/>
        <v>0</v>
      </c>
      <c r="AY132" s="142" t="s">
        <v>259</v>
      </c>
      <c r="AZ132" s="138"/>
      <c r="BA132" s="138"/>
      <c r="BB132" s="135">
        <f t="shared" si="237"/>
        <v>0</v>
      </c>
      <c r="BC132" s="474" t="s">
        <v>260</v>
      </c>
      <c r="BD132" s="475"/>
      <c r="BE132" s="14"/>
      <c r="BF132" s="17"/>
      <c r="BG132" s="14"/>
      <c r="BH132" s="17"/>
      <c r="BI132" s="14"/>
      <c r="BJ132" s="17"/>
      <c r="BK132" s="14"/>
      <c r="BL132" s="17"/>
      <c r="BM132" s="14"/>
      <c r="BN132" s="17"/>
      <c r="BO132" s="14"/>
      <c r="BP132" s="17"/>
      <c r="BQ132" s="107">
        <f t="shared" si="133"/>
        <v>0</v>
      </c>
      <c r="BR132" s="567"/>
      <c r="BS132" s="571"/>
      <c r="BT132" s="572"/>
      <c r="BU132" s="558"/>
      <c r="BV132" s="561"/>
      <c r="BW132" s="564"/>
      <c r="BX132" s="616"/>
    </row>
    <row r="133" spans="1:76" ht="15.75" thickBot="1" x14ac:dyDescent="0.3">
      <c r="A133" s="586"/>
      <c r="B133" s="590"/>
      <c r="C133" s="591"/>
      <c r="D133" s="605"/>
      <c r="E133" s="517"/>
      <c r="F133" s="518"/>
      <c r="G133" s="523"/>
      <c r="H133" s="524"/>
      <c r="I133" s="529"/>
      <c r="J133" s="530"/>
      <c r="K133" s="513"/>
      <c r="L133" s="534"/>
      <c r="M133" s="537"/>
      <c r="N133" s="541"/>
      <c r="O133" s="542"/>
      <c r="P133" s="483"/>
      <c r="Q133" s="484"/>
      <c r="R133" s="517"/>
      <c r="S133" s="518"/>
      <c r="T133" s="487"/>
      <c r="U133" s="488"/>
      <c r="V133" s="492"/>
      <c r="W133" s="483"/>
      <c r="X133" s="495"/>
      <c r="Y133" s="484"/>
      <c r="Z133" s="498"/>
      <c r="AA133" s="502"/>
      <c r="AB133" s="503"/>
      <c r="AC133" s="471" t="s">
        <v>259</v>
      </c>
      <c r="AD133" s="472"/>
      <c r="AE133" s="473"/>
      <c r="AF133" s="100"/>
      <c r="AG133" s="100"/>
      <c r="AH133" s="100"/>
      <c r="AI133" s="100"/>
      <c r="AJ133" s="100"/>
      <c r="AK133" s="100"/>
      <c r="AL133" s="100"/>
      <c r="AM133" s="100"/>
      <c r="AN133" s="100"/>
      <c r="AO133" s="100"/>
      <c r="AP133" s="100"/>
      <c r="AQ133" s="101"/>
      <c r="AR133" s="104">
        <f t="shared" ref="AR133:AR134" si="238">SUM(AF133:AQ133)</f>
        <v>0</v>
      </c>
      <c r="AS133" s="128" t="s">
        <v>261</v>
      </c>
      <c r="AT133" s="129"/>
      <c r="AU133" s="129"/>
      <c r="AV133" s="129"/>
      <c r="AW133" s="130"/>
      <c r="AX133" s="126">
        <f t="shared" si="236"/>
        <v>0</v>
      </c>
      <c r="AY133" s="143" t="s">
        <v>261</v>
      </c>
      <c r="AZ133" s="139"/>
      <c r="BA133" s="139"/>
      <c r="BB133" s="136">
        <f t="shared" si="237"/>
        <v>0</v>
      </c>
      <c r="BC133" s="474" t="s">
        <v>262</v>
      </c>
      <c r="BD133" s="475"/>
      <c r="BE133" s="14"/>
      <c r="BF133" s="17"/>
      <c r="BG133" s="14"/>
      <c r="BH133" s="17"/>
      <c r="BI133" s="14"/>
      <c r="BJ133" s="17"/>
      <c r="BK133" s="14"/>
      <c r="BL133" s="17"/>
      <c r="BM133" s="14"/>
      <c r="BN133" s="17"/>
      <c r="BO133" s="14"/>
      <c r="BP133" s="17"/>
      <c r="BQ133" s="108">
        <f t="shared" si="133"/>
        <v>0</v>
      </c>
      <c r="BR133" s="567"/>
      <c r="BS133" s="571"/>
      <c r="BT133" s="572"/>
      <c r="BU133" s="558"/>
      <c r="BV133" s="561"/>
      <c r="BW133" s="564"/>
      <c r="BX133" s="616"/>
    </row>
    <row r="134" spans="1:76" ht="15.75" thickBot="1" x14ac:dyDescent="0.3">
      <c r="A134" s="587"/>
      <c r="B134" s="592"/>
      <c r="C134" s="593"/>
      <c r="D134" s="606"/>
      <c r="E134" s="519"/>
      <c r="F134" s="520"/>
      <c r="G134" s="525"/>
      <c r="H134" s="526"/>
      <c r="I134" s="531"/>
      <c r="J134" s="532"/>
      <c r="K134" s="514"/>
      <c r="L134" s="535"/>
      <c r="M134" s="538"/>
      <c r="N134" s="543"/>
      <c r="O134" s="544"/>
      <c r="P134" s="485"/>
      <c r="Q134" s="486"/>
      <c r="R134" s="519"/>
      <c r="S134" s="520"/>
      <c r="T134" s="489"/>
      <c r="U134" s="490"/>
      <c r="V134" s="493"/>
      <c r="W134" s="485"/>
      <c r="X134" s="496"/>
      <c r="Y134" s="486"/>
      <c r="Z134" s="499"/>
      <c r="AA134" s="504"/>
      <c r="AB134" s="505"/>
      <c r="AC134" s="476" t="s">
        <v>261</v>
      </c>
      <c r="AD134" s="477"/>
      <c r="AE134" s="478"/>
      <c r="AF134" s="102"/>
      <c r="AG134" s="102"/>
      <c r="AH134" s="102"/>
      <c r="AI134" s="102"/>
      <c r="AJ134" s="102"/>
      <c r="AK134" s="102"/>
      <c r="AL134" s="102"/>
      <c r="AM134" s="102"/>
      <c r="AN134" s="102"/>
      <c r="AO134" s="102"/>
      <c r="AP134" s="102"/>
      <c r="AQ134" s="103"/>
      <c r="AR134" s="105">
        <f t="shared" si="238"/>
        <v>0</v>
      </c>
      <c r="AS134" s="131" t="s">
        <v>161</v>
      </c>
      <c r="AT134" s="132">
        <f t="shared" ref="AT134:AX134" si="239">SUM(AT131:AT133)</f>
        <v>0</v>
      </c>
      <c r="AU134" s="132">
        <f t="shared" si="239"/>
        <v>0</v>
      </c>
      <c r="AV134" s="132">
        <f t="shared" si="239"/>
        <v>0</v>
      </c>
      <c r="AW134" s="133">
        <f t="shared" si="239"/>
        <v>0</v>
      </c>
      <c r="AX134" s="127">
        <f t="shared" si="239"/>
        <v>0</v>
      </c>
      <c r="AY134" s="144" t="s">
        <v>161</v>
      </c>
      <c r="AZ134" s="140">
        <f t="shared" ref="AZ134:BB134" si="240">SUM(AZ131:AZ133)</f>
        <v>0</v>
      </c>
      <c r="BA134" s="140">
        <f t="shared" si="240"/>
        <v>0</v>
      </c>
      <c r="BB134" s="140">
        <f t="shared" si="240"/>
        <v>0</v>
      </c>
      <c r="BC134" s="479" t="s">
        <v>263</v>
      </c>
      <c r="BD134" s="480"/>
      <c r="BE134" s="15"/>
      <c r="BF134" s="18"/>
      <c r="BG134" s="15"/>
      <c r="BH134" s="18"/>
      <c r="BI134" s="15"/>
      <c r="BJ134" s="18"/>
      <c r="BK134" s="15"/>
      <c r="BL134" s="18"/>
      <c r="BM134" s="15"/>
      <c r="BN134" s="18"/>
      <c r="BO134" s="15"/>
      <c r="BP134" s="18"/>
      <c r="BQ134" s="109">
        <f t="shared" si="133"/>
        <v>0</v>
      </c>
      <c r="BR134" s="568"/>
      <c r="BS134" s="573"/>
      <c r="BT134" s="574"/>
      <c r="BU134" s="559"/>
      <c r="BV134" s="562"/>
      <c r="BW134" s="565"/>
      <c r="BX134" s="617"/>
    </row>
    <row r="135" spans="1:76" ht="15.75" thickTop="1" x14ac:dyDescent="0.25">
      <c r="A135" s="585">
        <v>32</v>
      </c>
      <c r="B135" s="588"/>
      <c r="C135" s="589"/>
      <c r="D135" s="604"/>
      <c r="E135" s="515"/>
      <c r="F135" s="516"/>
      <c r="G135" s="521"/>
      <c r="H135" s="522"/>
      <c r="I135" s="527"/>
      <c r="J135" s="528"/>
      <c r="K135" s="512">
        <f t="shared" ref="K135" si="241">INT(YEARFRAC(I135,AA135))</f>
        <v>0</v>
      </c>
      <c r="L135" s="533">
        <f t="shared" ref="L135" ca="1" si="242">INT(YEARFRAC(I135,TODAY()))</f>
        <v>121</v>
      </c>
      <c r="M135" s="536"/>
      <c r="N135" s="539"/>
      <c r="O135" s="540"/>
      <c r="P135" s="481"/>
      <c r="Q135" s="482"/>
      <c r="R135" s="515"/>
      <c r="S135" s="516"/>
      <c r="T135" s="487"/>
      <c r="U135" s="488"/>
      <c r="V135" s="491"/>
      <c r="W135" s="481"/>
      <c r="X135" s="494"/>
      <c r="Y135" s="482"/>
      <c r="Z135" s="497"/>
      <c r="AA135" s="500"/>
      <c r="AB135" s="501"/>
      <c r="AC135" s="506" t="s">
        <v>257</v>
      </c>
      <c r="AD135" s="507"/>
      <c r="AE135" s="507"/>
      <c r="AF135" s="510"/>
      <c r="AG135" s="510"/>
      <c r="AH135" s="510"/>
      <c r="AI135" s="510"/>
      <c r="AJ135" s="510"/>
      <c r="AK135" s="510"/>
      <c r="AL135" s="510"/>
      <c r="AM135" s="510"/>
      <c r="AN135" s="510"/>
      <c r="AO135" s="510"/>
      <c r="AP135" s="510"/>
      <c r="AQ135" s="465"/>
      <c r="AR135" s="467">
        <f t="shared" ref="AR135" si="243">SUM(AF135:AQ136)</f>
        <v>0</v>
      </c>
      <c r="AS135" s="119" t="s">
        <v>257</v>
      </c>
      <c r="AT135" s="120"/>
      <c r="AU135" s="120"/>
      <c r="AV135" s="120"/>
      <c r="AW135" s="121"/>
      <c r="AX135" s="125">
        <f t="shared" ref="AX135:AX137" si="244">SUM(AT135:AW135)</f>
        <v>0</v>
      </c>
      <c r="AY135" s="141" t="s">
        <v>257</v>
      </c>
      <c r="AZ135" s="137"/>
      <c r="BA135" s="137"/>
      <c r="BB135" s="134">
        <f t="shared" ref="BB135:BB137" si="245">AZ135-BA135</f>
        <v>0</v>
      </c>
      <c r="BC135" s="469" t="s">
        <v>258</v>
      </c>
      <c r="BD135" s="470"/>
      <c r="BE135" s="13"/>
      <c r="BF135" s="16"/>
      <c r="BG135" s="13"/>
      <c r="BH135" s="16"/>
      <c r="BI135" s="13"/>
      <c r="BJ135" s="16"/>
      <c r="BK135" s="13"/>
      <c r="BL135" s="16"/>
      <c r="BM135" s="13"/>
      <c r="BN135" s="16"/>
      <c r="BO135" s="13"/>
      <c r="BP135" s="16"/>
      <c r="BQ135" s="106">
        <f t="shared" si="133"/>
        <v>0</v>
      </c>
      <c r="BR135" s="566"/>
      <c r="BS135" s="569"/>
      <c r="BT135" s="570"/>
      <c r="BU135" s="557"/>
      <c r="BV135" s="560"/>
      <c r="BW135" s="563"/>
      <c r="BX135" s="615"/>
    </row>
    <row r="136" spans="1:76" x14ac:dyDescent="0.25">
      <c r="A136" s="586"/>
      <c r="B136" s="590"/>
      <c r="C136" s="591"/>
      <c r="D136" s="605"/>
      <c r="E136" s="517"/>
      <c r="F136" s="518"/>
      <c r="G136" s="523"/>
      <c r="H136" s="524"/>
      <c r="I136" s="529"/>
      <c r="J136" s="530"/>
      <c r="K136" s="513"/>
      <c r="L136" s="534"/>
      <c r="M136" s="537"/>
      <c r="N136" s="541"/>
      <c r="O136" s="542"/>
      <c r="P136" s="483"/>
      <c r="Q136" s="484"/>
      <c r="R136" s="517"/>
      <c r="S136" s="518"/>
      <c r="T136" s="487"/>
      <c r="U136" s="488"/>
      <c r="V136" s="492"/>
      <c r="W136" s="483"/>
      <c r="X136" s="495"/>
      <c r="Y136" s="484"/>
      <c r="Z136" s="498"/>
      <c r="AA136" s="502"/>
      <c r="AB136" s="503"/>
      <c r="AC136" s="508"/>
      <c r="AD136" s="509"/>
      <c r="AE136" s="509"/>
      <c r="AF136" s="511"/>
      <c r="AG136" s="511"/>
      <c r="AH136" s="511"/>
      <c r="AI136" s="511"/>
      <c r="AJ136" s="511"/>
      <c r="AK136" s="511"/>
      <c r="AL136" s="511"/>
      <c r="AM136" s="511"/>
      <c r="AN136" s="511"/>
      <c r="AO136" s="511"/>
      <c r="AP136" s="511"/>
      <c r="AQ136" s="466"/>
      <c r="AR136" s="468"/>
      <c r="AS136" s="122" t="s">
        <v>259</v>
      </c>
      <c r="AT136" s="123"/>
      <c r="AU136" s="123"/>
      <c r="AV136" s="123"/>
      <c r="AW136" s="124"/>
      <c r="AX136" s="126">
        <f t="shared" si="244"/>
        <v>0</v>
      </c>
      <c r="AY136" s="142" t="s">
        <v>259</v>
      </c>
      <c r="AZ136" s="138"/>
      <c r="BA136" s="138"/>
      <c r="BB136" s="135">
        <f t="shared" si="245"/>
        <v>0</v>
      </c>
      <c r="BC136" s="474" t="s">
        <v>260</v>
      </c>
      <c r="BD136" s="475"/>
      <c r="BE136" s="14"/>
      <c r="BF136" s="17"/>
      <c r="BG136" s="14"/>
      <c r="BH136" s="17"/>
      <c r="BI136" s="14"/>
      <c r="BJ136" s="17"/>
      <c r="BK136" s="14"/>
      <c r="BL136" s="17"/>
      <c r="BM136" s="14"/>
      <c r="BN136" s="17"/>
      <c r="BO136" s="14"/>
      <c r="BP136" s="17"/>
      <c r="BQ136" s="107">
        <f t="shared" si="133"/>
        <v>0</v>
      </c>
      <c r="BR136" s="567"/>
      <c r="BS136" s="571"/>
      <c r="BT136" s="572"/>
      <c r="BU136" s="558"/>
      <c r="BV136" s="561"/>
      <c r="BW136" s="564"/>
      <c r="BX136" s="616"/>
    </row>
    <row r="137" spans="1:76" ht="15.75" thickBot="1" x14ac:dyDescent="0.3">
      <c r="A137" s="586"/>
      <c r="B137" s="590"/>
      <c r="C137" s="591"/>
      <c r="D137" s="605"/>
      <c r="E137" s="517"/>
      <c r="F137" s="518"/>
      <c r="G137" s="523"/>
      <c r="H137" s="524"/>
      <c r="I137" s="529"/>
      <c r="J137" s="530"/>
      <c r="K137" s="513"/>
      <c r="L137" s="534"/>
      <c r="M137" s="537"/>
      <c r="N137" s="541"/>
      <c r="O137" s="542"/>
      <c r="P137" s="483"/>
      <c r="Q137" s="484"/>
      <c r="R137" s="517"/>
      <c r="S137" s="518"/>
      <c r="T137" s="487"/>
      <c r="U137" s="488"/>
      <c r="V137" s="492"/>
      <c r="W137" s="483"/>
      <c r="X137" s="495"/>
      <c r="Y137" s="484"/>
      <c r="Z137" s="498"/>
      <c r="AA137" s="502"/>
      <c r="AB137" s="503"/>
      <c r="AC137" s="471" t="s">
        <v>259</v>
      </c>
      <c r="AD137" s="472"/>
      <c r="AE137" s="473"/>
      <c r="AF137" s="100"/>
      <c r="AG137" s="100"/>
      <c r="AH137" s="100"/>
      <c r="AI137" s="100"/>
      <c r="AJ137" s="100"/>
      <c r="AK137" s="100"/>
      <c r="AL137" s="100"/>
      <c r="AM137" s="100"/>
      <c r="AN137" s="100"/>
      <c r="AO137" s="100"/>
      <c r="AP137" s="100"/>
      <c r="AQ137" s="101"/>
      <c r="AR137" s="104">
        <f t="shared" ref="AR137:AR138" si="246">SUM(AF137:AQ137)</f>
        <v>0</v>
      </c>
      <c r="AS137" s="128" t="s">
        <v>261</v>
      </c>
      <c r="AT137" s="129"/>
      <c r="AU137" s="129"/>
      <c r="AV137" s="129"/>
      <c r="AW137" s="130"/>
      <c r="AX137" s="126">
        <f t="shared" si="244"/>
        <v>0</v>
      </c>
      <c r="AY137" s="143" t="s">
        <v>261</v>
      </c>
      <c r="AZ137" s="139"/>
      <c r="BA137" s="139"/>
      <c r="BB137" s="136">
        <f t="shared" si="245"/>
        <v>0</v>
      </c>
      <c r="BC137" s="474" t="s">
        <v>262</v>
      </c>
      <c r="BD137" s="475"/>
      <c r="BE137" s="14"/>
      <c r="BF137" s="17"/>
      <c r="BG137" s="14"/>
      <c r="BH137" s="17"/>
      <c r="BI137" s="14"/>
      <c r="BJ137" s="17"/>
      <c r="BK137" s="14"/>
      <c r="BL137" s="17"/>
      <c r="BM137" s="14"/>
      <c r="BN137" s="17"/>
      <c r="BO137" s="14"/>
      <c r="BP137" s="17"/>
      <c r="BQ137" s="108">
        <f t="shared" si="133"/>
        <v>0</v>
      </c>
      <c r="BR137" s="567"/>
      <c r="BS137" s="571"/>
      <c r="BT137" s="572"/>
      <c r="BU137" s="558"/>
      <c r="BV137" s="561"/>
      <c r="BW137" s="564"/>
      <c r="BX137" s="616"/>
    </row>
    <row r="138" spans="1:76" ht="15.75" thickBot="1" x14ac:dyDescent="0.3">
      <c r="A138" s="587"/>
      <c r="B138" s="592"/>
      <c r="C138" s="593"/>
      <c r="D138" s="606"/>
      <c r="E138" s="519"/>
      <c r="F138" s="520"/>
      <c r="G138" s="525"/>
      <c r="H138" s="526"/>
      <c r="I138" s="531"/>
      <c r="J138" s="532"/>
      <c r="K138" s="514"/>
      <c r="L138" s="535"/>
      <c r="M138" s="538"/>
      <c r="N138" s="543"/>
      <c r="O138" s="544"/>
      <c r="P138" s="485"/>
      <c r="Q138" s="486"/>
      <c r="R138" s="519"/>
      <c r="S138" s="520"/>
      <c r="T138" s="489"/>
      <c r="U138" s="490"/>
      <c r="V138" s="493"/>
      <c r="W138" s="485"/>
      <c r="X138" s="496"/>
      <c r="Y138" s="486"/>
      <c r="Z138" s="499"/>
      <c r="AA138" s="504"/>
      <c r="AB138" s="505"/>
      <c r="AC138" s="476" t="s">
        <v>261</v>
      </c>
      <c r="AD138" s="477"/>
      <c r="AE138" s="478"/>
      <c r="AF138" s="102"/>
      <c r="AG138" s="102"/>
      <c r="AH138" s="102"/>
      <c r="AI138" s="102"/>
      <c r="AJ138" s="102"/>
      <c r="AK138" s="102"/>
      <c r="AL138" s="102"/>
      <c r="AM138" s="102"/>
      <c r="AN138" s="102"/>
      <c r="AO138" s="102"/>
      <c r="AP138" s="102"/>
      <c r="AQ138" s="103"/>
      <c r="AR138" s="105">
        <f t="shared" si="246"/>
        <v>0</v>
      </c>
      <c r="AS138" s="131" t="s">
        <v>161</v>
      </c>
      <c r="AT138" s="132">
        <f t="shared" ref="AT138:AX138" si="247">SUM(AT135:AT137)</f>
        <v>0</v>
      </c>
      <c r="AU138" s="132">
        <f t="shared" si="247"/>
        <v>0</v>
      </c>
      <c r="AV138" s="132">
        <f t="shared" si="247"/>
        <v>0</v>
      </c>
      <c r="AW138" s="133">
        <f t="shared" si="247"/>
        <v>0</v>
      </c>
      <c r="AX138" s="127">
        <f t="shared" si="247"/>
        <v>0</v>
      </c>
      <c r="AY138" s="144" t="s">
        <v>161</v>
      </c>
      <c r="AZ138" s="140">
        <f t="shared" ref="AZ138:BB138" si="248">SUM(AZ135:AZ137)</f>
        <v>0</v>
      </c>
      <c r="BA138" s="140">
        <f t="shared" si="248"/>
        <v>0</v>
      </c>
      <c r="BB138" s="140">
        <f t="shared" si="248"/>
        <v>0</v>
      </c>
      <c r="BC138" s="479" t="s">
        <v>263</v>
      </c>
      <c r="BD138" s="480"/>
      <c r="BE138" s="15"/>
      <c r="BF138" s="18"/>
      <c r="BG138" s="15"/>
      <c r="BH138" s="18"/>
      <c r="BI138" s="15"/>
      <c r="BJ138" s="18"/>
      <c r="BK138" s="15"/>
      <c r="BL138" s="18"/>
      <c r="BM138" s="15"/>
      <c r="BN138" s="18"/>
      <c r="BO138" s="15"/>
      <c r="BP138" s="18"/>
      <c r="BQ138" s="109">
        <f t="shared" si="133"/>
        <v>0</v>
      </c>
      <c r="BR138" s="568"/>
      <c r="BS138" s="573"/>
      <c r="BT138" s="574"/>
      <c r="BU138" s="559"/>
      <c r="BV138" s="562"/>
      <c r="BW138" s="565"/>
      <c r="BX138" s="617"/>
    </row>
    <row r="139" spans="1:76" ht="15.75" thickTop="1" x14ac:dyDescent="0.25">
      <c r="A139" s="585">
        <v>33</v>
      </c>
      <c r="B139" s="588"/>
      <c r="C139" s="589"/>
      <c r="D139" s="604"/>
      <c r="E139" s="515"/>
      <c r="F139" s="516"/>
      <c r="G139" s="521"/>
      <c r="H139" s="522"/>
      <c r="I139" s="527"/>
      <c r="J139" s="528"/>
      <c r="K139" s="512">
        <f t="shared" ref="K139" si="249">INT(YEARFRAC(I139,AA139))</f>
        <v>0</v>
      </c>
      <c r="L139" s="533">
        <f t="shared" ref="L139" ca="1" si="250">INT(YEARFRAC(I139,TODAY()))</f>
        <v>121</v>
      </c>
      <c r="M139" s="536"/>
      <c r="N139" s="539"/>
      <c r="O139" s="540"/>
      <c r="P139" s="481"/>
      <c r="Q139" s="482"/>
      <c r="R139" s="515"/>
      <c r="S139" s="516"/>
      <c r="T139" s="487"/>
      <c r="U139" s="488"/>
      <c r="V139" s="491"/>
      <c r="W139" s="481"/>
      <c r="X139" s="494"/>
      <c r="Y139" s="482"/>
      <c r="Z139" s="497"/>
      <c r="AA139" s="500"/>
      <c r="AB139" s="501"/>
      <c r="AC139" s="506" t="s">
        <v>257</v>
      </c>
      <c r="AD139" s="507"/>
      <c r="AE139" s="507"/>
      <c r="AF139" s="510"/>
      <c r="AG139" s="510"/>
      <c r="AH139" s="510"/>
      <c r="AI139" s="510"/>
      <c r="AJ139" s="510"/>
      <c r="AK139" s="510"/>
      <c r="AL139" s="510"/>
      <c r="AM139" s="510"/>
      <c r="AN139" s="510"/>
      <c r="AO139" s="510"/>
      <c r="AP139" s="510"/>
      <c r="AQ139" s="465"/>
      <c r="AR139" s="467">
        <f t="shared" ref="AR139" si="251">SUM(AF139:AQ140)</f>
        <v>0</v>
      </c>
      <c r="AS139" s="119" t="s">
        <v>257</v>
      </c>
      <c r="AT139" s="120"/>
      <c r="AU139" s="120"/>
      <c r="AV139" s="120"/>
      <c r="AW139" s="121"/>
      <c r="AX139" s="125">
        <f t="shared" ref="AX139:AX141" si="252">SUM(AT139:AW139)</f>
        <v>0</v>
      </c>
      <c r="AY139" s="141" t="s">
        <v>257</v>
      </c>
      <c r="AZ139" s="137"/>
      <c r="BA139" s="137"/>
      <c r="BB139" s="134">
        <f t="shared" ref="BB139:BB141" si="253">AZ139-BA139</f>
        <v>0</v>
      </c>
      <c r="BC139" s="469" t="s">
        <v>258</v>
      </c>
      <c r="BD139" s="470"/>
      <c r="BE139" s="13"/>
      <c r="BF139" s="16"/>
      <c r="BG139" s="13"/>
      <c r="BH139" s="16"/>
      <c r="BI139" s="13"/>
      <c r="BJ139" s="16"/>
      <c r="BK139" s="13"/>
      <c r="BL139" s="16"/>
      <c r="BM139" s="13"/>
      <c r="BN139" s="16"/>
      <c r="BO139" s="13"/>
      <c r="BP139" s="16"/>
      <c r="BQ139" s="106">
        <f t="shared" si="133"/>
        <v>0</v>
      </c>
      <c r="BR139" s="566"/>
      <c r="BS139" s="569"/>
      <c r="BT139" s="570"/>
      <c r="BU139" s="557"/>
      <c r="BV139" s="560"/>
      <c r="BW139" s="563"/>
      <c r="BX139" s="615"/>
    </row>
    <row r="140" spans="1:76" x14ac:dyDescent="0.25">
      <c r="A140" s="586"/>
      <c r="B140" s="590"/>
      <c r="C140" s="591"/>
      <c r="D140" s="605"/>
      <c r="E140" s="517"/>
      <c r="F140" s="518"/>
      <c r="G140" s="523"/>
      <c r="H140" s="524"/>
      <c r="I140" s="529"/>
      <c r="J140" s="530"/>
      <c r="K140" s="513"/>
      <c r="L140" s="534"/>
      <c r="M140" s="537"/>
      <c r="N140" s="541"/>
      <c r="O140" s="542"/>
      <c r="P140" s="483"/>
      <c r="Q140" s="484"/>
      <c r="R140" s="517"/>
      <c r="S140" s="518"/>
      <c r="T140" s="487"/>
      <c r="U140" s="488"/>
      <c r="V140" s="492"/>
      <c r="W140" s="483"/>
      <c r="X140" s="495"/>
      <c r="Y140" s="484"/>
      <c r="Z140" s="498"/>
      <c r="AA140" s="502"/>
      <c r="AB140" s="503"/>
      <c r="AC140" s="508"/>
      <c r="AD140" s="509"/>
      <c r="AE140" s="509"/>
      <c r="AF140" s="511"/>
      <c r="AG140" s="511"/>
      <c r="AH140" s="511"/>
      <c r="AI140" s="511"/>
      <c r="AJ140" s="511"/>
      <c r="AK140" s="511"/>
      <c r="AL140" s="511"/>
      <c r="AM140" s="511"/>
      <c r="AN140" s="511"/>
      <c r="AO140" s="511"/>
      <c r="AP140" s="511"/>
      <c r="AQ140" s="466"/>
      <c r="AR140" s="468"/>
      <c r="AS140" s="122" t="s">
        <v>259</v>
      </c>
      <c r="AT140" s="123"/>
      <c r="AU140" s="123"/>
      <c r="AV140" s="123"/>
      <c r="AW140" s="124"/>
      <c r="AX140" s="126">
        <f t="shared" si="252"/>
        <v>0</v>
      </c>
      <c r="AY140" s="142" t="s">
        <v>259</v>
      </c>
      <c r="AZ140" s="138"/>
      <c r="BA140" s="138"/>
      <c r="BB140" s="135">
        <f t="shared" si="253"/>
        <v>0</v>
      </c>
      <c r="BC140" s="474" t="s">
        <v>260</v>
      </c>
      <c r="BD140" s="475"/>
      <c r="BE140" s="14"/>
      <c r="BF140" s="17"/>
      <c r="BG140" s="14"/>
      <c r="BH140" s="17"/>
      <c r="BI140" s="14"/>
      <c r="BJ140" s="17"/>
      <c r="BK140" s="14"/>
      <c r="BL140" s="17"/>
      <c r="BM140" s="14"/>
      <c r="BN140" s="17"/>
      <c r="BO140" s="14"/>
      <c r="BP140" s="17"/>
      <c r="BQ140" s="107">
        <f t="shared" si="133"/>
        <v>0</v>
      </c>
      <c r="BR140" s="567"/>
      <c r="BS140" s="571"/>
      <c r="BT140" s="572"/>
      <c r="BU140" s="558"/>
      <c r="BV140" s="561"/>
      <c r="BW140" s="564"/>
      <c r="BX140" s="616"/>
    </row>
    <row r="141" spans="1:76" ht="15.75" thickBot="1" x14ac:dyDescent="0.3">
      <c r="A141" s="586"/>
      <c r="B141" s="590"/>
      <c r="C141" s="591"/>
      <c r="D141" s="605"/>
      <c r="E141" s="517"/>
      <c r="F141" s="518"/>
      <c r="G141" s="523"/>
      <c r="H141" s="524"/>
      <c r="I141" s="529"/>
      <c r="J141" s="530"/>
      <c r="K141" s="513"/>
      <c r="L141" s="534"/>
      <c r="M141" s="537"/>
      <c r="N141" s="541"/>
      <c r="O141" s="542"/>
      <c r="P141" s="483"/>
      <c r="Q141" s="484"/>
      <c r="R141" s="517"/>
      <c r="S141" s="518"/>
      <c r="T141" s="487"/>
      <c r="U141" s="488"/>
      <c r="V141" s="492"/>
      <c r="W141" s="483"/>
      <c r="X141" s="495"/>
      <c r="Y141" s="484"/>
      <c r="Z141" s="498"/>
      <c r="AA141" s="502"/>
      <c r="AB141" s="503"/>
      <c r="AC141" s="471" t="s">
        <v>259</v>
      </c>
      <c r="AD141" s="472"/>
      <c r="AE141" s="473"/>
      <c r="AF141" s="100"/>
      <c r="AG141" s="100"/>
      <c r="AH141" s="100"/>
      <c r="AI141" s="100"/>
      <c r="AJ141" s="100"/>
      <c r="AK141" s="100"/>
      <c r="AL141" s="100"/>
      <c r="AM141" s="100"/>
      <c r="AN141" s="100"/>
      <c r="AO141" s="100"/>
      <c r="AP141" s="100"/>
      <c r="AQ141" s="101"/>
      <c r="AR141" s="104">
        <f t="shared" ref="AR141:AR142" si="254">SUM(AF141:AQ141)</f>
        <v>0</v>
      </c>
      <c r="AS141" s="128" t="s">
        <v>261</v>
      </c>
      <c r="AT141" s="129"/>
      <c r="AU141" s="129"/>
      <c r="AV141" s="129"/>
      <c r="AW141" s="130"/>
      <c r="AX141" s="126">
        <f t="shared" si="252"/>
        <v>0</v>
      </c>
      <c r="AY141" s="143" t="s">
        <v>261</v>
      </c>
      <c r="AZ141" s="139"/>
      <c r="BA141" s="139"/>
      <c r="BB141" s="136">
        <f t="shared" si="253"/>
        <v>0</v>
      </c>
      <c r="BC141" s="474" t="s">
        <v>262</v>
      </c>
      <c r="BD141" s="475"/>
      <c r="BE141" s="14"/>
      <c r="BF141" s="17"/>
      <c r="BG141" s="14"/>
      <c r="BH141" s="17"/>
      <c r="BI141" s="14"/>
      <c r="BJ141" s="17"/>
      <c r="BK141" s="14"/>
      <c r="BL141" s="17"/>
      <c r="BM141" s="14"/>
      <c r="BN141" s="17"/>
      <c r="BO141" s="14"/>
      <c r="BP141" s="17"/>
      <c r="BQ141" s="108">
        <f t="shared" si="133"/>
        <v>0</v>
      </c>
      <c r="BR141" s="567"/>
      <c r="BS141" s="571"/>
      <c r="BT141" s="572"/>
      <c r="BU141" s="558"/>
      <c r="BV141" s="561"/>
      <c r="BW141" s="564"/>
      <c r="BX141" s="616"/>
    </row>
    <row r="142" spans="1:76" ht="15.75" thickBot="1" x14ac:dyDescent="0.3">
      <c r="A142" s="587"/>
      <c r="B142" s="592"/>
      <c r="C142" s="593"/>
      <c r="D142" s="606"/>
      <c r="E142" s="519"/>
      <c r="F142" s="520"/>
      <c r="G142" s="525"/>
      <c r="H142" s="526"/>
      <c r="I142" s="531"/>
      <c r="J142" s="532"/>
      <c r="K142" s="514"/>
      <c r="L142" s="535"/>
      <c r="M142" s="538"/>
      <c r="N142" s="543"/>
      <c r="O142" s="544"/>
      <c r="P142" s="485"/>
      <c r="Q142" s="486"/>
      <c r="R142" s="519"/>
      <c r="S142" s="520"/>
      <c r="T142" s="489"/>
      <c r="U142" s="490"/>
      <c r="V142" s="493"/>
      <c r="W142" s="485"/>
      <c r="X142" s="496"/>
      <c r="Y142" s="486"/>
      <c r="Z142" s="499"/>
      <c r="AA142" s="504"/>
      <c r="AB142" s="505"/>
      <c r="AC142" s="476" t="s">
        <v>261</v>
      </c>
      <c r="AD142" s="477"/>
      <c r="AE142" s="478"/>
      <c r="AF142" s="102"/>
      <c r="AG142" s="102"/>
      <c r="AH142" s="102"/>
      <c r="AI142" s="102"/>
      <c r="AJ142" s="102"/>
      <c r="AK142" s="102"/>
      <c r="AL142" s="102"/>
      <c r="AM142" s="102"/>
      <c r="AN142" s="102"/>
      <c r="AO142" s="102"/>
      <c r="AP142" s="102"/>
      <c r="AQ142" s="103"/>
      <c r="AR142" s="105">
        <f t="shared" si="254"/>
        <v>0</v>
      </c>
      <c r="AS142" s="131" t="s">
        <v>161</v>
      </c>
      <c r="AT142" s="132">
        <f t="shared" ref="AT142:AX142" si="255">SUM(AT139:AT141)</f>
        <v>0</v>
      </c>
      <c r="AU142" s="132">
        <f t="shared" si="255"/>
        <v>0</v>
      </c>
      <c r="AV142" s="132">
        <f t="shared" si="255"/>
        <v>0</v>
      </c>
      <c r="AW142" s="133">
        <f t="shared" si="255"/>
        <v>0</v>
      </c>
      <c r="AX142" s="127">
        <f t="shared" si="255"/>
        <v>0</v>
      </c>
      <c r="AY142" s="144" t="s">
        <v>161</v>
      </c>
      <c r="AZ142" s="140">
        <f t="shared" ref="AZ142:BB142" si="256">SUM(AZ139:AZ141)</f>
        <v>0</v>
      </c>
      <c r="BA142" s="140">
        <f t="shared" si="256"/>
        <v>0</v>
      </c>
      <c r="BB142" s="140">
        <f t="shared" si="256"/>
        <v>0</v>
      </c>
      <c r="BC142" s="479" t="s">
        <v>263</v>
      </c>
      <c r="BD142" s="480"/>
      <c r="BE142" s="15"/>
      <c r="BF142" s="18"/>
      <c r="BG142" s="15"/>
      <c r="BH142" s="18"/>
      <c r="BI142" s="15"/>
      <c r="BJ142" s="18"/>
      <c r="BK142" s="15"/>
      <c r="BL142" s="18"/>
      <c r="BM142" s="15"/>
      <c r="BN142" s="18"/>
      <c r="BO142" s="15"/>
      <c r="BP142" s="18"/>
      <c r="BQ142" s="109">
        <f t="shared" si="133"/>
        <v>0</v>
      </c>
      <c r="BR142" s="568"/>
      <c r="BS142" s="573"/>
      <c r="BT142" s="574"/>
      <c r="BU142" s="559"/>
      <c r="BV142" s="562"/>
      <c r="BW142" s="565"/>
      <c r="BX142" s="617"/>
    </row>
    <row r="143" spans="1:76" ht="15.75" thickTop="1" x14ac:dyDescent="0.25">
      <c r="A143" s="585">
        <v>34</v>
      </c>
      <c r="B143" s="588"/>
      <c r="C143" s="589"/>
      <c r="D143" s="604"/>
      <c r="E143" s="515"/>
      <c r="F143" s="516"/>
      <c r="G143" s="521"/>
      <c r="H143" s="522"/>
      <c r="I143" s="527"/>
      <c r="J143" s="528"/>
      <c r="K143" s="512">
        <f t="shared" ref="K143" si="257">INT(YEARFRAC(I143,AA143))</f>
        <v>0</v>
      </c>
      <c r="L143" s="533">
        <f t="shared" ref="L143" ca="1" si="258">INT(YEARFRAC(I143,TODAY()))</f>
        <v>121</v>
      </c>
      <c r="M143" s="536"/>
      <c r="N143" s="539"/>
      <c r="O143" s="540"/>
      <c r="P143" s="481"/>
      <c r="Q143" s="482"/>
      <c r="R143" s="515"/>
      <c r="S143" s="516"/>
      <c r="T143" s="487"/>
      <c r="U143" s="488"/>
      <c r="V143" s="491"/>
      <c r="W143" s="481"/>
      <c r="X143" s="494"/>
      <c r="Y143" s="482"/>
      <c r="Z143" s="497"/>
      <c r="AA143" s="500"/>
      <c r="AB143" s="501"/>
      <c r="AC143" s="506" t="s">
        <v>257</v>
      </c>
      <c r="AD143" s="507"/>
      <c r="AE143" s="507"/>
      <c r="AF143" s="510"/>
      <c r="AG143" s="510"/>
      <c r="AH143" s="510"/>
      <c r="AI143" s="510"/>
      <c r="AJ143" s="510"/>
      <c r="AK143" s="510"/>
      <c r="AL143" s="510"/>
      <c r="AM143" s="510"/>
      <c r="AN143" s="510"/>
      <c r="AO143" s="510"/>
      <c r="AP143" s="510"/>
      <c r="AQ143" s="465"/>
      <c r="AR143" s="467">
        <f t="shared" ref="AR143" si="259">SUM(AF143:AQ144)</f>
        <v>0</v>
      </c>
      <c r="AS143" s="119" t="s">
        <v>257</v>
      </c>
      <c r="AT143" s="120"/>
      <c r="AU143" s="120"/>
      <c r="AV143" s="120"/>
      <c r="AW143" s="121"/>
      <c r="AX143" s="125">
        <f t="shared" ref="AX143:AX145" si="260">SUM(AT143:AW143)</f>
        <v>0</v>
      </c>
      <c r="AY143" s="141" t="s">
        <v>257</v>
      </c>
      <c r="AZ143" s="137"/>
      <c r="BA143" s="137"/>
      <c r="BB143" s="134">
        <f t="shared" ref="BB143:BB145" si="261">AZ143-BA143</f>
        <v>0</v>
      </c>
      <c r="BC143" s="469" t="s">
        <v>258</v>
      </c>
      <c r="BD143" s="470"/>
      <c r="BE143" s="13"/>
      <c r="BF143" s="16"/>
      <c r="BG143" s="13"/>
      <c r="BH143" s="16"/>
      <c r="BI143" s="13"/>
      <c r="BJ143" s="16"/>
      <c r="BK143" s="13"/>
      <c r="BL143" s="16"/>
      <c r="BM143" s="13"/>
      <c r="BN143" s="16"/>
      <c r="BO143" s="13"/>
      <c r="BP143" s="16"/>
      <c r="BQ143" s="106">
        <f t="shared" ref="BQ143:BQ206" si="262">SUM(BE143:BP143)</f>
        <v>0</v>
      </c>
      <c r="BR143" s="566"/>
      <c r="BS143" s="569"/>
      <c r="BT143" s="570"/>
      <c r="BU143" s="557"/>
      <c r="BV143" s="560"/>
      <c r="BW143" s="563"/>
      <c r="BX143" s="615"/>
    </row>
    <row r="144" spans="1:76" x14ac:dyDescent="0.25">
      <c r="A144" s="586"/>
      <c r="B144" s="590"/>
      <c r="C144" s="591"/>
      <c r="D144" s="605"/>
      <c r="E144" s="517"/>
      <c r="F144" s="518"/>
      <c r="G144" s="523"/>
      <c r="H144" s="524"/>
      <c r="I144" s="529"/>
      <c r="J144" s="530"/>
      <c r="K144" s="513"/>
      <c r="L144" s="534"/>
      <c r="M144" s="537"/>
      <c r="N144" s="541"/>
      <c r="O144" s="542"/>
      <c r="P144" s="483"/>
      <c r="Q144" s="484"/>
      <c r="R144" s="517"/>
      <c r="S144" s="518"/>
      <c r="T144" s="487"/>
      <c r="U144" s="488"/>
      <c r="V144" s="492"/>
      <c r="W144" s="483"/>
      <c r="X144" s="495"/>
      <c r="Y144" s="484"/>
      <c r="Z144" s="498"/>
      <c r="AA144" s="502"/>
      <c r="AB144" s="503"/>
      <c r="AC144" s="508"/>
      <c r="AD144" s="509"/>
      <c r="AE144" s="509"/>
      <c r="AF144" s="511"/>
      <c r="AG144" s="511"/>
      <c r="AH144" s="511"/>
      <c r="AI144" s="511"/>
      <c r="AJ144" s="511"/>
      <c r="AK144" s="511"/>
      <c r="AL144" s="511"/>
      <c r="AM144" s="511"/>
      <c r="AN144" s="511"/>
      <c r="AO144" s="511"/>
      <c r="AP144" s="511"/>
      <c r="AQ144" s="466"/>
      <c r="AR144" s="468"/>
      <c r="AS144" s="122" t="s">
        <v>259</v>
      </c>
      <c r="AT144" s="123"/>
      <c r="AU144" s="123"/>
      <c r="AV144" s="123"/>
      <c r="AW144" s="124"/>
      <c r="AX144" s="126">
        <f t="shared" si="260"/>
        <v>0</v>
      </c>
      <c r="AY144" s="142" t="s">
        <v>259</v>
      </c>
      <c r="AZ144" s="138"/>
      <c r="BA144" s="138"/>
      <c r="BB144" s="135">
        <f t="shared" si="261"/>
        <v>0</v>
      </c>
      <c r="BC144" s="474" t="s">
        <v>260</v>
      </c>
      <c r="BD144" s="475"/>
      <c r="BE144" s="14"/>
      <c r="BF144" s="17"/>
      <c r="BG144" s="14"/>
      <c r="BH144" s="17"/>
      <c r="BI144" s="14"/>
      <c r="BJ144" s="17"/>
      <c r="BK144" s="14"/>
      <c r="BL144" s="17"/>
      <c r="BM144" s="14"/>
      <c r="BN144" s="17"/>
      <c r="BO144" s="14"/>
      <c r="BP144" s="17"/>
      <c r="BQ144" s="107">
        <f t="shared" si="262"/>
        <v>0</v>
      </c>
      <c r="BR144" s="567"/>
      <c r="BS144" s="571"/>
      <c r="BT144" s="572"/>
      <c r="BU144" s="558"/>
      <c r="BV144" s="561"/>
      <c r="BW144" s="564"/>
      <c r="BX144" s="616"/>
    </row>
    <row r="145" spans="1:76" ht="15.75" thickBot="1" x14ac:dyDescent="0.3">
      <c r="A145" s="586"/>
      <c r="B145" s="590"/>
      <c r="C145" s="591"/>
      <c r="D145" s="605"/>
      <c r="E145" s="517"/>
      <c r="F145" s="518"/>
      <c r="G145" s="523"/>
      <c r="H145" s="524"/>
      <c r="I145" s="529"/>
      <c r="J145" s="530"/>
      <c r="K145" s="513"/>
      <c r="L145" s="534"/>
      <c r="M145" s="537"/>
      <c r="N145" s="541"/>
      <c r="O145" s="542"/>
      <c r="P145" s="483"/>
      <c r="Q145" s="484"/>
      <c r="R145" s="517"/>
      <c r="S145" s="518"/>
      <c r="T145" s="487"/>
      <c r="U145" s="488"/>
      <c r="V145" s="492"/>
      <c r="W145" s="483"/>
      <c r="X145" s="495"/>
      <c r="Y145" s="484"/>
      <c r="Z145" s="498"/>
      <c r="AA145" s="502"/>
      <c r="AB145" s="503"/>
      <c r="AC145" s="471" t="s">
        <v>259</v>
      </c>
      <c r="AD145" s="472"/>
      <c r="AE145" s="473"/>
      <c r="AF145" s="100"/>
      <c r="AG145" s="100"/>
      <c r="AH145" s="100"/>
      <c r="AI145" s="100"/>
      <c r="AJ145" s="100"/>
      <c r="AK145" s="100"/>
      <c r="AL145" s="100"/>
      <c r="AM145" s="100"/>
      <c r="AN145" s="100"/>
      <c r="AO145" s="100"/>
      <c r="AP145" s="100"/>
      <c r="AQ145" s="101"/>
      <c r="AR145" s="104">
        <f t="shared" ref="AR145:AR146" si="263">SUM(AF145:AQ145)</f>
        <v>0</v>
      </c>
      <c r="AS145" s="128" t="s">
        <v>261</v>
      </c>
      <c r="AT145" s="129"/>
      <c r="AU145" s="129"/>
      <c r="AV145" s="129"/>
      <c r="AW145" s="130"/>
      <c r="AX145" s="126">
        <f t="shared" si="260"/>
        <v>0</v>
      </c>
      <c r="AY145" s="143" t="s">
        <v>261</v>
      </c>
      <c r="AZ145" s="139"/>
      <c r="BA145" s="139"/>
      <c r="BB145" s="136">
        <f t="shared" si="261"/>
        <v>0</v>
      </c>
      <c r="BC145" s="474" t="s">
        <v>262</v>
      </c>
      <c r="BD145" s="475"/>
      <c r="BE145" s="14"/>
      <c r="BF145" s="17"/>
      <c r="BG145" s="14"/>
      <c r="BH145" s="17"/>
      <c r="BI145" s="14"/>
      <c r="BJ145" s="17"/>
      <c r="BK145" s="14"/>
      <c r="BL145" s="17"/>
      <c r="BM145" s="14"/>
      <c r="BN145" s="17"/>
      <c r="BO145" s="14"/>
      <c r="BP145" s="17"/>
      <c r="BQ145" s="108">
        <f t="shared" si="262"/>
        <v>0</v>
      </c>
      <c r="BR145" s="567"/>
      <c r="BS145" s="571"/>
      <c r="BT145" s="572"/>
      <c r="BU145" s="558"/>
      <c r="BV145" s="561"/>
      <c r="BW145" s="564"/>
      <c r="BX145" s="616"/>
    </row>
    <row r="146" spans="1:76" ht="15.75" thickBot="1" x14ac:dyDescent="0.3">
      <c r="A146" s="587"/>
      <c r="B146" s="592"/>
      <c r="C146" s="593"/>
      <c r="D146" s="606"/>
      <c r="E146" s="519"/>
      <c r="F146" s="520"/>
      <c r="G146" s="525"/>
      <c r="H146" s="526"/>
      <c r="I146" s="531"/>
      <c r="J146" s="532"/>
      <c r="K146" s="514"/>
      <c r="L146" s="535"/>
      <c r="M146" s="538"/>
      <c r="N146" s="543"/>
      <c r="O146" s="544"/>
      <c r="P146" s="485"/>
      <c r="Q146" s="486"/>
      <c r="R146" s="519"/>
      <c r="S146" s="520"/>
      <c r="T146" s="489"/>
      <c r="U146" s="490"/>
      <c r="V146" s="493"/>
      <c r="W146" s="485"/>
      <c r="X146" s="496"/>
      <c r="Y146" s="486"/>
      <c r="Z146" s="499"/>
      <c r="AA146" s="504"/>
      <c r="AB146" s="505"/>
      <c r="AC146" s="476" t="s">
        <v>261</v>
      </c>
      <c r="AD146" s="477"/>
      <c r="AE146" s="478"/>
      <c r="AF146" s="102"/>
      <c r="AG146" s="102"/>
      <c r="AH146" s="102"/>
      <c r="AI146" s="102"/>
      <c r="AJ146" s="102"/>
      <c r="AK146" s="102"/>
      <c r="AL146" s="102"/>
      <c r="AM146" s="102"/>
      <c r="AN146" s="102"/>
      <c r="AO146" s="102"/>
      <c r="AP146" s="102"/>
      <c r="AQ146" s="103"/>
      <c r="AR146" s="105">
        <f t="shared" si="263"/>
        <v>0</v>
      </c>
      <c r="AS146" s="131" t="s">
        <v>161</v>
      </c>
      <c r="AT146" s="132">
        <f t="shared" ref="AT146:AX146" si="264">SUM(AT143:AT145)</f>
        <v>0</v>
      </c>
      <c r="AU146" s="132">
        <f t="shared" si="264"/>
        <v>0</v>
      </c>
      <c r="AV146" s="132">
        <f t="shared" si="264"/>
        <v>0</v>
      </c>
      <c r="AW146" s="133">
        <f t="shared" si="264"/>
        <v>0</v>
      </c>
      <c r="AX146" s="127">
        <f t="shared" si="264"/>
        <v>0</v>
      </c>
      <c r="AY146" s="144" t="s">
        <v>161</v>
      </c>
      <c r="AZ146" s="140">
        <f t="shared" ref="AZ146:BB146" si="265">SUM(AZ143:AZ145)</f>
        <v>0</v>
      </c>
      <c r="BA146" s="140">
        <f t="shared" si="265"/>
        <v>0</v>
      </c>
      <c r="BB146" s="140">
        <f t="shared" si="265"/>
        <v>0</v>
      </c>
      <c r="BC146" s="479" t="s">
        <v>263</v>
      </c>
      <c r="BD146" s="480"/>
      <c r="BE146" s="15"/>
      <c r="BF146" s="18"/>
      <c r="BG146" s="15"/>
      <c r="BH146" s="18"/>
      <c r="BI146" s="15"/>
      <c r="BJ146" s="18"/>
      <c r="BK146" s="15"/>
      <c r="BL146" s="18"/>
      <c r="BM146" s="15"/>
      <c r="BN146" s="18"/>
      <c r="BO146" s="15"/>
      <c r="BP146" s="18"/>
      <c r="BQ146" s="109">
        <f t="shared" si="262"/>
        <v>0</v>
      </c>
      <c r="BR146" s="568"/>
      <c r="BS146" s="573"/>
      <c r="BT146" s="574"/>
      <c r="BU146" s="559"/>
      <c r="BV146" s="562"/>
      <c r="BW146" s="565"/>
      <c r="BX146" s="617"/>
    </row>
    <row r="147" spans="1:76" ht="15.75" thickTop="1" x14ac:dyDescent="0.25">
      <c r="A147" s="585">
        <v>35</v>
      </c>
      <c r="B147" s="588"/>
      <c r="C147" s="589"/>
      <c r="D147" s="604"/>
      <c r="E147" s="515"/>
      <c r="F147" s="516"/>
      <c r="G147" s="521"/>
      <c r="H147" s="522"/>
      <c r="I147" s="527"/>
      <c r="J147" s="528"/>
      <c r="K147" s="512">
        <f t="shared" ref="K147" si="266">INT(YEARFRAC(I147,AA147))</f>
        <v>0</v>
      </c>
      <c r="L147" s="533">
        <f t="shared" ref="L147" ca="1" si="267">INT(YEARFRAC(I147,TODAY()))</f>
        <v>121</v>
      </c>
      <c r="M147" s="536"/>
      <c r="N147" s="539"/>
      <c r="O147" s="540"/>
      <c r="P147" s="481"/>
      <c r="Q147" s="482"/>
      <c r="R147" s="515"/>
      <c r="S147" s="516"/>
      <c r="T147" s="487"/>
      <c r="U147" s="488"/>
      <c r="V147" s="491"/>
      <c r="W147" s="481"/>
      <c r="X147" s="494"/>
      <c r="Y147" s="482"/>
      <c r="Z147" s="497"/>
      <c r="AA147" s="500"/>
      <c r="AB147" s="501"/>
      <c r="AC147" s="506" t="s">
        <v>257</v>
      </c>
      <c r="AD147" s="507"/>
      <c r="AE147" s="507"/>
      <c r="AF147" s="510"/>
      <c r="AG147" s="510"/>
      <c r="AH147" s="510"/>
      <c r="AI147" s="510"/>
      <c r="AJ147" s="510"/>
      <c r="AK147" s="510"/>
      <c r="AL147" s="510"/>
      <c r="AM147" s="510"/>
      <c r="AN147" s="510"/>
      <c r="AO147" s="510"/>
      <c r="AP147" s="510"/>
      <c r="AQ147" s="465"/>
      <c r="AR147" s="467">
        <f t="shared" ref="AR147" si="268">SUM(AF147:AQ148)</f>
        <v>0</v>
      </c>
      <c r="AS147" s="119" t="s">
        <v>257</v>
      </c>
      <c r="AT147" s="120"/>
      <c r="AU147" s="120"/>
      <c r="AV147" s="120"/>
      <c r="AW147" s="121"/>
      <c r="AX147" s="125">
        <f t="shared" ref="AX147:AX149" si="269">SUM(AT147:AW147)</f>
        <v>0</v>
      </c>
      <c r="AY147" s="141" t="s">
        <v>257</v>
      </c>
      <c r="AZ147" s="137"/>
      <c r="BA147" s="137"/>
      <c r="BB147" s="134">
        <f t="shared" ref="BB147:BB149" si="270">AZ147-BA147</f>
        <v>0</v>
      </c>
      <c r="BC147" s="469" t="s">
        <v>258</v>
      </c>
      <c r="BD147" s="470"/>
      <c r="BE147" s="13"/>
      <c r="BF147" s="16"/>
      <c r="BG147" s="13"/>
      <c r="BH147" s="16"/>
      <c r="BI147" s="13"/>
      <c r="BJ147" s="16"/>
      <c r="BK147" s="13"/>
      <c r="BL147" s="16"/>
      <c r="BM147" s="13"/>
      <c r="BN147" s="16"/>
      <c r="BO147" s="13"/>
      <c r="BP147" s="16"/>
      <c r="BQ147" s="106">
        <f t="shared" si="262"/>
        <v>0</v>
      </c>
      <c r="BR147" s="566"/>
      <c r="BS147" s="569"/>
      <c r="BT147" s="570"/>
      <c r="BU147" s="557"/>
      <c r="BV147" s="560"/>
      <c r="BW147" s="563"/>
      <c r="BX147" s="615"/>
    </row>
    <row r="148" spans="1:76" x14ac:dyDescent="0.25">
      <c r="A148" s="586"/>
      <c r="B148" s="590"/>
      <c r="C148" s="591"/>
      <c r="D148" s="605"/>
      <c r="E148" s="517"/>
      <c r="F148" s="518"/>
      <c r="G148" s="523"/>
      <c r="H148" s="524"/>
      <c r="I148" s="529"/>
      <c r="J148" s="530"/>
      <c r="K148" s="513"/>
      <c r="L148" s="534"/>
      <c r="M148" s="537"/>
      <c r="N148" s="541"/>
      <c r="O148" s="542"/>
      <c r="P148" s="483"/>
      <c r="Q148" s="484"/>
      <c r="R148" s="517"/>
      <c r="S148" s="518"/>
      <c r="T148" s="487"/>
      <c r="U148" s="488"/>
      <c r="V148" s="492"/>
      <c r="W148" s="483"/>
      <c r="X148" s="495"/>
      <c r="Y148" s="484"/>
      <c r="Z148" s="498"/>
      <c r="AA148" s="502"/>
      <c r="AB148" s="503"/>
      <c r="AC148" s="508"/>
      <c r="AD148" s="509"/>
      <c r="AE148" s="509"/>
      <c r="AF148" s="511"/>
      <c r="AG148" s="511"/>
      <c r="AH148" s="511"/>
      <c r="AI148" s="511"/>
      <c r="AJ148" s="511"/>
      <c r="AK148" s="511"/>
      <c r="AL148" s="511"/>
      <c r="AM148" s="511"/>
      <c r="AN148" s="511"/>
      <c r="AO148" s="511"/>
      <c r="AP148" s="511"/>
      <c r="AQ148" s="466"/>
      <c r="AR148" s="468"/>
      <c r="AS148" s="122" t="s">
        <v>259</v>
      </c>
      <c r="AT148" s="123"/>
      <c r="AU148" s="123"/>
      <c r="AV148" s="123"/>
      <c r="AW148" s="124"/>
      <c r="AX148" s="126">
        <f t="shared" si="269"/>
        <v>0</v>
      </c>
      <c r="AY148" s="142" t="s">
        <v>259</v>
      </c>
      <c r="AZ148" s="138"/>
      <c r="BA148" s="138"/>
      <c r="BB148" s="135">
        <f t="shared" si="270"/>
        <v>0</v>
      </c>
      <c r="BC148" s="474" t="s">
        <v>260</v>
      </c>
      <c r="BD148" s="475"/>
      <c r="BE148" s="14"/>
      <c r="BF148" s="17"/>
      <c r="BG148" s="14"/>
      <c r="BH148" s="17"/>
      <c r="BI148" s="14"/>
      <c r="BJ148" s="17"/>
      <c r="BK148" s="14"/>
      <c r="BL148" s="17"/>
      <c r="BM148" s="14"/>
      <c r="BN148" s="17"/>
      <c r="BO148" s="14"/>
      <c r="BP148" s="17"/>
      <c r="BQ148" s="107">
        <f t="shared" si="262"/>
        <v>0</v>
      </c>
      <c r="BR148" s="567"/>
      <c r="BS148" s="571"/>
      <c r="BT148" s="572"/>
      <c r="BU148" s="558"/>
      <c r="BV148" s="561"/>
      <c r="BW148" s="564"/>
      <c r="BX148" s="616"/>
    </row>
    <row r="149" spans="1:76" ht="15.75" thickBot="1" x14ac:dyDescent="0.3">
      <c r="A149" s="586"/>
      <c r="B149" s="590"/>
      <c r="C149" s="591"/>
      <c r="D149" s="605"/>
      <c r="E149" s="517"/>
      <c r="F149" s="518"/>
      <c r="G149" s="523"/>
      <c r="H149" s="524"/>
      <c r="I149" s="529"/>
      <c r="J149" s="530"/>
      <c r="K149" s="513"/>
      <c r="L149" s="534"/>
      <c r="M149" s="537"/>
      <c r="N149" s="541"/>
      <c r="O149" s="542"/>
      <c r="P149" s="483"/>
      <c r="Q149" s="484"/>
      <c r="R149" s="517"/>
      <c r="S149" s="518"/>
      <c r="T149" s="487"/>
      <c r="U149" s="488"/>
      <c r="V149" s="492"/>
      <c r="W149" s="483"/>
      <c r="X149" s="495"/>
      <c r="Y149" s="484"/>
      <c r="Z149" s="498"/>
      <c r="AA149" s="502"/>
      <c r="AB149" s="503"/>
      <c r="AC149" s="471" t="s">
        <v>259</v>
      </c>
      <c r="AD149" s="472"/>
      <c r="AE149" s="473"/>
      <c r="AF149" s="100"/>
      <c r="AG149" s="100"/>
      <c r="AH149" s="100"/>
      <c r="AI149" s="100"/>
      <c r="AJ149" s="100"/>
      <c r="AK149" s="100"/>
      <c r="AL149" s="100"/>
      <c r="AM149" s="100"/>
      <c r="AN149" s="100"/>
      <c r="AO149" s="100"/>
      <c r="AP149" s="100"/>
      <c r="AQ149" s="101"/>
      <c r="AR149" s="104">
        <f t="shared" ref="AR149:AR150" si="271">SUM(AF149:AQ149)</f>
        <v>0</v>
      </c>
      <c r="AS149" s="128" t="s">
        <v>261</v>
      </c>
      <c r="AT149" s="129"/>
      <c r="AU149" s="129"/>
      <c r="AV149" s="129"/>
      <c r="AW149" s="130"/>
      <c r="AX149" s="126">
        <f t="shared" si="269"/>
        <v>0</v>
      </c>
      <c r="AY149" s="143" t="s">
        <v>261</v>
      </c>
      <c r="AZ149" s="139"/>
      <c r="BA149" s="139"/>
      <c r="BB149" s="136">
        <f t="shared" si="270"/>
        <v>0</v>
      </c>
      <c r="BC149" s="474" t="s">
        <v>262</v>
      </c>
      <c r="BD149" s="475"/>
      <c r="BE149" s="14"/>
      <c r="BF149" s="17"/>
      <c r="BG149" s="14"/>
      <c r="BH149" s="17"/>
      <c r="BI149" s="14"/>
      <c r="BJ149" s="17"/>
      <c r="BK149" s="14"/>
      <c r="BL149" s="17"/>
      <c r="BM149" s="14"/>
      <c r="BN149" s="17"/>
      <c r="BO149" s="14"/>
      <c r="BP149" s="17"/>
      <c r="BQ149" s="108">
        <f t="shared" si="262"/>
        <v>0</v>
      </c>
      <c r="BR149" s="567"/>
      <c r="BS149" s="571"/>
      <c r="BT149" s="572"/>
      <c r="BU149" s="558"/>
      <c r="BV149" s="561"/>
      <c r="BW149" s="564"/>
      <c r="BX149" s="616"/>
    </row>
    <row r="150" spans="1:76" ht="15.75" thickBot="1" x14ac:dyDescent="0.3">
      <c r="A150" s="587"/>
      <c r="B150" s="592"/>
      <c r="C150" s="593"/>
      <c r="D150" s="606"/>
      <c r="E150" s="519"/>
      <c r="F150" s="520"/>
      <c r="G150" s="525"/>
      <c r="H150" s="526"/>
      <c r="I150" s="531"/>
      <c r="J150" s="532"/>
      <c r="K150" s="514"/>
      <c r="L150" s="535"/>
      <c r="M150" s="538"/>
      <c r="N150" s="543"/>
      <c r="O150" s="544"/>
      <c r="P150" s="485"/>
      <c r="Q150" s="486"/>
      <c r="R150" s="519"/>
      <c r="S150" s="520"/>
      <c r="T150" s="489"/>
      <c r="U150" s="490"/>
      <c r="V150" s="493"/>
      <c r="W150" s="485"/>
      <c r="X150" s="496"/>
      <c r="Y150" s="486"/>
      <c r="Z150" s="499"/>
      <c r="AA150" s="504"/>
      <c r="AB150" s="505"/>
      <c r="AC150" s="476" t="s">
        <v>261</v>
      </c>
      <c r="AD150" s="477"/>
      <c r="AE150" s="478"/>
      <c r="AF150" s="102"/>
      <c r="AG150" s="102"/>
      <c r="AH150" s="102"/>
      <c r="AI150" s="102"/>
      <c r="AJ150" s="102"/>
      <c r="AK150" s="102"/>
      <c r="AL150" s="102"/>
      <c r="AM150" s="102"/>
      <c r="AN150" s="102"/>
      <c r="AO150" s="102"/>
      <c r="AP150" s="102"/>
      <c r="AQ150" s="103"/>
      <c r="AR150" s="105">
        <f t="shared" si="271"/>
        <v>0</v>
      </c>
      <c r="AS150" s="131" t="s">
        <v>161</v>
      </c>
      <c r="AT150" s="132">
        <f t="shared" ref="AT150:AX150" si="272">SUM(AT147:AT149)</f>
        <v>0</v>
      </c>
      <c r="AU150" s="132">
        <f t="shared" si="272"/>
        <v>0</v>
      </c>
      <c r="AV150" s="132">
        <f t="shared" si="272"/>
        <v>0</v>
      </c>
      <c r="AW150" s="133">
        <f t="shared" si="272"/>
        <v>0</v>
      </c>
      <c r="AX150" s="127">
        <f t="shared" si="272"/>
        <v>0</v>
      </c>
      <c r="AY150" s="144" t="s">
        <v>161</v>
      </c>
      <c r="AZ150" s="140">
        <f t="shared" ref="AZ150:BB150" si="273">SUM(AZ147:AZ149)</f>
        <v>0</v>
      </c>
      <c r="BA150" s="140">
        <f t="shared" si="273"/>
        <v>0</v>
      </c>
      <c r="BB150" s="140">
        <f t="shared" si="273"/>
        <v>0</v>
      </c>
      <c r="BC150" s="479" t="s">
        <v>263</v>
      </c>
      <c r="BD150" s="480"/>
      <c r="BE150" s="15"/>
      <c r="BF150" s="18"/>
      <c r="BG150" s="15"/>
      <c r="BH150" s="18"/>
      <c r="BI150" s="15"/>
      <c r="BJ150" s="18"/>
      <c r="BK150" s="15"/>
      <c r="BL150" s="18"/>
      <c r="BM150" s="15"/>
      <c r="BN150" s="18"/>
      <c r="BO150" s="15"/>
      <c r="BP150" s="18"/>
      <c r="BQ150" s="109">
        <f t="shared" si="262"/>
        <v>0</v>
      </c>
      <c r="BR150" s="568"/>
      <c r="BS150" s="573"/>
      <c r="BT150" s="574"/>
      <c r="BU150" s="559"/>
      <c r="BV150" s="562"/>
      <c r="BW150" s="565"/>
      <c r="BX150" s="617"/>
    </row>
    <row r="151" spans="1:76" ht="15.75" thickTop="1" x14ac:dyDescent="0.25">
      <c r="A151" s="585">
        <v>36</v>
      </c>
      <c r="B151" s="588"/>
      <c r="C151" s="589"/>
      <c r="D151" s="604"/>
      <c r="E151" s="515"/>
      <c r="F151" s="516"/>
      <c r="G151" s="521"/>
      <c r="H151" s="522"/>
      <c r="I151" s="527"/>
      <c r="J151" s="528"/>
      <c r="K151" s="512">
        <f t="shared" ref="K151" si="274">INT(YEARFRAC(I151,AA151))</f>
        <v>0</v>
      </c>
      <c r="L151" s="533">
        <f t="shared" ref="L151" ca="1" si="275">INT(YEARFRAC(I151,TODAY()))</f>
        <v>121</v>
      </c>
      <c r="M151" s="536"/>
      <c r="N151" s="539"/>
      <c r="O151" s="540"/>
      <c r="P151" s="481"/>
      <c r="Q151" s="482"/>
      <c r="R151" s="515"/>
      <c r="S151" s="516"/>
      <c r="T151" s="487"/>
      <c r="U151" s="488"/>
      <c r="V151" s="491"/>
      <c r="W151" s="481"/>
      <c r="X151" s="494"/>
      <c r="Y151" s="482"/>
      <c r="Z151" s="497"/>
      <c r="AA151" s="500"/>
      <c r="AB151" s="501"/>
      <c r="AC151" s="506" t="s">
        <v>257</v>
      </c>
      <c r="AD151" s="507"/>
      <c r="AE151" s="507"/>
      <c r="AF151" s="510"/>
      <c r="AG151" s="510"/>
      <c r="AH151" s="510"/>
      <c r="AI151" s="510"/>
      <c r="AJ151" s="510"/>
      <c r="AK151" s="510"/>
      <c r="AL151" s="510"/>
      <c r="AM151" s="510"/>
      <c r="AN151" s="510"/>
      <c r="AO151" s="510"/>
      <c r="AP151" s="510"/>
      <c r="AQ151" s="465"/>
      <c r="AR151" s="467">
        <f t="shared" ref="AR151" si="276">SUM(AF151:AQ152)</f>
        <v>0</v>
      </c>
      <c r="AS151" s="119" t="s">
        <v>257</v>
      </c>
      <c r="AT151" s="120"/>
      <c r="AU151" s="120"/>
      <c r="AV151" s="120"/>
      <c r="AW151" s="121"/>
      <c r="AX151" s="125">
        <f t="shared" ref="AX151:AX153" si="277">SUM(AT151:AW151)</f>
        <v>0</v>
      </c>
      <c r="AY151" s="141" t="s">
        <v>257</v>
      </c>
      <c r="AZ151" s="137"/>
      <c r="BA151" s="137"/>
      <c r="BB151" s="134">
        <f t="shared" ref="BB151:BB153" si="278">AZ151-BA151</f>
        <v>0</v>
      </c>
      <c r="BC151" s="469" t="s">
        <v>258</v>
      </c>
      <c r="BD151" s="470"/>
      <c r="BE151" s="13"/>
      <c r="BF151" s="16"/>
      <c r="BG151" s="13"/>
      <c r="BH151" s="16"/>
      <c r="BI151" s="13"/>
      <c r="BJ151" s="16"/>
      <c r="BK151" s="13"/>
      <c r="BL151" s="16"/>
      <c r="BM151" s="13"/>
      <c r="BN151" s="16"/>
      <c r="BO151" s="13"/>
      <c r="BP151" s="16"/>
      <c r="BQ151" s="106">
        <f t="shared" si="262"/>
        <v>0</v>
      </c>
      <c r="BR151" s="566"/>
      <c r="BS151" s="569"/>
      <c r="BT151" s="570"/>
      <c r="BU151" s="557"/>
      <c r="BV151" s="560"/>
      <c r="BW151" s="563"/>
      <c r="BX151" s="615"/>
    </row>
    <row r="152" spans="1:76" x14ac:dyDescent="0.25">
      <c r="A152" s="586"/>
      <c r="B152" s="590"/>
      <c r="C152" s="591"/>
      <c r="D152" s="605"/>
      <c r="E152" s="517"/>
      <c r="F152" s="518"/>
      <c r="G152" s="523"/>
      <c r="H152" s="524"/>
      <c r="I152" s="529"/>
      <c r="J152" s="530"/>
      <c r="K152" s="513"/>
      <c r="L152" s="534"/>
      <c r="M152" s="537"/>
      <c r="N152" s="541"/>
      <c r="O152" s="542"/>
      <c r="P152" s="483"/>
      <c r="Q152" s="484"/>
      <c r="R152" s="517"/>
      <c r="S152" s="518"/>
      <c r="T152" s="487"/>
      <c r="U152" s="488"/>
      <c r="V152" s="492"/>
      <c r="W152" s="483"/>
      <c r="X152" s="495"/>
      <c r="Y152" s="484"/>
      <c r="Z152" s="498"/>
      <c r="AA152" s="502"/>
      <c r="AB152" s="503"/>
      <c r="AC152" s="508"/>
      <c r="AD152" s="509"/>
      <c r="AE152" s="509"/>
      <c r="AF152" s="511"/>
      <c r="AG152" s="511"/>
      <c r="AH152" s="511"/>
      <c r="AI152" s="511"/>
      <c r="AJ152" s="511"/>
      <c r="AK152" s="511"/>
      <c r="AL152" s="511"/>
      <c r="AM152" s="511"/>
      <c r="AN152" s="511"/>
      <c r="AO152" s="511"/>
      <c r="AP152" s="511"/>
      <c r="AQ152" s="466"/>
      <c r="AR152" s="468"/>
      <c r="AS152" s="122" t="s">
        <v>259</v>
      </c>
      <c r="AT152" s="123"/>
      <c r="AU152" s="123"/>
      <c r="AV152" s="123"/>
      <c r="AW152" s="124"/>
      <c r="AX152" s="126">
        <f t="shared" si="277"/>
        <v>0</v>
      </c>
      <c r="AY152" s="142" t="s">
        <v>259</v>
      </c>
      <c r="AZ152" s="138"/>
      <c r="BA152" s="138"/>
      <c r="BB152" s="135">
        <f t="shared" si="278"/>
        <v>0</v>
      </c>
      <c r="BC152" s="474" t="s">
        <v>260</v>
      </c>
      <c r="BD152" s="475"/>
      <c r="BE152" s="14"/>
      <c r="BF152" s="17"/>
      <c r="BG152" s="14"/>
      <c r="BH152" s="17"/>
      <c r="BI152" s="14"/>
      <c r="BJ152" s="17"/>
      <c r="BK152" s="14"/>
      <c r="BL152" s="17"/>
      <c r="BM152" s="14"/>
      <c r="BN152" s="17"/>
      <c r="BO152" s="14"/>
      <c r="BP152" s="17"/>
      <c r="BQ152" s="107">
        <f t="shared" si="262"/>
        <v>0</v>
      </c>
      <c r="BR152" s="567"/>
      <c r="BS152" s="571"/>
      <c r="BT152" s="572"/>
      <c r="BU152" s="558"/>
      <c r="BV152" s="561"/>
      <c r="BW152" s="564"/>
      <c r="BX152" s="616"/>
    </row>
    <row r="153" spans="1:76" ht="15.75" thickBot="1" x14ac:dyDescent="0.3">
      <c r="A153" s="586"/>
      <c r="B153" s="590"/>
      <c r="C153" s="591"/>
      <c r="D153" s="605"/>
      <c r="E153" s="517"/>
      <c r="F153" s="518"/>
      <c r="G153" s="523"/>
      <c r="H153" s="524"/>
      <c r="I153" s="529"/>
      <c r="J153" s="530"/>
      <c r="K153" s="513"/>
      <c r="L153" s="534"/>
      <c r="M153" s="537"/>
      <c r="N153" s="541"/>
      <c r="O153" s="542"/>
      <c r="P153" s="483"/>
      <c r="Q153" s="484"/>
      <c r="R153" s="517"/>
      <c r="S153" s="518"/>
      <c r="T153" s="487"/>
      <c r="U153" s="488"/>
      <c r="V153" s="492"/>
      <c r="W153" s="483"/>
      <c r="X153" s="495"/>
      <c r="Y153" s="484"/>
      <c r="Z153" s="498"/>
      <c r="AA153" s="502"/>
      <c r="AB153" s="503"/>
      <c r="AC153" s="471" t="s">
        <v>259</v>
      </c>
      <c r="AD153" s="472"/>
      <c r="AE153" s="473"/>
      <c r="AF153" s="100"/>
      <c r="AG153" s="100"/>
      <c r="AH153" s="100"/>
      <c r="AI153" s="100"/>
      <c r="AJ153" s="100"/>
      <c r="AK153" s="100"/>
      <c r="AL153" s="100"/>
      <c r="AM153" s="100"/>
      <c r="AN153" s="100"/>
      <c r="AO153" s="100"/>
      <c r="AP153" s="100"/>
      <c r="AQ153" s="101"/>
      <c r="AR153" s="104">
        <f t="shared" ref="AR153:AR154" si="279">SUM(AF153:AQ153)</f>
        <v>0</v>
      </c>
      <c r="AS153" s="128" t="s">
        <v>261</v>
      </c>
      <c r="AT153" s="129"/>
      <c r="AU153" s="129"/>
      <c r="AV153" s="129"/>
      <c r="AW153" s="130"/>
      <c r="AX153" s="126">
        <f t="shared" si="277"/>
        <v>0</v>
      </c>
      <c r="AY153" s="143" t="s">
        <v>261</v>
      </c>
      <c r="AZ153" s="139"/>
      <c r="BA153" s="139"/>
      <c r="BB153" s="136">
        <f t="shared" si="278"/>
        <v>0</v>
      </c>
      <c r="BC153" s="474" t="s">
        <v>262</v>
      </c>
      <c r="BD153" s="475"/>
      <c r="BE153" s="14"/>
      <c r="BF153" s="17"/>
      <c r="BG153" s="14"/>
      <c r="BH153" s="17"/>
      <c r="BI153" s="14"/>
      <c r="BJ153" s="17"/>
      <c r="BK153" s="14"/>
      <c r="BL153" s="17"/>
      <c r="BM153" s="14"/>
      <c r="BN153" s="17"/>
      <c r="BO153" s="14"/>
      <c r="BP153" s="17"/>
      <c r="BQ153" s="108">
        <f t="shared" si="262"/>
        <v>0</v>
      </c>
      <c r="BR153" s="567"/>
      <c r="BS153" s="571"/>
      <c r="BT153" s="572"/>
      <c r="BU153" s="558"/>
      <c r="BV153" s="561"/>
      <c r="BW153" s="564"/>
      <c r="BX153" s="616"/>
    </row>
    <row r="154" spans="1:76" ht="15.75" thickBot="1" x14ac:dyDescent="0.3">
      <c r="A154" s="587"/>
      <c r="B154" s="592"/>
      <c r="C154" s="593"/>
      <c r="D154" s="606"/>
      <c r="E154" s="519"/>
      <c r="F154" s="520"/>
      <c r="G154" s="525"/>
      <c r="H154" s="526"/>
      <c r="I154" s="531"/>
      <c r="J154" s="532"/>
      <c r="K154" s="514"/>
      <c r="L154" s="535"/>
      <c r="M154" s="538"/>
      <c r="N154" s="543"/>
      <c r="O154" s="544"/>
      <c r="P154" s="485"/>
      <c r="Q154" s="486"/>
      <c r="R154" s="519"/>
      <c r="S154" s="520"/>
      <c r="T154" s="489"/>
      <c r="U154" s="490"/>
      <c r="V154" s="493"/>
      <c r="W154" s="485"/>
      <c r="X154" s="496"/>
      <c r="Y154" s="486"/>
      <c r="Z154" s="499"/>
      <c r="AA154" s="504"/>
      <c r="AB154" s="505"/>
      <c r="AC154" s="476" t="s">
        <v>261</v>
      </c>
      <c r="AD154" s="477"/>
      <c r="AE154" s="478"/>
      <c r="AF154" s="102"/>
      <c r="AG154" s="102"/>
      <c r="AH154" s="102"/>
      <c r="AI154" s="102"/>
      <c r="AJ154" s="102"/>
      <c r="AK154" s="102"/>
      <c r="AL154" s="102"/>
      <c r="AM154" s="102"/>
      <c r="AN154" s="102"/>
      <c r="AO154" s="102"/>
      <c r="AP154" s="102"/>
      <c r="AQ154" s="103"/>
      <c r="AR154" s="105">
        <f t="shared" si="279"/>
        <v>0</v>
      </c>
      <c r="AS154" s="131" t="s">
        <v>161</v>
      </c>
      <c r="AT154" s="132">
        <f t="shared" ref="AT154:AX154" si="280">SUM(AT151:AT153)</f>
        <v>0</v>
      </c>
      <c r="AU154" s="132">
        <f t="shared" si="280"/>
        <v>0</v>
      </c>
      <c r="AV154" s="132">
        <f t="shared" si="280"/>
        <v>0</v>
      </c>
      <c r="AW154" s="133">
        <f t="shared" si="280"/>
        <v>0</v>
      </c>
      <c r="AX154" s="127">
        <f t="shared" si="280"/>
        <v>0</v>
      </c>
      <c r="AY154" s="144" t="s">
        <v>161</v>
      </c>
      <c r="AZ154" s="140">
        <f t="shared" ref="AZ154:BB154" si="281">SUM(AZ151:AZ153)</f>
        <v>0</v>
      </c>
      <c r="BA154" s="140">
        <f t="shared" si="281"/>
        <v>0</v>
      </c>
      <c r="BB154" s="140">
        <f t="shared" si="281"/>
        <v>0</v>
      </c>
      <c r="BC154" s="479" t="s">
        <v>263</v>
      </c>
      <c r="BD154" s="480"/>
      <c r="BE154" s="15"/>
      <c r="BF154" s="18"/>
      <c r="BG154" s="15"/>
      <c r="BH154" s="18"/>
      <c r="BI154" s="15"/>
      <c r="BJ154" s="18"/>
      <c r="BK154" s="15"/>
      <c r="BL154" s="18"/>
      <c r="BM154" s="15"/>
      <c r="BN154" s="18"/>
      <c r="BO154" s="15"/>
      <c r="BP154" s="18"/>
      <c r="BQ154" s="109">
        <f t="shared" si="262"/>
        <v>0</v>
      </c>
      <c r="BR154" s="568"/>
      <c r="BS154" s="573"/>
      <c r="BT154" s="574"/>
      <c r="BU154" s="559"/>
      <c r="BV154" s="562"/>
      <c r="BW154" s="565"/>
      <c r="BX154" s="617"/>
    </row>
    <row r="155" spans="1:76" ht="15.75" thickTop="1" x14ac:dyDescent="0.25">
      <c r="A155" s="585">
        <v>37</v>
      </c>
      <c r="B155" s="588"/>
      <c r="C155" s="589"/>
      <c r="D155" s="604"/>
      <c r="E155" s="515"/>
      <c r="F155" s="516"/>
      <c r="G155" s="521"/>
      <c r="H155" s="522"/>
      <c r="I155" s="527"/>
      <c r="J155" s="528"/>
      <c r="K155" s="512">
        <f t="shared" ref="K155" si="282">INT(YEARFRAC(I155,AA155))</f>
        <v>0</v>
      </c>
      <c r="L155" s="533">
        <f t="shared" ref="L155" ca="1" si="283">INT(YEARFRAC(I155,TODAY()))</f>
        <v>121</v>
      </c>
      <c r="M155" s="536"/>
      <c r="N155" s="539"/>
      <c r="O155" s="540"/>
      <c r="P155" s="481"/>
      <c r="Q155" s="482"/>
      <c r="R155" s="515"/>
      <c r="S155" s="516"/>
      <c r="T155" s="487"/>
      <c r="U155" s="488"/>
      <c r="V155" s="491"/>
      <c r="W155" s="481"/>
      <c r="X155" s="494"/>
      <c r="Y155" s="482"/>
      <c r="Z155" s="497"/>
      <c r="AA155" s="500"/>
      <c r="AB155" s="501"/>
      <c r="AC155" s="506" t="s">
        <v>257</v>
      </c>
      <c r="AD155" s="507"/>
      <c r="AE155" s="507"/>
      <c r="AF155" s="510"/>
      <c r="AG155" s="510"/>
      <c r="AH155" s="510"/>
      <c r="AI155" s="510"/>
      <c r="AJ155" s="510"/>
      <c r="AK155" s="510"/>
      <c r="AL155" s="510"/>
      <c r="AM155" s="510"/>
      <c r="AN155" s="510"/>
      <c r="AO155" s="510"/>
      <c r="AP155" s="510"/>
      <c r="AQ155" s="465"/>
      <c r="AR155" s="467">
        <f t="shared" ref="AR155" si="284">SUM(AF155:AQ156)</f>
        <v>0</v>
      </c>
      <c r="AS155" s="119" t="s">
        <v>257</v>
      </c>
      <c r="AT155" s="120"/>
      <c r="AU155" s="120"/>
      <c r="AV155" s="120"/>
      <c r="AW155" s="121"/>
      <c r="AX155" s="125">
        <f t="shared" ref="AX155:AX157" si="285">SUM(AT155:AW155)</f>
        <v>0</v>
      </c>
      <c r="AY155" s="141" t="s">
        <v>257</v>
      </c>
      <c r="AZ155" s="137"/>
      <c r="BA155" s="137"/>
      <c r="BB155" s="134">
        <f t="shared" ref="BB155:BB157" si="286">AZ155-BA155</f>
        <v>0</v>
      </c>
      <c r="BC155" s="469" t="s">
        <v>258</v>
      </c>
      <c r="BD155" s="470"/>
      <c r="BE155" s="13"/>
      <c r="BF155" s="16"/>
      <c r="BG155" s="13"/>
      <c r="BH155" s="16"/>
      <c r="BI155" s="13"/>
      <c r="BJ155" s="16"/>
      <c r="BK155" s="13"/>
      <c r="BL155" s="16"/>
      <c r="BM155" s="13"/>
      <c r="BN155" s="16"/>
      <c r="BO155" s="13"/>
      <c r="BP155" s="16"/>
      <c r="BQ155" s="106">
        <f t="shared" si="262"/>
        <v>0</v>
      </c>
      <c r="BR155" s="566"/>
      <c r="BS155" s="569"/>
      <c r="BT155" s="570"/>
      <c r="BU155" s="557"/>
      <c r="BV155" s="560"/>
      <c r="BW155" s="563"/>
      <c r="BX155" s="615"/>
    </row>
    <row r="156" spans="1:76" x14ac:dyDescent="0.25">
      <c r="A156" s="586"/>
      <c r="B156" s="590"/>
      <c r="C156" s="591"/>
      <c r="D156" s="605"/>
      <c r="E156" s="517"/>
      <c r="F156" s="518"/>
      <c r="G156" s="523"/>
      <c r="H156" s="524"/>
      <c r="I156" s="529"/>
      <c r="J156" s="530"/>
      <c r="K156" s="513"/>
      <c r="L156" s="534"/>
      <c r="M156" s="537"/>
      <c r="N156" s="541"/>
      <c r="O156" s="542"/>
      <c r="P156" s="483"/>
      <c r="Q156" s="484"/>
      <c r="R156" s="517"/>
      <c r="S156" s="518"/>
      <c r="T156" s="487"/>
      <c r="U156" s="488"/>
      <c r="V156" s="492"/>
      <c r="W156" s="483"/>
      <c r="X156" s="495"/>
      <c r="Y156" s="484"/>
      <c r="Z156" s="498"/>
      <c r="AA156" s="502"/>
      <c r="AB156" s="503"/>
      <c r="AC156" s="508"/>
      <c r="AD156" s="509"/>
      <c r="AE156" s="509"/>
      <c r="AF156" s="511"/>
      <c r="AG156" s="511"/>
      <c r="AH156" s="511"/>
      <c r="AI156" s="511"/>
      <c r="AJ156" s="511"/>
      <c r="AK156" s="511"/>
      <c r="AL156" s="511"/>
      <c r="AM156" s="511"/>
      <c r="AN156" s="511"/>
      <c r="AO156" s="511"/>
      <c r="AP156" s="511"/>
      <c r="AQ156" s="466"/>
      <c r="AR156" s="468"/>
      <c r="AS156" s="122" t="s">
        <v>259</v>
      </c>
      <c r="AT156" s="123"/>
      <c r="AU156" s="123"/>
      <c r="AV156" s="123"/>
      <c r="AW156" s="124"/>
      <c r="AX156" s="126">
        <f t="shared" si="285"/>
        <v>0</v>
      </c>
      <c r="AY156" s="142" t="s">
        <v>259</v>
      </c>
      <c r="AZ156" s="138"/>
      <c r="BA156" s="138"/>
      <c r="BB156" s="135">
        <f t="shared" si="286"/>
        <v>0</v>
      </c>
      <c r="BC156" s="474" t="s">
        <v>260</v>
      </c>
      <c r="BD156" s="475"/>
      <c r="BE156" s="14"/>
      <c r="BF156" s="17"/>
      <c r="BG156" s="14"/>
      <c r="BH156" s="17"/>
      <c r="BI156" s="14"/>
      <c r="BJ156" s="17"/>
      <c r="BK156" s="14"/>
      <c r="BL156" s="17"/>
      <c r="BM156" s="14"/>
      <c r="BN156" s="17"/>
      <c r="BO156" s="14"/>
      <c r="BP156" s="17"/>
      <c r="BQ156" s="107">
        <f t="shared" si="262"/>
        <v>0</v>
      </c>
      <c r="BR156" s="567"/>
      <c r="BS156" s="571"/>
      <c r="BT156" s="572"/>
      <c r="BU156" s="558"/>
      <c r="BV156" s="561"/>
      <c r="BW156" s="564"/>
      <c r="BX156" s="616"/>
    </row>
    <row r="157" spans="1:76" ht="15.75" thickBot="1" x14ac:dyDescent="0.3">
      <c r="A157" s="586"/>
      <c r="B157" s="590"/>
      <c r="C157" s="591"/>
      <c r="D157" s="605"/>
      <c r="E157" s="517"/>
      <c r="F157" s="518"/>
      <c r="G157" s="523"/>
      <c r="H157" s="524"/>
      <c r="I157" s="529"/>
      <c r="J157" s="530"/>
      <c r="K157" s="513"/>
      <c r="L157" s="534"/>
      <c r="M157" s="537"/>
      <c r="N157" s="541"/>
      <c r="O157" s="542"/>
      <c r="P157" s="483"/>
      <c r="Q157" s="484"/>
      <c r="R157" s="517"/>
      <c r="S157" s="518"/>
      <c r="T157" s="487"/>
      <c r="U157" s="488"/>
      <c r="V157" s="492"/>
      <c r="W157" s="483"/>
      <c r="X157" s="495"/>
      <c r="Y157" s="484"/>
      <c r="Z157" s="498"/>
      <c r="AA157" s="502"/>
      <c r="AB157" s="503"/>
      <c r="AC157" s="471" t="s">
        <v>259</v>
      </c>
      <c r="AD157" s="472"/>
      <c r="AE157" s="473"/>
      <c r="AF157" s="100"/>
      <c r="AG157" s="100"/>
      <c r="AH157" s="100"/>
      <c r="AI157" s="100"/>
      <c r="AJ157" s="100"/>
      <c r="AK157" s="100"/>
      <c r="AL157" s="100"/>
      <c r="AM157" s="100"/>
      <c r="AN157" s="100"/>
      <c r="AO157" s="100"/>
      <c r="AP157" s="100"/>
      <c r="AQ157" s="101"/>
      <c r="AR157" s="104">
        <f t="shared" ref="AR157:AR158" si="287">SUM(AF157:AQ157)</f>
        <v>0</v>
      </c>
      <c r="AS157" s="128" t="s">
        <v>261</v>
      </c>
      <c r="AT157" s="129"/>
      <c r="AU157" s="129"/>
      <c r="AV157" s="129"/>
      <c r="AW157" s="130"/>
      <c r="AX157" s="126">
        <f t="shared" si="285"/>
        <v>0</v>
      </c>
      <c r="AY157" s="143" t="s">
        <v>261</v>
      </c>
      <c r="AZ157" s="139"/>
      <c r="BA157" s="139"/>
      <c r="BB157" s="136">
        <f t="shared" si="286"/>
        <v>0</v>
      </c>
      <c r="BC157" s="474" t="s">
        <v>262</v>
      </c>
      <c r="BD157" s="475"/>
      <c r="BE157" s="14"/>
      <c r="BF157" s="17"/>
      <c r="BG157" s="14"/>
      <c r="BH157" s="17"/>
      <c r="BI157" s="14"/>
      <c r="BJ157" s="17"/>
      <c r="BK157" s="14"/>
      <c r="BL157" s="17"/>
      <c r="BM157" s="14"/>
      <c r="BN157" s="17"/>
      <c r="BO157" s="14"/>
      <c r="BP157" s="17"/>
      <c r="BQ157" s="108">
        <f t="shared" si="262"/>
        <v>0</v>
      </c>
      <c r="BR157" s="567"/>
      <c r="BS157" s="571"/>
      <c r="BT157" s="572"/>
      <c r="BU157" s="558"/>
      <c r="BV157" s="561"/>
      <c r="BW157" s="564"/>
      <c r="BX157" s="616"/>
    </row>
    <row r="158" spans="1:76" ht="15.75" thickBot="1" x14ac:dyDescent="0.3">
      <c r="A158" s="587"/>
      <c r="B158" s="592"/>
      <c r="C158" s="593"/>
      <c r="D158" s="606"/>
      <c r="E158" s="519"/>
      <c r="F158" s="520"/>
      <c r="G158" s="525"/>
      <c r="H158" s="526"/>
      <c r="I158" s="531"/>
      <c r="J158" s="532"/>
      <c r="K158" s="514"/>
      <c r="L158" s="535"/>
      <c r="M158" s="538"/>
      <c r="N158" s="543"/>
      <c r="O158" s="544"/>
      <c r="P158" s="485"/>
      <c r="Q158" s="486"/>
      <c r="R158" s="519"/>
      <c r="S158" s="520"/>
      <c r="T158" s="489"/>
      <c r="U158" s="490"/>
      <c r="V158" s="493"/>
      <c r="W158" s="485"/>
      <c r="X158" s="496"/>
      <c r="Y158" s="486"/>
      <c r="Z158" s="499"/>
      <c r="AA158" s="504"/>
      <c r="AB158" s="505"/>
      <c r="AC158" s="476" t="s">
        <v>261</v>
      </c>
      <c r="AD158" s="477"/>
      <c r="AE158" s="478"/>
      <c r="AF158" s="102"/>
      <c r="AG158" s="102"/>
      <c r="AH158" s="102"/>
      <c r="AI158" s="102"/>
      <c r="AJ158" s="102"/>
      <c r="AK158" s="102"/>
      <c r="AL158" s="102"/>
      <c r="AM158" s="102"/>
      <c r="AN158" s="102"/>
      <c r="AO158" s="102"/>
      <c r="AP158" s="102"/>
      <c r="AQ158" s="103"/>
      <c r="AR158" s="105">
        <f t="shared" si="287"/>
        <v>0</v>
      </c>
      <c r="AS158" s="131" t="s">
        <v>161</v>
      </c>
      <c r="AT158" s="132">
        <f t="shared" ref="AT158:AX158" si="288">SUM(AT155:AT157)</f>
        <v>0</v>
      </c>
      <c r="AU158" s="132">
        <f t="shared" si="288"/>
        <v>0</v>
      </c>
      <c r="AV158" s="132">
        <f t="shared" si="288"/>
        <v>0</v>
      </c>
      <c r="AW158" s="133">
        <f t="shared" si="288"/>
        <v>0</v>
      </c>
      <c r="AX158" s="127">
        <f t="shared" si="288"/>
        <v>0</v>
      </c>
      <c r="AY158" s="144" t="s">
        <v>161</v>
      </c>
      <c r="AZ158" s="140">
        <f t="shared" ref="AZ158:BB158" si="289">SUM(AZ155:AZ157)</f>
        <v>0</v>
      </c>
      <c r="BA158" s="140">
        <f t="shared" si="289"/>
        <v>0</v>
      </c>
      <c r="BB158" s="140">
        <f t="shared" si="289"/>
        <v>0</v>
      </c>
      <c r="BC158" s="479" t="s">
        <v>263</v>
      </c>
      <c r="BD158" s="480"/>
      <c r="BE158" s="15"/>
      <c r="BF158" s="18"/>
      <c r="BG158" s="15"/>
      <c r="BH158" s="18"/>
      <c r="BI158" s="15"/>
      <c r="BJ158" s="18"/>
      <c r="BK158" s="15"/>
      <c r="BL158" s="18"/>
      <c r="BM158" s="15"/>
      <c r="BN158" s="18"/>
      <c r="BO158" s="15"/>
      <c r="BP158" s="18"/>
      <c r="BQ158" s="109">
        <f t="shared" si="262"/>
        <v>0</v>
      </c>
      <c r="BR158" s="568"/>
      <c r="BS158" s="573"/>
      <c r="BT158" s="574"/>
      <c r="BU158" s="559"/>
      <c r="BV158" s="562"/>
      <c r="BW158" s="565"/>
      <c r="BX158" s="617"/>
    </row>
    <row r="159" spans="1:76" ht="15.75" thickTop="1" x14ac:dyDescent="0.25">
      <c r="A159" s="585">
        <v>38</v>
      </c>
      <c r="B159" s="588"/>
      <c r="C159" s="589"/>
      <c r="D159" s="604"/>
      <c r="E159" s="515"/>
      <c r="F159" s="516"/>
      <c r="G159" s="521"/>
      <c r="H159" s="522"/>
      <c r="I159" s="527"/>
      <c r="J159" s="528"/>
      <c r="K159" s="512">
        <f t="shared" ref="K159" si="290">INT(YEARFRAC(I159,AA159))</f>
        <v>0</v>
      </c>
      <c r="L159" s="533">
        <f t="shared" ref="L159" ca="1" si="291">INT(YEARFRAC(I159,TODAY()))</f>
        <v>121</v>
      </c>
      <c r="M159" s="536"/>
      <c r="N159" s="539"/>
      <c r="O159" s="540"/>
      <c r="P159" s="481"/>
      <c r="Q159" s="482"/>
      <c r="R159" s="515"/>
      <c r="S159" s="516"/>
      <c r="T159" s="487"/>
      <c r="U159" s="488"/>
      <c r="V159" s="491"/>
      <c r="W159" s="481"/>
      <c r="X159" s="494"/>
      <c r="Y159" s="482"/>
      <c r="Z159" s="497"/>
      <c r="AA159" s="500"/>
      <c r="AB159" s="501"/>
      <c r="AC159" s="506" t="s">
        <v>257</v>
      </c>
      <c r="AD159" s="507"/>
      <c r="AE159" s="507"/>
      <c r="AF159" s="510"/>
      <c r="AG159" s="510"/>
      <c r="AH159" s="510"/>
      <c r="AI159" s="510"/>
      <c r="AJ159" s="510"/>
      <c r="AK159" s="510"/>
      <c r="AL159" s="510"/>
      <c r="AM159" s="510"/>
      <c r="AN159" s="510"/>
      <c r="AO159" s="510"/>
      <c r="AP159" s="510"/>
      <c r="AQ159" s="465"/>
      <c r="AR159" s="467">
        <f t="shared" ref="AR159" si="292">SUM(AF159:AQ160)</f>
        <v>0</v>
      </c>
      <c r="AS159" s="119" t="s">
        <v>257</v>
      </c>
      <c r="AT159" s="120"/>
      <c r="AU159" s="120"/>
      <c r="AV159" s="120"/>
      <c r="AW159" s="121"/>
      <c r="AX159" s="125">
        <f t="shared" ref="AX159:AX161" si="293">SUM(AT159:AW159)</f>
        <v>0</v>
      </c>
      <c r="AY159" s="141" t="s">
        <v>257</v>
      </c>
      <c r="AZ159" s="137"/>
      <c r="BA159" s="137"/>
      <c r="BB159" s="134">
        <f t="shared" ref="BB159:BB161" si="294">AZ159-BA159</f>
        <v>0</v>
      </c>
      <c r="BC159" s="469" t="s">
        <v>258</v>
      </c>
      <c r="BD159" s="470"/>
      <c r="BE159" s="13"/>
      <c r="BF159" s="16"/>
      <c r="BG159" s="13"/>
      <c r="BH159" s="16"/>
      <c r="BI159" s="13"/>
      <c r="BJ159" s="16"/>
      <c r="BK159" s="13"/>
      <c r="BL159" s="16"/>
      <c r="BM159" s="13"/>
      <c r="BN159" s="16"/>
      <c r="BO159" s="13"/>
      <c r="BP159" s="16"/>
      <c r="BQ159" s="106">
        <f t="shared" si="262"/>
        <v>0</v>
      </c>
      <c r="BR159" s="566"/>
      <c r="BS159" s="569"/>
      <c r="BT159" s="570"/>
      <c r="BU159" s="557"/>
      <c r="BV159" s="560"/>
      <c r="BW159" s="563"/>
      <c r="BX159" s="615"/>
    </row>
    <row r="160" spans="1:76" x14ac:dyDescent="0.25">
      <c r="A160" s="586"/>
      <c r="B160" s="590"/>
      <c r="C160" s="591"/>
      <c r="D160" s="605"/>
      <c r="E160" s="517"/>
      <c r="F160" s="518"/>
      <c r="G160" s="523"/>
      <c r="H160" s="524"/>
      <c r="I160" s="529"/>
      <c r="J160" s="530"/>
      <c r="K160" s="513"/>
      <c r="L160" s="534"/>
      <c r="M160" s="537"/>
      <c r="N160" s="541"/>
      <c r="O160" s="542"/>
      <c r="P160" s="483"/>
      <c r="Q160" s="484"/>
      <c r="R160" s="517"/>
      <c r="S160" s="518"/>
      <c r="T160" s="487"/>
      <c r="U160" s="488"/>
      <c r="V160" s="492"/>
      <c r="W160" s="483"/>
      <c r="X160" s="495"/>
      <c r="Y160" s="484"/>
      <c r="Z160" s="498"/>
      <c r="AA160" s="502"/>
      <c r="AB160" s="503"/>
      <c r="AC160" s="508"/>
      <c r="AD160" s="509"/>
      <c r="AE160" s="509"/>
      <c r="AF160" s="511"/>
      <c r="AG160" s="511"/>
      <c r="AH160" s="511"/>
      <c r="AI160" s="511"/>
      <c r="AJ160" s="511"/>
      <c r="AK160" s="511"/>
      <c r="AL160" s="511"/>
      <c r="AM160" s="511"/>
      <c r="AN160" s="511"/>
      <c r="AO160" s="511"/>
      <c r="AP160" s="511"/>
      <c r="AQ160" s="466"/>
      <c r="AR160" s="468"/>
      <c r="AS160" s="122" t="s">
        <v>259</v>
      </c>
      <c r="AT160" s="123"/>
      <c r="AU160" s="123"/>
      <c r="AV160" s="123"/>
      <c r="AW160" s="124"/>
      <c r="AX160" s="126">
        <f t="shared" si="293"/>
        <v>0</v>
      </c>
      <c r="AY160" s="142" t="s">
        <v>259</v>
      </c>
      <c r="AZ160" s="138"/>
      <c r="BA160" s="138"/>
      <c r="BB160" s="135">
        <f t="shared" si="294"/>
        <v>0</v>
      </c>
      <c r="BC160" s="474" t="s">
        <v>260</v>
      </c>
      <c r="BD160" s="475"/>
      <c r="BE160" s="14"/>
      <c r="BF160" s="17"/>
      <c r="BG160" s="14"/>
      <c r="BH160" s="17"/>
      <c r="BI160" s="14"/>
      <c r="BJ160" s="17"/>
      <c r="BK160" s="14"/>
      <c r="BL160" s="17"/>
      <c r="BM160" s="14"/>
      <c r="BN160" s="17"/>
      <c r="BO160" s="14"/>
      <c r="BP160" s="17"/>
      <c r="BQ160" s="107">
        <f t="shared" si="262"/>
        <v>0</v>
      </c>
      <c r="BR160" s="567"/>
      <c r="BS160" s="571"/>
      <c r="BT160" s="572"/>
      <c r="BU160" s="558"/>
      <c r="BV160" s="561"/>
      <c r="BW160" s="564"/>
      <c r="BX160" s="616"/>
    </row>
    <row r="161" spans="1:76" ht="15.75" thickBot="1" x14ac:dyDescent="0.3">
      <c r="A161" s="586"/>
      <c r="B161" s="590"/>
      <c r="C161" s="591"/>
      <c r="D161" s="605"/>
      <c r="E161" s="517"/>
      <c r="F161" s="518"/>
      <c r="G161" s="523"/>
      <c r="H161" s="524"/>
      <c r="I161" s="529"/>
      <c r="J161" s="530"/>
      <c r="K161" s="513"/>
      <c r="L161" s="534"/>
      <c r="M161" s="537"/>
      <c r="N161" s="541"/>
      <c r="O161" s="542"/>
      <c r="P161" s="483"/>
      <c r="Q161" s="484"/>
      <c r="R161" s="517"/>
      <c r="S161" s="518"/>
      <c r="T161" s="487"/>
      <c r="U161" s="488"/>
      <c r="V161" s="492"/>
      <c r="W161" s="483"/>
      <c r="X161" s="495"/>
      <c r="Y161" s="484"/>
      <c r="Z161" s="498"/>
      <c r="AA161" s="502"/>
      <c r="AB161" s="503"/>
      <c r="AC161" s="471" t="s">
        <v>259</v>
      </c>
      <c r="AD161" s="472"/>
      <c r="AE161" s="473"/>
      <c r="AF161" s="100"/>
      <c r="AG161" s="100"/>
      <c r="AH161" s="100"/>
      <c r="AI161" s="100"/>
      <c r="AJ161" s="100"/>
      <c r="AK161" s="100"/>
      <c r="AL161" s="100"/>
      <c r="AM161" s="100"/>
      <c r="AN161" s="100"/>
      <c r="AO161" s="100"/>
      <c r="AP161" s="100"/>
      <c r="AQ161" s="101"/>
      <c r="AR161" s="104">
        <f t="shared" ref="AR161:AR162" si="295">SUM(AF161:AQ161)</f>
        <v>0</v>
      </c>
      <c r="AS161" s="128" t="s">
        <v>261</v>
      </c>
      <c r="AT161" s="129"/>
      <c r="AU161" s="129"/>
      <c r="AV161" s="129"/>
      <c r="AW161" s="130"/>
      <c r="AX161" s="126">
        <f t="shared" si="293"/>
        <v>0</v>
      </c>
      <c r="AY161" s="143" t="s">
        <v>261</v>
      </c>
      <c r="AZ161" s="139"/>
      <c r="BA161" s="139"/>
      <c r="BB161" s="136">
        <f t="shared" si="294"/>
        <v>0</v>
      </c>
      <c r="BC161" s="474" t="s">
        <v>262</v>
      </c>
      <c r="BD161" s="475"/>
      <c r="BE161" s="14"/>
      <c r="BF161" s="17"/>
      <c r="BG161" s="14"/>
      <c r="BH161" s="17"/>
      <c r="BI161" s="14"/>
      <c r="BJ161" s="17"/>
      <c r="BK161" s="14"/>
      <c r="BL161" s="17"/>
      <c r="BM161" s="14"/>
      <c r="BN161" s="17"/>
      <c r="BO161" s="14"/>
      <c r="BP161" s="17"/>
      <c r="BQ161" s="108">
        <f t="shared" si="262"/>
        <v>0</v>
      </c>
      <c r="BR161" s="567"/>
      <c r="BS161" s="571"/>
      <c r="BT161" s="572"/>
      <c r="BU161" s="558"/>
      <c r="BV161" s="561"/>
      <c r="BW161" s="564"/>
      <c r="BX161" s="616"/>
    </row>
    <row r="162" spans="1:76" ht="15.75" thickBot="1" x14ac:dyDescent="0.3">
      <c r="A162" s="587"/>
      <c r="B162" s="592"/>
      <c r="C162" s="593"/>
      <c r="D162" s="606"/>
      <c r="E162" s="519"/>
      <c r="F162" s="520"/>
      <c r="G162" s="525"/>
      <c r="H162" s="526"/>
      <c r="I162" s="531"/>
      <c r="J162" s="532"/>
      <c r="K162" s="514"/>
      <c r="L162" s="535"/>
      <c r="M162" s="538"/>
      <c r="N162" s="543"/>
      <c r="O162" s="544"/>
      <c r="P162" s="485"/>
      <c r="Q162" s="486"/>
      <c r="R162" s="519"/>
      <c r="S162" s="520"/>
      <c r="T162" s="489"/>
      <c r="U162" s="490"/>
      <c r="V162" s="493"/>
      <c r="W162" s="485"/>
      <c r="X162" s="496"/>
      <c r="Y162" s="486"/>
      <c r="Z162" s="499"/>
      <c r="AA162" s="504"/>
      <c r="AB162" s="505"/>
      <c r="AC162" s="476" t="s">
        <v>261</v>
      </c>
      <c r="AD162" s="477"/>
      <c r="AE162" s="478"/>
      <c r="AF162" s="102"/>
      <c r="AG162" s="102"/>
      <c r="AH162" s="102"/>
      <c r="AI162" s="102"/>
      <c r="AJ162" s="102"/>
      <c r="AK162" s="102"/>
      <c r="AL162" s="102"/>
      <c r="AM162" s="102"/>
      <c r="AN162" s="102"/>
      <c r="AO162" s="102"/>
      <c r="AP162" s="102"/>
      <c r="AQ162" s="103"/>
      <c r="AR162" s="105">
        <f t="shared" si="295"/>
        <v>0</v>
      </c>
      <c r="AS162" s="131" t="s">
        <v>161</v>
      </c>
      <c r="AT162" s="132">
        <f t="shared" ref="AT162:AX162" si="296">SUM(AT159:AT161)</f>
        <v>0</v>
      </c>
      <c r="AU162" s="132">
        <f t="shared" si="296"/>
        <v>0</v>
      </c>
      <c r="AV162" s="132">
        <f t="shared" si="296"/>
        <v>0</v>
      </c>
      <c r="AW162" s="133">
        <f t="shared" si="296"/>
        <v>0</v>
      </c>
      <c r="AX162" s="127">
        <f t="shared" si="296"/>
        <v>0</v>
      </c>
      <c r="AY162" s="144" t="s">
        <v>161</v>
      </c>
      <c r="AZ162" s="140">
        <f t="shared" ref="AZ162:BB162" si="297">SUM(AZ159:AZ161)</f>
        <v>0</v>
      </c>
      <c r="BA162" s="140">
        <f t="shared" si="297"/>
        <v>0</v>
      </c>
      <c r="BB162" s="140">
        <f t="shared" si="297"/>
        <v>0</v>
      </c>
      <c r="BC162" s="479" t="s">
        <v>263</v>
      </c>
      <c r="BD162" s="480"/>
      <c r="BE162" s="15"/>
      <c r="BF162" s="18"/>
      <c r="BG162" s="15"/>
      <c r="BH162" s="18"/>
      <c r="BI162" s="15"/>
      <c r="BJ162" s="18"/>
      <c r="BK162" s="15"/>
      <c r="BL162" s="18"/>
      <c r="BM162" s="15"/>
      <c r="BN162" s="18"/>
      <c r="BO162" s="15"/>
      <c r="BP162" s="18"/>
      <c r="BQ162" s="109">
        <f t="shared" si="262"/>
        <v>0</v>
      </c>
      <c r="BR162" s="568"/>
      <c r="BS162" s="573"/>
      <c r="BT162" s="574"/>
      <c r="BU162" s="559"/>
      <c r="BV162" s="562"/>
      <c r="BW162" s="565"/>
      <c r="BX162" s="617"/>
    </row>
    <row r="163" spans="1:76" ht="15.75" thickTop="1" x14ac:dyDescent="0.25">
      <c r="A163" s="585">
        <v>39</v>
      </c>
      <c r="B163" s="588"/>
      <c r="C163" s="589"/>
      <c r="D163" s="604"/>
      <c r="E163" s="515"/>
      <c r="F163" s="516"/>
      <c r="G163" s="521"/>
      <c r="H163" s="522"/>
      <c r="I163" s="527"/>
      <c r="J163" s="528"/>
      <c r="K163" s="512" t="e">
        <f t="shared" ref="K163" si="298">INT(YEARFRAC(I163,AA163))</f>
        <v>#VALUE!</v>
      </c>
      <c r="L163" s="533">
        <f t="shared" ref="L163" ca="1" si="299">INT(YEARFRAC(I163,TODAY()))</f>
        <v>121</v>
      </c>
      <c r="M163" s="536"/>
      <c r="N163" s="539"/>
      <c r="O163" s="540"/>
      <c r="P163" s="481"/>
      <c r="Q163" s="482"/>
      <c r="R163" s="515"/>
      <c r="S163" s="516"/>
      <c r="T163" s="487"/>
      <c r="U163" s="488"/>
      <c r="V163" s="491"/>
      <c r="W163" s="481"/>
      <c r="X163" s="494"/>
      <c r="Y163" s="482"/>
      <c r="Z163" s="497"/>
      <c r="AA163" s="500" t="s">
        <v>280</v>
      </c>
      <c r="AB163" s="501"/>
      <c r="AC163" s="506" t="s">
        <v>257</v>
      </c>
      <c r="AD163" s="507"/>
      <c r="AE163" s="507"/>
      <c r="AF163" s="510"/>
      <c r="AG163" s="510"/>
      <c r="AH163" s="510"/>
      <c r="AI163" s="510"/>
      <c r="AJ163" s="510"/>
      <c r="AK163" s="510"/>
      <c r="AL163" s="510"/>
      <c r="AM163" s="510"/>
      <c r="AN163" s="510"/>
      <c r="AO163" s="510"/>
      <c r="AP163" s="510"/>
      <c r="AQ163" s="465"/>
      <c r="AR163" s="467">
        <f t="shared" ref="AR163" si="300">SUM(AF163:AQ164)</f>
        <v>0</v>
      </c>
      <c r="AS163" s="119" t="s">
        <v>257</v>
      </c>
      <c r="AT163" s="120"/>
      <c r="AU163" s="120"/>
      <c r="AV163" s="120"/>
      <c r="AW163" s="121"/>
      <c r="AX163" s="125">
        <f t="shared" ref="AX163:AX165" si="301">SUM(AT163:AW163)</f>
        <v>0</v>
      </c>
      <c r="AY163" s="141" t="s">
        <v>257</v>
      </c>
      <c r="AZ163" s="137"/>
      <c r="BA163" s="137"/>
      <c r="BB163" s="134">
        <f t="shared" ref="BB163:BB165" si="302">AZ163-BA163</f>
        <v>0</v>
      </c>
      <c r="BC163" s="469" t="s">
        <v>258</v>
      </c>
      <c r="BD163" s="470"/>
      <c r="BE163" s="13"/>
      <c r="BF163" s="16"/>
      <c r="BG163" s="13"/>
      <c r="BH163" s="16"/>
      <c r="BI163" s="13"/>
      <c r="BJ163" s="16"/>
      <c r="BK163" s="13"/>
      <c r="BL163" s="16"/>
      <c r="BM163" s="13"/>
      <c r="BN163" s="16"/>
      <c r="BO163" s="13"/>
      <c r="BP163" s="16"/>
      <c r="BQ163" s="106">
        <f t="shared" si="262"/>
        <v>0</v>
      </c>
      <c r="BR163" s="566"/>
      <c r="BS163" s="569"/>
      <c r="BT163" s="570"/>
      <c r="BU163" s="557"/>
      <c r="BV163" s="560"/>
      <c r="BW163" s="563"/>
      <c r="BX163" s="615"/>
    </row>
    <row r="164" spans="1:76" x14ac:dyDescent="0.25">
      <c r="A164" s="586"/>
      <c r="B164" s="590"/>
      <c r="C164" s="591"/>
      <c r="D164" s="605"/>
      <c r="E164" s="517"/>
      <c r="F164" s="518"/>
      <c r="G164" s="523"/>
      <c r="H164" s="524"/>
      <c r="I164" s="529"/>
      <c r="J164" s="530"/>
      <c r="K164" s="513"/>
      <c r="L164" s="534"/>
      <c r="M164" s="537"/>
      <c r="N164" s="541"/>
      <c r="O164" s="542"/>
      <c r="P164" s="483"/>
      <c r="Q164" s="484"/>
      <c r="R164" s="517"/>
      <c r="S164" s="518"/>
      <c r="T164" s="487"/>
      <c r="U164" s="488"/>
      <c r="V164" s="492"/>
      <c r="W164" s="483"/>
      <c r="X164" s="495"/>
      <c r="Y164" s="484"/>
      <c r="Z164" s="498"/>
      <c r="AA164" s="502"/>
      <c r="AB164" s="503"/>
      <c r="AC164" s="508"/>
      <c r="AD164" s="509"/>
      <c r="AE164" s="509"/>
      <c r="AF164" s="511"/>
      <c r="AG164" s="511"/>
      <c r="AH164" s="511"/>
      <c r="AI164" s="511"/>
      <c r="AJ164" s="511"/>
      <c r="AK164" s="511"/>
      <c r="AL164" s="511"/>
      <c r="AM164" s="511"/>
      <c r="AN164" s="511"/>
      <c r="AO164" s="511"/>
      <c r="AP164" s="511"/>
      <c r="AQ164" s="466"/>
      <c r="AR164" s="468"/>
      <c r="AS164" s="122" t="s">
        <v>259</v>
      </c>
      <c r="AT164" s="123"/>
      <c r="AU164" s="123"/>
      <c r="AV164" s="123"/>
      <c r="AW164" s="124"/>
      <c r="AX164" s="126">
        <f t="shared" si="301"/>
        <v>0</v>
      </c>
      <c r="AY164" s="142" t="s">
        <v>259</v>
      </c>
      <c r="AZ164" s="138"/>
      <c r="BA164" s="138"/>
      <c r="BB164" s="135">
        <f t="shared" si="302"/>
        <v>0</v>
      </c>
      <c r="BC164" s="474" t="s">
        <v>260</v>
      </c>
      <c r="BD164" s="475"/>
      <c r="BE164" s="14"/>
      <c r="BF164" s="17"/>
      <c r="BG164" s="14"/>
      <c r="BH164" s="17"/>
      <c r="BI164" s="14"/>
      <c r="BJ164" s="17"/>
      <c r="BK164" s="14"/>
      <c r="BL164" s="17"/>
      <c r="BM164" s="14"/>
      <c r="BN164" s="17"/>
      <c r="BO164" s="14"/>
      <c r="BP164" s="17"/>
      <c r="BQ164" s="107">
        <f t="shared" si="262"/>
        <v>0</v>
      </c>
      <c r="BR164" s="567"/>
      <c r="BS164" s="571"/>
      <c r="BT164" s="572"/>
      <c r="BU164" s="558"/>
      <c r="BV164" s="561"/>
      <c r="BW164" s="564"/>
      <c r="BX164" s="616"/>
    </row>
    <row r="165" spans="1:76" ht="15.75" thickBot="1" x14ac:dyDescent="0.3">
      <c r="A165" s="586"/>
      <c r="B165" s="590"/>
      <c r="C165" s="591"/>
      <c r="D165" s="605"/>
      <c r="E165" s="517"/>
      <c r="F165" s="518"/>
      <c r="G165" s="523"/>
      <c r="H165" s="524"/>
      <c r="I165" s="529"/>
      <c r="J165" s="530"/>
      <c r="K165" s="513"/>
      <c r="L165" s="534"/>
      <c r="M165" s="537"/>
      <c r="N165" s="541"/>
      <c r="O165" s="542"/>
      <c r="P165" s="483"/>
      <c r="Q165" s="484"/>
      <c r="R165" s="517"/>
      <c r="S165" s="518"/>
      <c r="T165" s="487"/>
      <c r="U165" s="488"/>
      <c r="V165" s="492"/>
      <c r="W165" s="483"/>
      <c r="X165" s="495"/>
      <c r="Y165" s="484"/>
      <c r="Z165" s="498"/>
      <c r="AA165" s="502"/>
      <c r="AB165" s="503"/>
      <c r="AC165" s="471" t="s">
        <v>259</v>
      </c>
      <c r="AD165" s="472"/>
      <c r="AE165" s="473"/>
      <c r="AF165" s="100"/>
      <c r="AG165" s="100"/>
      <c r="AH165" s="100"/>
      <c r="AI165" s="100"/>
      <c r="AJ165" s="100"/>
      <c r="AK165" s="100"/>
      <c r="AL165" s="100"/>
      <c r="AM165" s="100"/>
      <c r="AN165" s="100"/>
      <c r="AO165" s="100"/>
      <c r="AP165" s="100"/>
      <c r="AQ165" s="101"/>
      <c r="AR165" s="104">
        <f t="shared" ref="AR165:AR166" si="303">SUM(AF165:AQ165)</f>
        <v>0</v>
      </c>
      <c r="AS165" s="128" t="s">
        <v>261</v>
      </c>
      <c r="AT165" s="129"/>
      <c r="AU165" s="129"/>
      <c r="AV165" s="129"/>
      <c r="AW165" s="130"/>
      <c r="AX165" s="126">
        <f t="shared" si="301"/>
        <v>0</v>
      </c>
      <c r="AY165" s="143" t="s">
        <v>261</v>
      </c>
      <c r="AZ165" s="139"/>
      <c r="BA165" s="139"/>
      <c r="BB165" s="136">
        <f t="shared" si="302"/>
        <v>0</v>
      </c>
      <c r="BC165" s="474" t="s">
        <v>262</v>
      </c>
      <c r="BD165" s="475"/>
      <c r="BE165" s="14"/>
      <c r="BF165" s="17"/>
      <c r="BG165" s="14"/>
      <c r="BH165" s="17"/>
      <c r="BI165" s="14"/>
      <c r="BJ165" s="17"/>
      <c r="BK165" s="14"/>
      <c r="BL165" s="17"/>
      <c r="BM165" s="14"/>
      <c r="BN165" s="17"/>
      <c r="BO165" s="14"/>
      <c r="BP165" s="17"/>
      <c r="BQ165" s="108">
        <f t="shared" si="262"/>
        <v>0</v>
      </c>
      <c r="BR165" s="567"/>
      <c r="BS165" s="571"/>
      <c r="BT165" s="572"/>
      <c r="BU165" s="558"/>
      <c r="BV165" s="561"/>
      <c r="BW165" s="564"/>
      <c r="BX165" s="616"/>
    </row>
    <row r="166" spans="1:76" ht="15.75" thickBot="1" x14ac:dyDescent="0.3">
      <c r="A166" s="587"/>
      <c r="B166" s="592"/>
      <c r="C166" s="593"/>
      <c r="D166" s="606"/>
      <c r="E166" s="519"/>
      <c r="F166" s="520"/>
      <c r="G166" s="525"/>
      <c r="H166" s="526"/>
      <c r="I166" s="531"/>
      <c r="J166" s="532"/>
      <c r="K166" s="514"/>
      <c r="L166" s="535"/>
      <c r="M166" s="538"/>
      <c r="N166" s="543"/>
      <c r="O166" s="544"/>
      <c r="P166" s="485"/>
      <c r="Q166" s="486"/>
      <c r="R166" s="519"/>
      <c r="S166" s="520"/>
      <c r="T166" s="489"/>
      <c r="U166" s="490"/>
      <c r="V166" s="493"/>
      <c r="W166" s="485"/>
      <c r="X166" s="496"/>
      <c r="Y166" s="486"/>
      <c r="Z166" s="499"/>
      <c r="AA166" s="504"/>
      <c r="AB166" s="505"/>
      <c r="AC166" s="476" t="s">
        <v>261</v>
      </c>
      <c r="AD166" s="477"/>
      <c r="AE166" s="478"/>
      <c r="AF166" s="102"/>
      <c r="AG166" s="102"/>
      <c r="AH166" s="102"/>
      <c r="AI166" s="102"/>
      <c r="AJ166" s="102"/>
      <c r="AK166" s="102"/>
      <c r="AL166" s="102"/>
      <c r="AM166" s="102"/>
      <c r="AN166" s="102"/>
      <c r="AO166" s="102"/>
      <c r="AP166" s="102"/>
      <c r="AQ166" s="103"/>
      <c r="AR166" s="105">
        <f t="shared" si="303"/>
        <v>0</v>
      </c>
      <c r="AS166" s="131" t="s">
        <v>161</v>
      </c>
      <c r="AT166" s="132">
        <f t="shared" ref="AT166:AX166" si="304">SUM(AT163:AT165)</f>
        <v>0</v>
      </c>
      <c r="AU166" s="132">
        <f t="shared" si="304"/>
        <v>0</v>
      </c>
      <c r="AV166" s="132">
        <f t="shared" si="304"/>
        <v>0</v>
      </c>
      <c r="AW166" s="133">
        <f t="shared" si="304"/>
        <v>0</v>
      </c>
      <c r="AX166" s="127">
        <f t="shared" si="304"/>
        <v>0</v>
      </c>
      <c r="AY166" s="144" t="s">
        <v>161</v>
      </c>
      <c r="AZ166" s="140">
        <f t="shared" ref="AZ166:BB166" si="305">SUM(AZ163:AZ165)</f>
        <v>0</v>
      </c>
      <c r="BA166" s="140">
        <f t="shared" si="305"/>
        <v>0</v>
      </c>
      <c r="BB166" s="140">
        <f t="shared" si="305"/>
        <v>0</v>
      </c>
      <c r="BC166" s="479" t="s">
        <v>263</v>
      </c>
      <c r="BD166" s="480"/>
      <c r="BE166" s="15"/>
      <c r="BF166" s="18"/>
      <c r="BG166" s="15"/>
      <c r="BH166" s="18"/>
      <c r="BI166" s="15"/>
      <c r="BJ166" s="18"/>
      <c r="BK166" s="15"/>
      <c r="BL166" s="18"/>
      <c r="BM166" s="15"/>
      <c r="BN166" s="18"/>
      <c r="BO166" s="15"/>
      <c r="BP166" s="18"/>
      <c r="BQ166" s="109">
        <f t="shared" si="262"/>
        <v>0</v>
      </c>
      <c r="BR166" s="568"/>
      <c r="BS166" s="573"/>
      <c r="BT166" s="574"/>
      <c r="BU166" s="559"/>
      <c r="BV166" s="562"/>
      <c r="BW166" s="565"/>
      <c r="BX166" s="617"/>
    </row>
    <row r="167" spans="1:76" ht="15.75" thickTop="1" x14ac:dyDescent="0.25">
      <c r="A167" s="585">
        <v>40</v>
      </c>
      <c r="B167" s="588"/>
      <c r="C167" s="589"/>
      <c r="D167" s="604"/>
      <c r="E167" s="515"/>
      <c r="F167" s="516"/>
      <c r="G167" s="521"/>
      <c r="H167" s="522"/>
      <c r="I167" s="527"/>
      <c r="J167" s="528"/>
      <c r="K167" s="512" t="e">
        <f t="shared" ref="K167" si="306">INT(YEARFRAC(I167,AA167))</f>
        <v>#VALUE!</v>
      </c>
      <c r="L167" s="533">
        <f t="shared" ref="L167" ca="1" si="307">INT(YEARFRAC(I167,TODAY()))</f>
        <v>121</v>
      </c>
      <c r="M167" s="536"/>
      <c r="N167" s="539"/>
      <c r="O167" s="540"/>
      <c r="P167" s="481"/>
      <c r="Q167" s="482"/>
      <c r="R167" s="515"/>
      <c r="S167" s="516"/>
      <c r="T167" s="487"/>
      <c r="U167" s="488"/>
      <c r="V167" s="491"/>
      <c r="W167" s="481"/>
      <c r="X167" s="494"/>
      <c r="Y167" s="482"/>
      <c r="Z167" s="497"/>
      <c r="AA167" s="500" t="s">
        <v>281</v>
      </c>
      <c r="AB167" s="501"/>
      <c r="AC167" s="506" t="s">
        <v>257</v>
      </c>
      <c r="AD167" s="507"/>
      <c r="AE167" s="507"/>
      <c r="AF167" s="510"/>
      <c r="AG167" s="510"/>
      <c r="AH167" s="510"/>
      <c r="AI167" s="510"/>
      <c r="AJ167" s="510"/>
      <c r="AK167" s="510"/>
      <c r="AL167" s="510"/>
      <c r="AM167" s="510"/>
      <c r="AN167" s="510"/>
      <c r="AO167" s="510"/>
      <c r="AP167" s="510"/>
      <c r="AQ167" s="465"/>
      <c r="AR167" s="467">
        <f t="shared" ref="AR167" si="308">SUM(AF167:AQ168)</f>
        <v>0</v>
      </c>
      <c r="AS167" s="119" t="s">
        <v>257</v>
      </c>
      <c r="AT167" s="120"/>
      <c r="AU167" s="120"/>
      <c r="AV167" s="120"/>
      <c r="AW167" s="121"/>
      <c r="AX167" s="125">
        <f t="shared" ref="AX167:AX169" si="309">SUM(AT167:AW167)</f>
        <v>0</v>
      </c>
      <c r="AY167" s="141" t="s">
        <v>257</v>
      </c>
      <c r="AZ167" s="137"/>
      <c r="BA167" s="137"/>
      <c r="BB167" s="134">
        <f t="shared" ref="BB167:BB169" si="310">AZ167-BA167</f>
        <v>0</v>
      </c>
      <c r="BC167" s="469" t="s">
        <v>258</v>
      </c>
      <c r="BD167" s="470"/>
      <c r="BE167" s="13"/>
      <c r="BF167" s="16"/>
      <c r="BG167" s="13"/>
      <c r="BH167" s="16"/>
      <c r="BI167" s="13"/>
      <c r="BJ167" s="16"/>
      <c r="BK167" s="13"/>
      <c r="BL167" s="16"/>
      <c r="BM167" s="13"/>
      <c r="BN167" s="16"/>
      <c r="BO167" s="13"/>
      <c r="BP167" s="16"/>
      <c r="BQ167" s="106">
        <f t="shared" si="262"/>
        <v>0</v>
      </c>
      <c r="BR167" s="566"/>
      <c r="BS167" s="569"/>
      <c r="BT167" s="570"/>
      <c r="BU167" s="557"/>
      <c r="BV167" s="560"/>
      <c r="BW167" s="563"/>
      <c r="BX167" s="615"/>
    </row>
    <row r="168" spans="1:76" x14ac:dyDescent="0.25">
      <c r="A168" s="586"/>
      <c r="B168" s="590"/>
      <c r="C168" s="591"/>
      <c r="D168" s="605"/>
      <c r="E168" s="517"/>
      <c r="F168" s="518"/>
      <c r="G168" s="523"/>
      <c r="H168" s="524"/>
      <c r="I168" s="529"/>
      <c r="J168" s="530"/>
      <c r="K168" s="513"/>
      <c r="L168" s="534"/>
      <c r="M168" s="537"/>
      <c r="N168" s="541"/>
      <c r="O168" s="542"/>
      <c r="P168" s="483"/>
      <c r="Q168" s="484"/>
      <c r="R168" s="517"/>
      <c r="S168" s="518"/>
      <c r="T168" s="487"/>
      <c r="U168" s="488"/>
      <c r="V168" s="492"/>
      <c r="W168" s="483"/>
      <c r="X168" s="495"/>
      <c r="Y168" s="484"/>
      <c r="Z168" s="498"/>
      <c r="AA168" s="502"/>
      <c r="AB168" s="503"/>
      <c r="AC168" s="508"/>
      <c r="AD168" s="509"/>
      <c r="AE168" s="509"/>
      <c r="AF168" s="511"/>
      <c r="AG168" s="511"/>
      <c r="AH168" s="511"/>
      <c r="AI168" s="511"/>
      <c r="AJ168" s="511"/>
      <c r="AK168" s="511"/>
      <c r="AL168" s="511"/>
      <c r="AM168" s="511"/>
      <c r="AN168" s="511"/>
      <c r="AO168" s="511"/>
      <c r="AP168" s="511"/>
      <c r="AQ168" s="466"/>
      <c r="AR168" s="468"/>
      <c r="AS168" s="122" t="s">
        <v>259</v>
      </c>
      <c r="AT168" s="123"/>
      <c r="AU168" s="123"/>
      <c r="AV168" s="123"/>
      <c r="AW168" s="124"/>
      <c r="AX168" s="126">
        <f t="shared" si="309"/>
        <v>0</v>
      </c>
      <c r="AY168" s="142" t="s">
        <v>259</v>
      </c>
      <c r="AZ168" s="138"/>
      <c r="BA168" s="138"/>
      <c r="BB168" s="135">
        <f t="shared" si="310"/>
        <v>0</v>
      </c>
      <c r="BC168" s="474" t="s">
        <v>260</v>
      </c>
      <c r="BD168" s="475"/>
      <c r="BE168" s="14"/>
      <c r="BF168" s="17"/>
      <c r="BG168" s="14"/>
      <c r="BH168" s="17"/>
      <c r="BI168" s="14"/>
      <c r="BJ168" s="17"/>
      <c r="BK168" s="14"/>
      <c r="BL168" s="17"/>
      <c r="BM168" s="14"/>
      <c r="BN168" s="17"/>
      <c r="BO168" s="14"/>
      <c r="BP168" s="17"/>
      <c r="BQ168" s="107">
        <f t="shared" si="262"/>
        <v>0</v>
      </c>
      <c r="BR168" s="567"/>
      <c r="BS168" s="571"/>
      <c r="BT168" s="572"/>
      <c r="BU168" s="558"/>
      <c r="BV168" s="561"/>
      <c r="BW168" s="564"/>
      <c r="BX168" s="616"/>
    </row>
    <row r="169" spans="1:76" ht="15.75" thickBot="1" x14ac:dyDescent="0.3">
      <c r="A169" s="586"/>
      <c r="B169" s="590"/>
      <c r="C169" s="591"/>
      <c r="D169" s="605"/>
      <c r="E169" s="517"/>
      <c r="F169" s="518"/>
      <c r="G169" s="523"/>
      <c r="H169" s="524"/>
      <c r="I169" s="529"/>
      <c r="J169" s="530"/>
      <c r="K169" s="513"/>
      <c r="L169" s="534"/>
      <c r="M169" s="537"/>
      <c r="N169" s="541"/>
      <c r="O169" s="542"/>
      <c r="P169" s="483"/>
      <c r="Q169" s="484"/>
      <c r="R169" s="517"/>
      <c r="S169" s="518"/>
      <c r="T169" s="487"/>
      <c r="U169" s="488"/>
      <c r="V169" s="492"/>
      <c r="W169" s="483"/>
      <c r="X169" s="495"/>
      <c r="Y169" s="484"/>
      <c r="Z169" s="498"/>
      <c r="AA169" s="502"/>
      <c r="AB169" s="503"/>
      <c r="AC169" s="471" t="s">
        <v>259</v>
      </c>
      <c r="AD169" s="472"/>
      <c r="AE169" s="473"/>
      <c r="AF169" s="100"/>
      <c r="AG169" s="100"/>
      <c r="AH169" s="100"/>
      <c r="AI169" s="100"/>
      <c r="AJ169" s="100"/>
      <c r="AK169" s="100"/>
      <c r="AL169" s="100"/>
      <c r="AM169" s="100"/>
      <c r="AN169" s="100"/>
      <c r="AO169" s="100"/>
      <c r="AP169" s="100"/>
      <c r="AQ169" s="101"/>
      <c r="AR169" s="104">
        <f t="shared" ref="AR169:AR170" si="311">SUM(AF169:AQ169)</f>
        <v>0</v>
      </c>
      <c r="AS169" s="128" t="s">
        <v>261</v>
      </c>
      <c r="AT169" s="129"/>
      <c r="AU169" s="129"/>
      <c r="AV169" s="129"/>
      <c r="AW169" s="130"/>
      <c r="AX169" s="126">
        <f t="shared" si="309"/>
        <v>0</v>
      </c>
      <c r="AY169" s="143" t="s">
        <v>261</v>
      </c>
      <c r="AZ169" s="139"/>
      <c r="BA169" s="139"/>
      <c r="BB169" s="136">
        <f t="shared" si="310"/>
        <v>0</v>
      </c>
      <c r="BC169" s="474" t="s">
        <v>262</v>
      </c>
      <c r="BD169" s="475"/>
      <c r="BE169" s="14"/>
      <c r="BF169" s="17"/>
      <c r="BG169" s="14"/>
      <c r="BH169" s="17"/>
      <c r="BI169" s="14"/>
      <c r="BJ169" s="17"/>
      <c r="BK169" s="14"/>
      <c r="BL169" s="17"/>
      <c r="BM169" s="14"/>
      <c r="BN169" s="17"/>
      <c r="BO169" s="14"/>
      <c r="BP169" s="17"/>
      <c r="BQ169" s="108">
        <f t="shared" si="262"/>
        <v>0</v>
      </c>
      <c r="BR169" s="567"/>
      <c r="BS169" s="571"/>
      <c r="BT169" s="572"/>
      <c r="BU169" s="558"/>
      <c r="BV169" s="561"/>
      <c r="BW169" s="564"/>
      <c r="BX169" s="616"/>
    </row>
    <row r="170" spans="1:76" ht="15.75" thickBot="1" x14ac:dyDescent="0.3">
      <c r="A170" s="587"/>
      <c r="B170" s="592"/>
      <c r="C170" s="593"/>
      <c r="D170" s="606"/>
      <c r="E170" s="519"/>
      <c r="F170" s="520"/>
      <c r="G170" s="525"/>
      <c r="H170" s="526"/>
      <c r="I170" s="531"/>
      <c r="J170" s="532"/>
      <c r="K170" s="514"/>
      <c r="L170" s="535"/>
      <c r="M170" s="538"/>
      <c r="N170" s="543"/>
      <c r="O170" s="544"/>
      <c r="P170" s="485"/>
      <c r="Q170" s="486"/>
      <c r="R170" s="519"/>
      <c r="S170" s="520"/>
      <c r="T170" s="489"/>
      <c r="U170" s="490"/>
      <c r="V170" s="493"/>
      <c r="W170" s="485"/>
      <c r="X170" s="496"/>
      <c r="Y170" s="486"/>
      <c r="Z170" s="499"/>
      <c r="AA170" s="504"/>
      <c r="AB170" s="505"/>
      <c r="AC170" s="476" t="s">
        <v>261</v>
      </c>
      <c r="AD170" s="477"/>
      <c r="AE170" s="478"/>
      <c r="AF170" s="102"/>
      <c r="AG170" s="102"/>
      <c r="AH170" s="102"/>
      <c r="AI170" s="102"/>
      <c r="AJ170" s="102"/>
      <c r="AK170" s="102"/>
      <c r="AL170" s="102"/>
      <c r="AM170" s="102"/>
      <c r="AN170" s="102"/>
      <c r="AO170" s="102"/>
      <c r="AP170" s="102"/>
      <c r="AQ170" s="103"/>
      <c r="AR170" s="105">
        <f t="shared" si="311"/>
        <v>0</v>
      </c>
      <c r="AS170" s="131" t="s">
        <v>161</v>
      </c>
      <c r="AT170" s="132">
        <f t="shared" ref="AT170:AX170" si="312">SUM(AT167:AT169)</f>
        <v>0</v>
      </c>
      <c r="AU170" s="132">
        <f t="shared" si="312"/>
        <v>0</v>
      </c>
      <c r="AV170" s="132">
        <f t="shared" si="312"/>
        <v>0</v>
      </c>
      <c r="AW170" s="133">
        <f t="shared" si="312"/>
        <v>0</v>
      </c>
      <c r="AX170" s="127">
        <f t="shared" si="312"/>
        <v>0</v>
      </c>
      <c r="AY170" s="144" t="s">
        <v>161</v>
      </c>
      <c r="AZ170" s="140">
        <f t="shared" ref="AZ170:BB170" si="313">SUM(AZ167:AZ169)</f>
        <v>0</v>
      </c>
      <c r="BA170" s="140">
        <f t="shared" si="313"/>
        <v>0</v>
      </c>
      <c r="BB170" s="140">
        <f t="shared" si="313"/>
        <v>0</v>
      </c>
      <c r="BC170" s="479" t="s">
        <v>263</v>
      </c>
      <c r="BD170" s="480"/>
      <c r="BE170" s="15"/>
      <c r="BF170" s="18"/>
      <c r="BG170" s="15"/>
      <c r="BH170" s="18"/>
      <c r="BI170" s="15"/>
      <c r="BJ170" s="18"/>
      <c r="BK170" s="15"/>
      <c r="BL170" s="18"/>
      <c r="BM170" s="15"/>
      <c r="BN170" s="18"/>
      <c r="BO170" s="15"/>
      <c r="BP170" s="18"/>
      <c r="BQ170" s="109">
        <f t="shared" si="262"/>
        <v>0</v>
      </c>
      <c r="BR170" s="568"/>
      <c r="BS170" s="573"/>
      <c r="BT170" s="574"/>
      <c r="BU170" s="559"/>
      <c r="BV170" s="562"/>
      <c r="BW170" s="565"/>
      <c r="BX170" s="617"/>
    </row>
    <row r="171" spans="1:76" ht="15.75" thickTop="1" x14ac:dyDescent="0.25">
      <c r="A171" s="585">
        <v>41</v>
      </c>
      <c r="B171" s="588"/>
      <c r="C171" s="589"/>
      <c r="D171" s="604"/>
      <c r="E171" s="515"/>
      <c r="F171" s="516"/>
      <c r="G171" s="521"/>
      <c r="H171" s="522"/>
      <c r="I171" s="527"/>
      <c r="J171" s="528"/>
      <c r="K171" s="512" t="e">
        <f t="shared" ref="K171" si="314">INT(YEARFRAC(I171,AA171))</f>
        <v>#VALUE!</v>
      </c>
      <c r="L171" s="533">
        <f t="shared" ref="L171" ca="1" si="315">INT(YEARFRAC(I171,TODAY()))</f>
        <v>121</v>
      </c>
      <c r="M171" s="536"/>
      <c r="N171" s="539"/>
      <c r="O171" s="540"/>
      <c r="P171" s="481"/>
      <c r="Q171" s="482"/>
      <c r="R171" s="515"/>
      <c r="S171" s="516"/>
      <c r="T171" s="487"/>
      <c r="U171" s="488"/>
      <c r="V171" s="491"/>
      <c r="W171" s="481"/>
      <c r="X171" s="494"/>
      <c r="Y171" s="482"/>
      <c r="Z171" s="497"/>
      <c r="AA171" s="500" t="s">
        <v>282</v>
      </c>
      <c r="AB171" s="501"/>
      <c r="AC171" s="506" t="s">
        <v>257</v>
      </c>
      <c r="AD171" s="507"/>
      <c r="AE171" s="507"/>
      <c r="AF171" s="510"/>
      <c r="AG171" s="510"/>
      <c r="AH171" s="510"/>
      <c r="AI171" s="510"/>
      <c r="AJ171" s="510"/>
      <c r="AK171" s="510"/>
      <c r="AL171" s="510"/>
      <c r="AM171" s="510"/>
      <c r="AN171" s="510"/>
      <c r="AO171" s="510"/>
      <c r="AP171" s="510"/>
      <c r="AQ171" s="465"/>
      <c r="AR171" s="467">
        <f t="shared" ref="AR171" si="316">SUM(AF171:AQ172)</f>
        <v>0</v>
      </c>
      <c r="AS171" s="119" t="s">
        <v>257</v>
      </c>
      <c r="AT171" s="120"/>
      <c r="AU171" s="120"/>
      <c r="AV171" s="120"/>
      <c r="AW171" s="121"/>
      <c r="AX171" s="125">
        <f t="shared" ref="AX171:AX173" si="317">SUM(AT171:AW171)</f>
        <v>0</v>
      </c>
      <c r="AY171" s="141" t="s">
        <v>257</v>
      </c>
      <c r="AZ171" s="137"/>
      <c r="BA171" s="137"/>
      <c r="BB171" s="134">
        <f t="shared" ref="BB171:BB173" si="318">AZ171-BA171</f>
        <v>0</v>
      </c>
      <c r="BC171" s="469" t="s">
        <v>258</v>
      </c>
      <c r="BD171" s="470"/>
      <c r="BE171" s="13"/>
      <c r="BF171" s="16"/>
      <c r="BG171" s="13"/>
      <c r="BH171" s="16"/>
      <c r="BI171" s="13"/>
      <c r="BJ171" s="16"/>
      <c r="BK171" s="13"/>
      <c r="BL171" s="16"/>
      <c r="BM171" s="13"/>
      <c r="BN171" s="16"/>
      <c r="BO171" s="13"/>
      <c r="BP171" s="16"/>
      <c r="BQ171" s="106">
        <f t="shared" si="262"/>
        <v>0</v>
      </c>
      <c r="BR171" s="566"/>
      <c r="BS171" s="569"/>
      <c r="BT171" s="570"/>
      <c r="BU171" s="557"/>
      <c r="BV171" s="560"/>
      <c r="BW171" s="563"/>
      <c r="BX171" s="615"/>
    </row>
    <row r="172" spans="1:76" x14ac:dyDescent="0.25">
      <c r="A172" s="586"/>
      <c r="B172" s="590"/>
      <c r="C172" s="591"/>
      <c r="D172" s="605"/>
      <c r="E172" s="517"/>
      <c r="F172" s="518"/>
      <c r="G172" s="523"/>
      <c r="H172" s="524"/>
      <c r="I172" s="529"/>
      <c r="J172" s="530"/>
      <c r="K172" s="513"/>
      <c r="L172" s="534"/>
      <c r="M172" s="537"/>
      <c r="N172" s="541"/>
      <c r="O172" s="542"/>
      <c r="P172" s="483"/>
      <c r="Q172" s="484"/>
      <c r="R172" s="517"/>
      <c r="S172" s="518"/>
      <c r="T172" s="487"/>
      <c r="U172" s="488"/>
      <c r="V172" s="492"/>
      <c r="W172" s="483"/>
      <c r="X172" s="495"/>
      <c r="Y172" s="484"/>
      <c r="Z172" s="498"/>
      <c r="AA172" s="502"/>
      <c r="AB172" s="503"/>
      <c r="AC172" s="508"/>
      <c r="AD172" s="509"/>
      <c r="AE172" s="509"/>
      <c r="AF172" s="511"/>
      <c r="AG172" s="511"/>
      <c r="AH172" s="511"/>
      <c r="AI172" s="511"/>
      <c r="AJ172" s="511"/>
      <c r="AK172" s="511"/>
      <c r="AL172" s="511"/>
      <c r="AM172" s="511"/>
      <c r="AN172" s="511"/>
      <c r="AO172" s="511"/>
      <c r="AP172" s="511"/>
      <c r="AQ172" s="466"/>
      <c r="AR172" s="468"/>
      <c r="AS172" s="122" t="s">
        <v>259</v>
      </c>
      <c r="AT172" s="123"/>
      <c r="AU172" s="123"/>
      <c r="AV172" s="123"/>
      <c r="AW172" s="124"/>
      <c r="AX172" s="126">
        <f t="shared" si="317"/>
        <v>0</v>
      </c>
      <c r="AY172" s="142" t="s">
        <v>259</v>
      </c>
      <c r="AZ172" s="138"/>
      <c r="BA172" s="138"/>
      <c r="BB172" s="135">
        <f t="shared" si="318"/>
        <v>0</v>
      </c>
      <c r="BC172" s="474" t="s">
        <v>260</v>
      </c>
      <c r="BD172" s="475"/>
      <c r="BE172" s="14"/>
      <c r="BF172" s="17"/>
      <c r="BG172" s="14"/>
      <c r="BH172" s="17"/>
      <c r="BI172" s="14"/>
      <c r="BJ172" s="17"/>
      <c r="BK172" s="14"/>
      <c r="BL172" s="17"/>
      <c r="BM172" s="14"/>
      <c r="BN172" s="17"/>
      <c r="BO172" s="14"/>
      <c r="BP172" s="17"/>
      <c r="BQ172" s="107">
        <f t="shared" si="262"/>
        <v>0</v>
      </c>
      <c r="BR172" s="567"/>
      <c r="BS172" s="571"/>
      <c r="BT172" s="572"/>
      <c r="BU172" s="558"/>
      <c r="BV172" s="561"/>
      <c r="BW172" s="564"/>
      <c r="BX172" s="616"/>
    </row>
    <row r="173" spans="1:76" ht="15.75" thickBot="1" x14ac:dyDescent="0.3">
      <c r="A173" s="586"/>
      <c r="B173" s="590"/>
      <c r="C173" s="591"/>
      <c r="D173" s="605"/>
      <c r="E173" s="517"/>
      <c r="F173" s="518"/>
      <c r="G173" s="523"/>
      <c r="H173" s="524"/>
      <c r="I173" s="529"/>
      <c r="J173" s="530"/>
      <c r="K173" s="513"/>
      <c r="L173" s="534"/>
      <c r="M173" s="537"/>
      <c r="N173" s="541"/>
      <c r="O173" s="542"/>
      <c r="P173" s="483"/>
      <c r="Q173" s="484"/>
      <c r="R173" s="517"/>
      <c r="S173" s="518"/>
      <c r="T173" s="487"/>
      <c r="U173" s="488"/>
      <c r="V173" s="492"/>
      <c r="W173" s="483"/>
      <c r="X173" s="495"/>
      <c r="Y173" s="484"/>
      <c r="Z173" s="498"/>
      <c r="AA173" s="502"/>
      <c r="AB173" s="503"/>
      <c r="AC173" s="471" t="s">
        <v>259</v>
      </c>
      <c r="AD173" s="472"/>
      <c r="AE173" s="473"/>
      <c r="AF173" s="100"/>
      <c r="AG173" s="100"/>
      <c r="AH173" s="100"/>
      <c r="AI173" s="100"/>
      <c r="AJ173" s="100"/>
      <c r="AK173" s="100"/>
      <c r="AL173" s="100"/>
      <c r="AM173" s="100"/>
      <c r="AN173" s="100"/>
      <c r="AO173" s="100"/>
      <c r="AP173" s="100"/>
      <c r="AQ173" s="101"/>
      <c r="AR173" s="104">
        <f t="shared" ref="AR173:AR174" si="319">SUM(AF173:AQ173)</f>
        <v>0</v>
      </c>
      <c r="AS173" s="128" t="s">
        <v>261</v>
      </c>
      <c r="AT173" s="129"/>
      <c r="AU173" s="129"/>
      <c r="AV173" s="129"/>
      <c r="AW173" s="130"/>
      <c r="AX173" s="126">
        <f t="shared" si="317"/>
        <v>0</v>
      </c>
      <c r="AY173" s="143" t="s">
        <v>261</v>
      </c>
      <c r="AZ173" s="139"/>
      <c r="BA173" s="139"/>
      <c r="BB173" s="136">
        <f t="shared" si="318"/>
        <v>0</v>
      </c>
      <c r="BC173" s="474" t="s">
        <v>262</v>
      </c>
      <c r="BD173" s="475"/>
      <c r="BE173" s="14"/>
      <c r="BF173" s="17"/>
      <c r="BG173" s="14"/>
      <c r="BH173" s="17"/>
      <c r="BI173" s="14"/>
      <c r="BJ173" s="17"/>
      <c r="BK173" s="14"/>
      <c r="BL173" s="17"/>
      <c r="BM173" s="14"/>
      <c r="BN173" s="17"/>
      <c r="BO173" s="14"/>
      <c r="BP173" s="17"/>
      <c r="BQ173" s="108">
        <f t="shared" si="262"/>
        <v>0</v>
      </c>
      <c r="BR173" s="567"/>
      <c r="BS173" s="571"/>
      <c r="BT173" s="572"/>
      <c r="BU173" s="558"/>
      <c r="BV173" s="561"/>
      <c r="BW173" s="564"/>
      <c r="BX173" s="616"/>
    </row>
    <row r="174" spans="1:76" ht="15.75" thickBot="1" x14ac:dyDescent="0.3">
      <c r="A174" s="587"/>
      <c r="B174" s="592"/>
      <c r="C174" s="593"/>
      <c r="D174" s="606"/>
      <c r="E174" s="519"/>
      <c r="F174" s="520"/>
      <c r="G174" s="525"/>
      <c r="H174" s="526"/>
      <c r="I174" s="531"/>
      <c r="J174" s="532"/>
      <c r="K174" s="514"/>
      <c r="L174" s="535"/>
      <c r="M174" s="538"/>
      <c r="N174" s="543"/>
      <c r="O174" s="544"/>
      <c r="P174" s="485"/>
      <c r="Q174" s="486"/>
      <c r="R174" s="519"/>
      <c r="S174" s="520"/>
      <c r="T174" s="489"/>
      <c r="U174" s="490"/>
      <c r="V174" s="493"/>
      <c r="W174" s="485"/>
      <c r="X174" s="496"/>
      <c r="Y174" s="486"/>
      <c r="Z174" s="499"/>
      <c r="AA174" s="504"/>
      <c r="AB174" s="505"/>
      <c r="AC174" s="476" t="s">
        <v>261</v>
      </c>
      <c r="AD174" s="477"/>
      <c r="AE174" s="478"/>
      <c r="AF174" s="102"/>
      <c r="AG174" s="102"/>
      <c r="AH174" s="102"/>
      <c r="AI174" s="102"/>
      <c r="AJ174" s="102"/>
      <c r="AK174" s="102"/>
      <c r="AL174" s="102"/>
      <c r="AM174" s="102"/>
      <c r="AN174" s="102"/>
      <c r="AO174" s="102"/>
      <c r="AP174" s="102"/>
      <c r="AQ174" s="103"/>
      <c r="AR174" s="105">
        <f t="shared" si="319"/>
        <v>0</v>
      </c>
      <c r="AS174" s="131" t="s">
        <v>161</v>
      </c>
      <c r="AT174" s="132">
        <f t="shared" ref="AT174:AX174" si="320">SUM(AT171:AT173)</f>
        <v>0</v>
      </c>
      <c r="AU174" s="132">
        <f t="shared" si="320"/>
        <v>0</v>
      </c>
      <c r="AV174" s="132">
        <f t="shared" si="320"/>
        <v>0</v>
      </c>
      <c r="AW174" s="133">
        <f t="shared" si="320"/>
        <v>0</v>
      </c>
      <c r="AX174" s="127">
        <f t="shared" si="320"/>
        <v>0</v>
      </c>
      <c r="AY174" s="144" t="s">
        <v>161</v>
      </c>
      <c r="AZ174" s="140">
        <f t="shared" ref="AZ174:BB174" si="321">SUM(AZ171:AZ173)</f>
        <v>0</v>
      </c>
      <c r="BA174" s="140">
        <f t="shared" si="321"/>
        <v>0</v>
      </c>
      <c r="BB174" s="140">
        <f t="shared" si="321"/>
        <v>0</v>
      </c>
      <c r="BC174" s="479" t="s">
        <v>263</v>
      </c>
      <c r="BD174" s="480"/>
      <c r="BE174" s="15"/>
      <c r="BF174" s="18"/>
      <c r="BG174" s="15"/>
      <c r="BH174" s="18"/>
      <c r="BI174" s="15"/>
      <c r="BJ174" s="18"/>
      <c r="BK174" s="15"/>
      <c r="BL174" s="18"/>
      <c r="BM174" s="15"/>
      <c r="BN174" s="18"/>
      <c r="BO174" s="15"/>
      <c r="BP174" s="18"/>
      <c r="BQ174" s="109">
        <f t="shared" si="262"/>
        <v>0</v>
      </c>
      <c r="BR174" s="568"/>
      <c r="BS174" s="573"/>
      <c r="BT174" s="574"/>
      <c r="BU174" s="559"/>
      <c r="BV174" s="562"/>
      <c r="BW174" s="565"/>
      <c r="BX174" s="617"/>
    </row>
    <row r="175" spans="1:76" ht="15.75" thickTop="1" x14ac:dyDescent="0.25">
      <c r="A175" s="585">
        <v>42</v>
      </c>
      <c r="B175" s="588"/>
      <c r="C175" s="589"/>
      <c r="D175" s="604"/>
      <c r="E175" s="515"/>
      <c r="F175" s="516"/>
      <c r="G175" s="521"/>
      <c r="H175" s="522"/>
      <c r="I175" s="527"/>
      <c r="J175" s="528"/>
      <c r="K175" s="512" t="e">
        <f t="shared" ref="K175" si="322">INT(YEARFRAC(I175,AA175))</f>
        <v>#VALUE!</v>
      </c>
      <c r="L175" s="533">
        <f t="shared" ref="L175" ca="1" si="323">INT(YEARFRAC(I175,TODAY()))</f>
        <v>121</v>
      </c>
      <c r="M175" s="536"/>
      <c r="N175" s="539"/>
      <c r="O175" s="540"/>
      <c r="P175" s="481"/>
      <c r="Q175" s="482"/>
      <c r="R175" s="515"/>
      <c r="S175" s="516"/>
      <c r="T175" s="487"/>
      <c r="U175" s="488"/>
      <c r="V175" s="491"/>
      <c r="W175" s="481"/>
      <c r="X175" s="494"/>
      <c r="Y175" s="482"/>
      <c r="Z175" s="497"/>
      <c r="AA175" s="500" t="s">
        <v>283</v>
      </c>
      <c r="AB175" s="501"/>
      <c r="AC175" s="506" t="s">
        <v>257</v>
      </c>
      <c r="AD175" s="507"/>
      <c r="AE175" s="507"/>
      <c r="AF175" s="510"/>
      <c r="AG175" s="510"/>
      <c r="AH175" s="510"/>
      <c r="AI175" s="510"/>
      <c r="AJ175" s="510"/>
      <c r="AK175" s="510"/>
      <c r="AL175" s="510"/>
      <c r="AM175" s="510"/>
      <c r="AN175" s="510"/>
      <c r="AO175" s="510"/>
      <c r="AP175" s="510"/>
      <c r="AQ175" s="465"/>
      <c r="AR175" s="467">
        <f t="shared" ref="AR175" si="324">SUM(AF175:AQ176)</f>
        <v>0</v>
      </c>
      <c r="AS175" s="119" t="s">
        <v>257</v>
      </c>
      <c r="AT175" s="120"/>
      <c r="AU175" s="120"/>
      <c r="AV175" s="120"/>
      <c r="AW175" s="121"/>
      <c r="AX175" s="125">
        <f t="shared" ref="AX175:AX177" si="325">SUM(AT175:AW175)</f>
        <v>0</v>
      </c>
      <c r="AY175" s="141" t="s">
        <v>257</v>
      </c>
      <c r="AZ175" s="137"/>
      <c r="BA175" s="137"/>
      <c r="BB175" s="134">
        <f t="shared" ref="BB175:BB177" si="326">AZ175-BA175</f>
        <v>0</v>
      </c>
      <c r="BC175" s="469" t="s">
        <v>258</v>
      </c>
      <c r="BD175" s="470"/>
      <c r="BE175" s="13"/>
      <c r="BF175" s="16"/>
      <c r="BG175" s="13"/>
      <c r="BH175" s="16"/>
      <c r="BI175" s="13"/>
      <c r="BJ175" s="16"/>
      <c r="BK175" s="13"/>
      <c r="BL175" s="16"/>
      <c r="BM175" s="13"/>
      <c r="BN175" s="16"/>
      <c r="BO175" s="13"/>
      <c r="BP175" s="16"/>
      <c r="BQ175" s="106">
        <f t="shared" si="262"/>
        <v>0</v>
      </c>
      <c r="BR175" s="566"/>
      <c r="BS175" s="569"/>
      <c r="BT175" s="570"/>
      <c r="BU175" s="557"/>
      <c r="BV175" s="560"/>
      <c r="BW175" s="563"/>
      <c r="BX175" s="615"/>
    </row>
    <row r="176" spans="1:76" x14ac:dyDescent="0.25">
      <c r="A176" s="586"/>
      <c r="B176" s="590"/>
      <c r="C176" s="591"/>
      <c r="D176" s="605"/>
      <c r="E176" s="517"/>
      <c r="F176" s="518"/>
      <c r="G176" s="523"/>
      <c r="H176" s="524"/>
      <c r="I176" s="529"/>
      <c r="J176" s="530"/>
      <c r="K176" s="513"/>
      <c r="L176" s="534"/>
      <c r="M176" s="537"/>
      <c r="N176" s="541"/>
      <c r="O176" s="542"/>
      <c r="P176" s="483"/>
      <c r="Q176" s="484"/>
      <c r="R176" s="517"/>
      <c r="S176" s="518"/>
      <c r="T176" s="487"/>
      <c r="U176" s="488"/>
      <c r="V176" s="492"/>
      <c r="W176" s="483"/>
      <c r="X176" s="495"/>
      <c r="Y176" s="484"/>
      <c r="Z176" s="498"/>
      <c r="AA176" s="502"/>
      <c r="AB176" s="503"/>
      <c r="AC176" s="508"/>
      <c r="AD176" s="509"/>
      <c r="AE176" s="509"/>
      <c r="AF176" s="511"/>
      <c r="AG176" s="511"/>
      <c r="AH176" s="511"/>
      <c r="AI176" s="511"/>
      <c r="AJ176" s="511"/>
      <c r="AK176" s="511"/>
      <c r="AL176" s="511"/>
      <c r="AM176" s="511"/>
      <c r="AN176" s="511"/>
      <c r="AO176" s="511"/>
      <c r="AP176" s="511"/>
      <c r="AQ176" s="466"/>
      <c r="AR176" s="468"/>
      <c r="AS176" s="122" t="s">
        <v>259</v>
      </c>
      <c r="AT176" s="123"/>
      <c r="AU176" s="123"/>
      <c r="AV176" s="123"/>
      <c r="AW176" s="124"/>
      <c r="AX176" s="126">
        <f t="shared" si="325"/>
        <v>0</v>
      </c>
      <c r="AY176" s="142" t="s">
        <v>259</v>
      </c>
      <c r="AZ176" s="138"/>
      <c r="BA176" s="138"/>
      <c r="BB176" s="135">
        <f t="shared" si="326"/>
        <v>0</v>
      </c>
      <c r="BC176" s="474" t="s">
        <v>260</v>
      </c>
      <c r="BD176" s="475"/>
      <c r="BE176" s="14"/>
      <c r="BF176" s="17"/>
      <c r="BG176" s="14"/>
      <c r="BH176" s="17"/>
      <c r="BI176" s="14"/>
      <c r="BJ176" s="17"/>
      <c r="BK176" s="14"/>
      <c r="BL176" s="17"/>
      <c r="BM176" s="14"/>
      <c r="BN176" s="17"/>
      <c r="BO176" s="14"/>
      <c r="BP176" s="17"/>
      <c r="BQ176" s="107">
        <f t="shared" si="262"/>
        <v>0</v>
      </c>
      <c r="BR176" s="567"/>
      <c r="BS176" s="571"/>
      <c r="BT176" s="572"/>
      <c r="BU176" s="558"/>
      <c r="BV176" s="561"/>
      <c r="BW176" s="564"/>
      <c r="BX176" s="616"/>
    </row>
    <row r="177" spans="1:76" ht="15.75" thickBot="1" x14ac:dyDescent="0.3">
      <c r="A177" s="586"/>
      <c r="B177" s="590"/>
      <c r="C177" s="591"/>
      <c r="D177" s="605"/>
      <c r="E177" s="517"/>
      <c r="F177" s="518"/>
      <c r="G177" s="523"/>
      <c r="H177" s="524"/>
      <c r="I177" s="529"/>
      <c r="J177" s="530"/>
      <c r="K177" s="513"/>
      <c r="L177" s="534"/>
      <c r="M177" s="537"/>
      <c r="N177" s="541"/>
      <c r="O177" s="542"/>
      <c r="P177" s="483"/>
      <c r="Q177" s="484"/>
      <c r="R177" s="517"/>
      <c r="S177" s="518"/>
      <c r="T177" s="487"/>
      <c r="U177" s="488"/>
      <c r="V177" s="492"/>
      <c r="W177" s="483"/>
      <c r="X177" s="495"/>
      <c r="Y177" s="484"/>
      <c r="Z177" s="498"/>
      <c r="AA177" s="502"/>
      <c r="AB177" s="503"/>
      <c r="AC177" s="471" t="s">
        <v>259</v>
      </c>
      <c r="AD177" s="472"/>
      <c r="AE177" s="473"/>
      <c r="AF177" s="100"/>
      <c r="AG177" s="100"/>
      <c r="AH177" s="100"/>
      <c r="AI177" s="100"/>
      <c r="AJ177" s="100"/>
      <c r="AK177" s="100"/>
      <c r="AL177" s="100"/>
      <c r="AM177" s="100"/>
      <c r="AN177" s="100"/>
      <c r="AO177" s="100"/>
      <c r="AP177" s="100"/>
      <c r="AQ177" s="101"/>
      <c r="AR177" s="104">
        <f t="shared" ref="AR177:AR178" si="327">SUM(AF177:AQ177)</f>
        <v>0</v>
      </c>
      <c r="AS177" s="128" t="s">
        <v>261</v>
      </c>
      <c r="AT177" s="129"/>
      <c r="AU177" s="129"/>
      <c r="AV177" s="129"/>
      <c r="AW177" s="130"/>
      <c r="AX177" s="126">
        <f t="shared" si="325"/>
        <v>0</v>
      </c>
      <c r="AY177" s="143" t="s">
        <v>261</v>
      </c>
      <c r="AZ177" s="139"/>
      <c r="BA177" s="139"/>
      <c r="BB177" s="136">
        <f t="shared" si="326"/>
        <v>0</v>
      </c>
      <c r="BC177" s="474" t="s">
        <v>262</v>
      </c>
      <c r="BD177" s="475"/>
      <c r="BE177" s="14"/>
      <c r="BF177" s="17"/>
      <c r="BG177" s="14"/>
      <c r="BH177" s="17"/>
      <c r="BI177" s="14"/>
      <c r="BJ177" s="17"/>
      <c r="BK177" s="14"/>
      <c r="BL177" s="17"/>
      <c r="BM177" s="14"/>
      <c r="BN177" s="17"/>
      <c r="BO177" s="14"/>
      <c r="BP177" s="17"/>
      <c r="BQ177" s="108">
        <f t="shared" si="262"/>
        <v>0</v>
      </c>
      <c r="BR177" s="567"/>
      <c r="BS177" s="571"/>
      <c r="BT177" s="572"/>
      <c r="BU177" s="558"/>
      <c r="BV177" s="561"/>
      <c r="BW177" s="564"/>
      <c r="BX177" s="616"/>
    </row>
    <row r="178" spans="1:76" ht="15.75" thickBot="1" x14ac:dyDescent="0.3">
      <c r="A178" s="587"/>
      <c r="B178" s="592"/>
      <c r="C178" s="593"/>
      <c r="D178" s="606"/>
      <c r="E178" s="519"/>
      <c r="F178" s="520"/>
      <c r="G178" s="525"/>
      <c r="H178" s="526"/>
      <c r="I178" s="531"/>
      <c r="J178" s="532"/>
      <c r="K178" s="514"/>
      <c r="L178" s="535"/>
      <c r="M178" s="538"/>
      <c r="N178" s="543"/>
      <c r="O178" s="544"/>
      <c r="P178" s="485"/>
      <c r="Q178" s="486"/>
      <c r="R178" s="519"/>
      <c r="S178" s="520"/>
      <c r="T178" s="489"/>
      <c r="U178" s="490"/>
      <c r="V178" s="493"/>
      <c r="W178" s="485"/>
      <c r="X178" s="496"/>
      <c r="Y178" s="486"/>
      <c r="Z178" s="499"/>
      <c r="AA178" s="504"/>
      <c r="AB178" s="505"/>
      <c r="AC178" s="476" t="s">
        <v>261</v>
      </c>
      <c r="AD178" s="477"/>
      <c r="AE178" s="478"/>
      <c r="AF178" s="102"/>
      <c r="AG178" s="102"/>
      <c r="AH178" s="102"/>
      <c r="AI178" s="102"/>
      <c r="AJ178" s="102"/>
      <c r="AK178" s="102"/>
      <c r="AL178" s="102"/>
      <c r="AM178" s="102"/>
      <c r="AN178" s="102"/>
      <c r="AO178" s="102"/>
      <c r="AP178" s="102"/>
      <c r="AQ178" s="103"/>
      <c r="AR178" s="105">
        <f t="shared" si="327"/>
        <v>0</v>
      </c>
      <c r="AS178" s="131" t="s">
        <v>161</v>
      </c>
      <c r="AT178" s="132">
        <f t="shared" ref="AT178:AX178" si="328">SUM(AT175:AT177)</f>
        <v>0</v>
      </c>
      <c r="AU178" s="132">
        <f t="shared" si="328"/>
        <v>0</v>
      </c>
      <c r="AV178" s="132">
        <f t="shared" si="328"/>
        <v>0</v>
      </c>
      <c r="AW178" s="133">
        <f t="shared" si="328"/>
        <v>0</v>
      </c>
      <c r="AX178" s="127">
        <f t="shared" si="328"/>
        <v>0</v>
      </c>
      <c r="AY178" s="144" t="s">
        <v>161</v>
      </c>
      <c r="AZ178" s="140">
        <f t="shared" ref="AZ178:BB178" si="329">SUM(AZ175:AZ177)</f>
        <v>0</v>
      </c>
      <c r="BA178" s="140">
        <f t="shared" si="329"/>
        <v>0</v>
      </c>
      <c r="BB178" s="140">
        <f t="shared" si="329"/>
        <v>0</v>
      </c>
      <c r="BC178" s="479" t="s">
        <v>263</v>
      </c>
      <c r="BD178" s="480"/>
      <c r="BE178" s="15"/>
      <c r="BF178" s="18"/>
      <c r="BG178" s="15"/>
      <c r="BH178" s="18"/>
      <c r="BI178" s="15"/>
      <c r="BJ178" s="18"/>
      <c r="BK178" s="15"/>
      <c r="BL178" s="18"/>
      <c r="BM178" s="15"/>
      <c r="BN178" s="18"/>
      <c r="BO178" s="15"/>
      <c r="BP178" s="18"/>
      <c r="BQ178" s="109">
        <f t="shared" si="262"/>
        <v>0</v>
      </c>
      <c r="BR178" s="568"/>
      <c r="BS178" s="573"/>
      <c r="BT178" s="574"/>
      <c r="BU178" s="559"/>
      <c r="BV178" s="562"/>
      <c r="BW178" s="565"/>
      <c r="BX178" s="617"/>
    </row>
    <row r="179" spans="1:76" ht="15.75" thickTop="1" x14ac:dyDescent="0.25">
      <c r="A179" s="585">
        <v>43</v>
      </c>
      <c r="B179" s="588"/>
      <c r="C179" s="589"/>
      <c r="D179" s="604"/>
      <c r="E179" s="515"/>
      <c r="F179" s="516"/>
      <c r="G179" s="521"/>
      <c r="H179" s="522"/>
      <c r="I179" s="527"/>
      <c r="J179" s="528"/>
      <c r="K179" s="512" t="e">
        <f t="shared" ref="K179" si="330">INT(YEARFRAC(I179,AA179))</f>
        <v>#VALUE!</v>
      </c>
      <c r="L179" s="533">
        <f t="shared" ref="L179" ca="1" si="331">INT(YEARFRAC(I179,TODAY()))</f>
        <v>121</v>
      </c>
      <c r="M179" s="536"/>
      <c r="N179" s="539"/>
      <c r="O179" s="540"/>
      <c r="P179" s="481"/>
      <c r="Q179" s="482"/>
      <c r="R179" s="515"/>
      <c r="S179" s="516"/>
      <c r="T179" s="487"/>
      <c r="U179" s="488"/>
      <c r="V179" s="491"/>
      <c r="W179" s="481"/>
      <c r="X179" s="494"/>
      <c r="Y179" s="482"/>
      <c r="Z179" s="497"/>
      <c r="AA179" s="500" t="s">
        <v>284</v>
      </c>
      <c r="AB179" s="501"/>
      <c r="AC179" s="506" t="s">
        <v>257</v>
      </c>
      <c r="AD179" s="507"/>
      <c r="AE179" s="507"/>
      <c r="AF179" s="510"/>
      <c r="AG179" s="510"/>
      <c r="AH179" s="510"/>
      <c r="AI179" s="510"/>
      <c r="AJ179" s="510"/>
      <c r="AK179" s="510"/>
      <c r="AL179" s="510"/>
      <c r="AM179" s="510"/>
      <c r="AN179" s="510"/>
      <c r="AO179" s="510"/>
      <c r="AP179" s="510"/>
      <c r="AQ179" s="465"/>
      <c r="AR179" s="467">
        <f t="shared" ref="AR179" si="332">SUM(AF179:AQ180)</f>
        <v>0</v>
      </c>
      <c r="AS179" s="119" t="s">
        <v>257</v>
      </c>
      <c r="AT179" s="120"/>
      <c r="AU179" s="120"/>
      <c r="AV179" s="120"/>
      <c r="AW179" s="121"/>
      <c r="AX179" s="125">
        <f t="shared" ref="AX179:AX181" si="333">SUM(AT179:AW179)</f>
        <v>0</v>
      </c>
      <c r="AY179" s="141" t="s">
        <v>257</v>
      </c>
      <c r="AZ179" s="137"/>
      <c r="BA179" s="137"/>
      <c r="BB179" s="134">
        <f t="shared" ref="BB179:BB181" si="334">AZ179-BA179</f>
        <v>0</v>
      </c>
      <c r="BC179" s="469" t="s">
        <v>258</v>
      </c>
      <c r="BD179" s="470"/>
      <c r="BE179" s="13"/>
      <c r="BF179" s="16"/>
      <c r="BG179" s="13"/>
      <c r="BH179" s="16"/>
      <c r="BI179" s="13"/>
      <c r="BJ179" s="16"/>
      <c r="BK179" s="13"/>
      <c r="BL179" s="16"/>
      <c r="BM179" s="13"/>
      <c r="BN179" s="16"/>
      <c r="BO179" s="13"/>
      <c r="BP179" s="16"/>
      <c r="BQ179" s="106">
        <f t="shared" si="262"/>
        <v>0</v>
      </c>
      <c r="BR179" s="566"/>
      <c r="BS179" s="569"/>
      <c r="BT179" s="570"/>
      <c r="BU179" s="557"/>
      <c r="BV179" s="560"/>
      <c r="BW179" s="563"/>
      <c r="BX179" s="615"/>
    </row>
    <row r="180" spans="1:76" x14ac:dyDescent="0.25">
      <c r="A180" s="586"/>
      <c r="B180" s="590"/>
      <c r="C180" s="591"/>
      <c r="D180" s="605"/>
      <c r="E180" s="517"/>
      <c r="F180" s="518"/>
      <c r="G180" s="523"/>
      <c r="H180" s="524"/>
      <c r="I180" s="529"/>
      <c r="J180" s="530"/>
      <c r="K180" s="513"/>
      <c r="L180" s="534"/>
      <c r="M180" s="537"/>
      <c r="N180" s="541"/>
      <c r="O180" s="542"/>
      <c r="P180" s="483"/>
      <c r="Q180" s="484"/>
      <c r="R180" s="517"/>
      <c r="S180" s="518"/>
      <c r="T180" s="487"/>
      <c r="U180" s="488"/>
      <c r="V180" s="492"/>
      <c r="W180" s="483"/>
      <c r="X180" s="495"/>
      <c r="Y180" s="484"/>
      <c r="Z180" s="498"/>
      <c r="AA180" s="502"/>
      <c r="AB180" s="503"/>
      <c r="AC180" s="508"/>
      <c r="AD180" s="509"/>
      <c r="AE180" s="509"/>
      <c r="AF180" s="511"/>
      <c r="AG180" s="511"/>
      <c r="AH180" s="511"/>
      <c r="AI180" s="511"/>
      <c r="AJ180" s="511"/>
      <c r="AK180" s="511"/>
      <c r="AL180" s="511"/>
      <c r="AM180" s="511"/>
      <c r="AN180" s="511"/>
      <c r="AO180" s="511"/>
      <c r="AP180" s="511"/>
      <c r="AQ180" s="466"/>
      <c r="AR180" s="468"/>
      <c r="AS180" s="122" t="s">
        <v>259</v>
      </c>
      <c r="AT180" s="123"/>
      <c r="AU180" s="123"/>
      <c r="AV180" s="123"/>
      <c r="AW180" s="124"/>
      <c r="AX180" s="126">
        <f t="shared" si="333"/>
        <v>0</v>
      </c>
      <c r="AY180" s="142" t="s">
        <v>259</v>
      </c>
      <c r="AZ180" s="138"/>
      <c r="BA180" s="138"/>
      <c r="BB180" s="135">
        <f t="shared" si="334"/>
        <v>0</v>
      </c>
      <c r="BC180" s="474" t="s">
        <v>260</v>
      </c>
      <c r="BD180" s="475"/>
      <c r="BE180" s="14"/>
      <c r="BF180" s="17"/>
      <c r="BG180" s="14"/>
      <c r="BH180" s="17"/>
      <c r="BI180" s="14"/>
      <c r="BJ180" s="17"/>
      <c r="BK180" s="14"/>
      <c r="BL180" s="17"/>
      <c r="BM180" s="14"/>
      <c r="BN180" s="17"/>
      <c r="BO180" s="14"/>
      <c r="BP180" s="17"/>
      <c r="BQ180" s="107">
        <f t="shared" si="262"/>
        <v>0</v>
      </c>
      <c r="BR180" s="567"/>
      <c r="BS180" s="571"/>
      <c r="BT180" s="572"/>
      <c r="BU180" s="558"/>
      <c r="BV180" s="561"/>
      <c r="BW180" s="564"/>
      <c r="BX180" s="616"/>
    </row>
    <row r="181" spans="1:76" ht="15.75" thickBot="1" x14ac:dyDescent="0.3">
      <c r="A181" s="586"/>
      <c r="B181" s="590"/>
      <c r="C181" s="591"/>
      <c r="D181" s="605"/>
      <c r="E181" s="517"/>
      <c r="F181" s="518"/>
      <c r="G181" s="523"/>
      <c r="H181" s="524"/>
      <c r="I181" s="529"/>
      <c r="J181" s="530"/>
      <c r="K181" s="513"/>
      <c r="L181" s="534"/>
      <c r="M181" s="537"/>
      <c r="N181" s="541"/>
      <c r="O181" s="542"/>
      <c r="P181" s="483"/>
      <c r="Q181" s="484"/>
      <c r="R181" s="517"/>
      <c r="S181" s="518"/>
      <c r="T181" s="487"/>
      <c r="U181" s="488"/>
      <c r="V181" s="492"/>
      <c r="W181" s="483"/>
      <c r="X181" s="495"/>
      <c r="Y181" s="484"/>
      <c r="Z181" s="498"/>
      <c r="AA181" s="502"/>
      <c r="AB181" s="503"/>
      <c r="AC181" s="471" t="s">
        <v>259</v>
      </c>
      <c r="AD181" s="472"/>
      <c r="AE181" s="473"/>
      <c r="AF181" s="100"/>
      <c r="AG181" s="100"/>
      <c r="AH181" s="100"/>
      <c r="AI181" s="100"/>
      <c r="AJ181" s="100"/>
      <c r="AK181" s="100"/>
      <c r="AL181" s="100"/>
      <c r="AM181" s="100"/>
      <c r="AN181" s="100"/>
      <c r="AO181" s="100"/>
      <c r="AP181" s="100"/>
      <c r="AQ181" s="101"/>
      <c r="AR181" s="104">
        <f t="shared" ref="AR181:AR182" si="335">SUM(AF181:AQ181)</f>
        <v>0</v>
      </c>
      <c r="AS181" s="128" t="s">
        <v>261</v>
      </c>
      <c r="AT181" s="129"/>
      <c r="AU181" s="129"/>
      <c r="AV181" s="129"/>
      <c r="AW181" s="130"/>
      <c r="AX181" s="126">
        <f t="shared" si="333"/>
        <v>0</v>
      </c>
      <c r="AY181" s="143" t="s">
        <v>261</v>
      </c>
      <c r="AZ181" s="139"/>
      <c r="BA181" s="139"/>
      <c r="BB181" s="136">
        <f t="shared" si="334"/>
        <v>0</v>
      </c>
      <c r="BC181" s="474" t="s">
        <v>262</v>
      </c>
      <c r="BD181" s="475"/>
      <c r="BE181" s="14"/>
      <c r="BF181" s="17"/>
      <c r="BG181" s="14"/>
      <c r="BH181" s="17"/>
      <c r="BI181" s="14"/>
      <c r="BJ181" s="17"/>
      <c r="BK181" s="14"/>
      <c r="BL181" s="17"/>
      <c r="BM181" s="14"/>
      <c r="BN181" s="17"/>
      <c r="BO181" s="14"/>
      <c r="BP181" s="17"/>
      <c r="BQ181" s="108">
        <f t="shared" si="262"/>
        <v>0</v>
      </c>
      <c r="BR181" s="567"/>
      <c r="BS181" s="571"/>
      <c r="BT181" s="572"/>
      <c r="BU181" s="558"/>
      <c r="BV181" s="561"/>
      <c r="BW181" s="564"/>
      <c r="BX181" s="616"/>
    </row>
    <row r="182" spans="1:76" ht="15.75" thickBot="1" x14ac:dyDescent="0.3">
      <c r="A182" s="587"/>
      <c r="B182" s="592"/>
      <c r="C182" s="593"/>
      <c r="D182" s="606"/>
      <c r="E182" s="519"/>
      <c r="F182" s="520"/>
      <c r="G182" s="525"/>
      <c r="H182" s="526"/>
      <c r="I182" s="531"/>
      <c r="J182" s="532"/>
      <c r="K182" s="514"/>
      <c r="L182" s="535"/>
      <c r="M182" s="538"/>
      <c r="N182" s="543"/>
      <c r="O182" s="544"/>
      <c r="P182" s="485"/>
      <c r="Q182" s="486"/>
      <c r="R182" s="519"/>
      <c r="S182" s="520"/>
      <c r="T182" s="489"/>
      <c r="U182" s="490"/>
      <c r="V182" s="493"/>
      <c r="W182" s="485"/>
      <c r="X182" s="496"/>
      <c r="Y182" s="486"/>
      <c r="Z182" s="499"/>
      <c r="AA182" s="504"/>
      <c r="AB182" s="505"/>
      <c r="AC182" s="476" t="s">
        <v>261</v>
      </c>
      <c r="AD182" s="477"/>
      <c r="AE182" s="478"/>
      <c r="AF182" s="102"/>
      <c r="AG182" s="102"/>
      <c r="AH182" s="102"/>
      <c r="AI182" s="102"/>
      <c r="AJ182" s="102"/>
      <c r="AK182" s="102"/>
      <c r="AL182" s="102"/>
      <c r="AM182" s="102"/>
      <c r="AN182" s="102"/>
      <c r="AO182" s="102"/>
      <c r="AP182" s="102"/>
      <c r="AQ182" s="103"/>
      <c r="AR182" s="105">
        <f t="shared" si="335"/>
        <v>0</v>
      </c>
      <c r="AS182" s="131" t="s">
        <v>161</v>
      </c>
      <c r="AT182" s="132">
        <f t="shared" ref="AT182:AX182" si="336">SUM(AT179:AT181)</f>
        <v>0</v>
      </c>
      <c r="AU182" s="132">
        <f t="shared" si="336"/>
        <v>0</v>
      </c>
      <c r="AV182" s="132">
        <f t="shared" si="336"/>
        <v>0</v>
      </c>
      <c r="AW182" s="133">
        <f t="shared" si="336"/>
        <v>0</v>
      </c>
      <c r="AX182" s="127">
        <f t="shared" si="336"/>
        <v>0</v>
      </c>
      <c r="AY182" s="144" t="s">
        <v>161</v>
      </c>
      <c r="AZ182" s="140">
        <f t="shared" ref="AZ182:BB182" si="337">SUM(AZ179:AZ181)</f>
        <v>0</v>
      </c>
      <c r="BA182" s="140">
        <f t="shared" si="337"/>
        <v>0</v>
      </c>
      <c r="BB182" s="140">
        <f t="shared" si="337"/>
        <v>0</v>
      </c>
      <c r="BC182" s="479" t="s">
        <v>263</v>
      </c>
      <c r="BD182" s="480"/>
      <c r="BE182" s="15"/>
      <c r="BF182" s="18"/>
      <c r="BG182" s="15"/>
      <c r="BH182" s="18"/>
      <c r="BI182" s="15"/>
      <c r="BJ182" s="18"/>
      <c r="BK182" s="15"/>
      <c r="BL182" s="18"/>
      <c r="BM182" s="15"/>
      <c r="BN182" s="18"/>
      <c r="BO182" s="15"/>
      <c r="BP182" s="18"/>
      <c r="BQ182" s="109">
        <f t="shared" si="262"/>
        <v>0</v>
      </c>
      <c r="BR182" s="568"/>
      <c r="BS182" s="573"/>
      <c r="BT182" s="574"/>
      <c r="BU182" s="559"/>
      <c r="BV182" s="562"/>
      <c r="BW182" s="565"/>
      <c r="BX182" s="617"/>
    </row>
    <row r="183" spans="1:76" ht="15.75" thickTop="1" x14ac:dyDescent="0.25">
      <c r="A183" s="585">
        <v>44</v>
      </c>
      <c r="B183" s="588"/>
      <c r="C183" s="589"/>
      <c r="D183" s="604"/>
      <c r="E183" s="515"/>
      <c r="F183" s="516"/>
      <c r="G183" s="521"/>
      <c r="H183" s="522"/>
      <c r="I183" s="527"/>
      <c r="J183" s="528"/>
      <c r="K183" s="512" t="e">
        <f t="shared" ref="K183" si="338">INT(YEARFRAC(I183,AA183))</f>
        <v>#VALUE!</v>
      </c>
      <c r="L183" s="533">
        <f t="shared" ref="L183" ca="1" si="339">INT(YEARFRAC(I183,TODAY()))</f>
        <v>121</v>
      </c>
      <c r="M183" s="536"/>
      <c r="N183" s="539"/>
      <c r="O183" s="540"/>
      <c r="P183" s="481"/>
      <c r="Q183" s="482"/>
      <c r="R183" s="515"/>
      <c r="S183" s="516"/>
      <c r="T183" s="487"/>
      <c r="U183" s="488"/>
      <c r="V183" s="491"/>
      <c r="W183" s="481"/>
      <c r="X183" s="494"/>
      <c r="Y183" s="482"/>
      <c r="Z183" s="497"/>
      <c r="AA183" s="500" t="s">
        <v>285</v>
      </c>
      <c r="AB183" s="501"/>
      <c r="AC183" s="506" t="s">
        <v>257</v>
      </c>
      <c r="AD183" s="507"/>
      <c r="AE183" s="507"/>
      <c r="AF183" s="510"/>
      <c r="AG183" s="510"/>
      <c r="AH183" s="510"/>
      <c r="AI183" s="510"/>
      <c r="AJ183" s="510"/>
      <c r="AK183" s="510"/>
      <c r="AL183" s="510"/>
      <c r="AM183" s="510"/>
      <c r="AN183" s="510"/>
      <c r="AO183" s="510"/>
      <c r="AP183" s="510"/>
      <c r="AQ183" s="465"/>
      <c r="AR183" s="467">
        <f t="shared" ref="AR183" si="340">SUM(AF183:AQ184)</f>
        <v>0</v>
      </c>
      <c r="AS183" s="119" t="s">
        <v>257</v>
      </c>
      <c r="AT183" s="120"/>
      <c r="AU183" s="120"/>
      <c r="AV183" s="120"/>
      <c r="AW183" s="121"/>
      <c r="AX183" s="125">
        <f t="shared" ref="AX183:AX185" si="341">SUM(AT183:AW183)</f>
        <v>0</v>
      </c>
      <c r="AY183" s="141" t="s">
        <v>257</v>
      </c>
      <c r="AZ183" s="137"/>
      <c r="BA183" s="137"/>
      <c r="BB183" s="134">
        <f t="shared" ref="BB183:BB185" si="342">AZ183-BA183</f>
        <v>0</v>
      </c>
      <c r="BC183" s="469" t="s">
        <v>258</v>
      </c>
      <c r="BD183" s="470"/>
      <c r="BE183" s="13"/>
      <c r="BF183" s="16"/>
      <c r="BG183" s="13"/>
      <c r="BH183" s="16"/>
      <c r="BI183" s="13"/>
      <c r="BJ183" s="16"/>
      <c r="BK183" s="13"/>
      <c r="BL183" s="16"/>
      <c r="BM183" s="13"/>
      <c r="BN183" s="16"/>
      <c r="BO183" s="13"/>
      <c r="BP183" s="16"/>
      <c r="BQ183" s="106">
        <f t="shared" si="262"/>
        <v>0</v>
      </c>
      <c r="BR183" s="566"/>
      <c r="BS183" s="569"/>
      <c r="BT183" s="570"/>
      <c r="BU183" s="557"/>
      <c r="BV183" s="560"/>
      <c r="BW183" s="563"/>
      <c r="BX183" s="615"/>
    </row>
    <row r="184" spans="1:76" x14ac:dyDescent="0.25">
      <c r="A184" s="586"/>
      <c r="B184" s="590"/>
      <c r="C184" s="591"/>
      <c r="D184" s="605"/>
      <c r="E184" s="517"/>
      <c r="F184" s="518"/>
      <c r="G184" s="523"/>
      <c r="H184" s="524"/>
      <c r="I184" s="529"/>
      <c r="J184" s="530"/>
      <c r="K184" s="513"/>
      <c r="L184" s="534"/>
      <c r="M184" s="537"/>
      <c r="N184" s="541"/>
      <c r="O184" s="542"/>
      <c r="P184" s="483"/>
      <c r="Q184" s="484"/>
      <c r="R184" s="517"/>
      <c r="S184" s="518"/>
      <c r="T184" s="487"/>
      <c r="U184" s="488"/>
      <c r="V184" s="492"/>
      <c r="W184" s="483"/>
      <c r="X184" s="495"/>
      <c r="Y184" s="484"/>
      <c r="Z184" s="498"/>
      <c r="AA184" s="502"/>
      <c r="AB184" s="503"/>
      <c r="AC184" s="508"/>
      <c r="AD184" s="509"/>
      <c r="AE184" s="509"/>
      <c r="AF184" s="511"/>
      <c r="AG184" s="511"/>
      <c r="AH184" s="511"/>
      <c r="AI184" s="511"/>
      <c r="AJ184" s="511"/>
      <c r="AK184" s="511"/>
      <c r="AL184" s="511"/>
      <c r="AM184" s="511"/>
      <c r="AN184" s="511"/>
      <c r="AO184" s="511"/>
      <c r="AP184" s="511"/>
      <c r="AQ184" s="466"/>
      <c r="AR184" s="468"/>
      <c r="AS184" s="122" t="s">
        <v>259</v>
      </c>
      <c r="AT184" s="123"/>
      <c r="AU184" s="123"/>
      <c r="AV184" s="123"/>
      <c r="AW184" s="124"/>
      <c r="AX184" s="126">
        <f t="shared" si="341"/>
        <v>0</v>
      </c>
      <c r="AY184" s="142" t="s">
        <v>259</v>
      </c>
      <c r="AZ184" s="138"/>
      <c r="BA184" s="138"/>
      <c r="BB184" s="135">
        <f t="shared" si="342"/>
        <v>0</v>
      </c>
      <c r="BC184" s="474" t="s">
        <v>260</v>
      </c>
      <c r="BD184" s="475"/>
      <c r="BE184" s="14"/>
      <c r="BF184" s="17"/>
      <c r="BG184" s="14"/>
      <c r="BH184" s="17"/>
      <c r="BI184" s="14"/>
      <c r="BJ184" s="17"/>
      <c r="BK184" s="14"/>
      <c r="BL184" s="17"/>
      <c r="BM184" s="14"/>
      <c r="BN184" s="17"/>
      <c r="BO184" s="14"/>
      <c r="BP184" s="17"/>
      <c r="BQ184" s="107">
        <f t="shared" si="262"/>
        <v>0</v>
      </c>
      <c r="BR184" s="567"/>
      <c r="BS184" s="571"/>
      <c r="BT184" s="572"/>
      <c r="BU184" s="558"/>
      <c r="BV184" s="561"/>
      <c r="BW184" s="564"/>
      <c r="BX184" s="616"/>
    </row>
    <row r="185" spans="1:76" ht="15.75" thickBot="1" x14ac:dyDescent="0.3">
      <c r="A185" s="586"/>
      <c r="B185" s="590"/>
      <c r="C185" s="591"/>
      <c r="D185" s="605"/>
      <c r="E185" s="517"/>
      <c r="F185" s="518"/>
      <c r="G185" s="523"/>
      <c r="H185" s="524"/>
      <c r="I185" s="529"/>
      <c r="J185" s="530"/>
      <c r="K185" s="513"/>
      <c r="L185" s="534"/>
      <c r="M185" s="537"/>
      <c r="N185" s="541"/>
      <c r="O185" s="542"/>
      <c r="P185" s="483"/>
      <c r="Q185" s="484"/>
      <c r="R185" s="517"/>
      <c r="S185" s="518"/>
      <c r="T185" s="487"/>
      <c r="U185" s="488"/>
      <c r="V185" s="492"/>
      <c r="W185" s="483"/>
      <c r="X185" s="495"/>
      <c r="Y185" s="484"/>
      <c r="Z185" s="498"/>
      <c r="AA185" s="502"/>
      <c r="AB185" s="503"/>
      <c r="AC185" s="471" t="s">
        <v>259</v>
      </c>
      <c r="AD185" s="472"/>
      <c r="AE185" s="473"/>
      <c r="AF185" s="100"/>
      <c r="AG185" s="100"/>
      <c r="AH185" s="100"/>
      <c r="AI185" s="100"/>
      <c r="AJ185" s="100"/>
      <c r="AK185" s="100"/>
      <c r="AL185" s="100"/>
      <c r="AM185" s="100"/>
      <c r="AN185" s="100"/>
      <c r="AO185" s="100"/>
      <c r="AP185" s="100"/>
      <c r="AQ185" s="101"/>
      <c r="AR185" s="104">
        <f t="shared" ref="AR185:AR186" si="343">SUM(AF185:AQ185)</f>
        <v>0</v>
      </c>
      <c r="AS185" s="128" t="s">
        <v>261</v>
      </c>
      <c r="AT185" s="129"/>
      <c r="AU185" s="129"/>
      <c r="AV185" s="129"/>
      <c r="AW185" s="130"/>
      <c r="AX185" s="126">
        <f t="shared" si="341"/>
        <v>0</v>
      </c>
      <c r="AY185" s="143" t="s">
        <v>261</v>
      </c>
      <c r="AZ185" s="139"/>
      <c r="BA185" s="139"/>
      <c r="BB185" s="136">
        <f t="shared" si="342"/>
        <v>0</v>
      </c>
      <c r="BC185" s="474" t="s">
        <v>262</v>
      </c>
      <c r="BD185" s="475"/>
      <c r="BE185" s="14"/>
      <c r="BF185" s="17"/>
      <c r="BG185" s="14"/>
      <c r="BH185" s="17"/>
      <c r="BI185" s="14"/>
      <c r="BJ185" s="17"/>
      <c r="BK185" s="14"/>
      <c r="BL185" s="17"/>
      <c r="BM185" s="14"/>
      <c r="BN185" s="17"/>
      <c r="BO185" s="14"/>
      <c r="BP185" s="17"/>
      <c r="BQ185" s="108">
        <f t="shared" si="262"/>
        <v>0</v>
      </c>
      <c r="BR185" s="567"/>
      <c r="BS185" s="571"/>
      <c r="BT185" s="572"/>
      <c r="BU185" s="558"/>
      <c r="BV185" s="561"/>
      <c r="BW185" s="564"/>
      <c r="BX185" s="616"/>
    </row>
    <row r="186" spans="1:76" ht="15.75" thickBot="1" x14ac:dyDescent="0.3">
      <c r="A186" s="587"/>
      <c r="B186" s="592"/>
      <c r="C186" s="593"/>
      <c r="D186" s="606"/>
      <c r="E186" s="519"/>
      <c r="F186" s="520"/>
      <c r="G186" s="525"/>
      <c r="H186" s="526"/>
      <c r="I186" s="531"/>
      <c r="J186" s="532"/>
      <c r="K186" s="514"/>
      <c r="L186" s="535"/>
      <c r="M186" s="538"/>
      <c r="N186" s="543"/>
      <c r="O186" s="544"/>
      <c r="P186" s="485"/>
      <c r="Q186" s="486"/>
      <c r="R186" s="519"/>
      <c r="S186" s="520"/>
      <c r="T186" s="489"/>
      <c r="U186" s="490"/>
      <c r="V186" s="493"/>
      <c r="W186" s="485"/>
      <c r="X186" s="496"/>
      <c r="Y186" s="486"/>
      <c r="Z186" s="499"/>
      <c r="AA186" s="504"/>
      <c r="AB186" s="505"/>
      <c r="AC186" s="476" t="s">
        <v>261</v>
      </c>
      <c r="AD186" s="477"/>
      <c r="AE186" s="478"/>
      <c r="AF186" s="102"/>
      <c r="AG186" s="102"/>
      <c r="AH186" s="102"/>
      <c r="AI186" s="102"/>
      <c r="AJ186" s="102"/>
      <c r="AK186" s="102"/>
      <c r="AL186" s="102"/>
      <c r="AM186" s="102"/>
      <c r="AN186" s="102"/>
      <c r="AO186" s="102"/>
      <c r="AP186" s="102"/>
      <c r="AQ186" s="103"/>
      <c r="AR186" s="105">
        <f t="shared" si="343"/>
        <v>0</v>
      </c>
      <c r="AS186" s="131" t="s">
        <v>161</v>
      </c>
      <c r="AT186" s="132">
        <f t="shared" ref="AT186:AX186" si="344">SUM(AT183:AT185)</f>
        <v>0</v>
      </c>
      <c r="AU186" s="132">
        <f t="shared" si="344"/>
        <v>0</v>
      </c>
      <c r="AV186" s="132">
        <f t="shared" si="344"/>
        <v>0</v>
      </c>
      <c r="AW186" s="133">
        <f t="shared" si="344"/>
        <v>0</v>
      </c>
      <c r="AX186" s="127">
        <f t="shared" si="344"/>
        <v>0</v>
      </c>
      <c r="AY186" s="144" t="s">
        <v>161</v>
      </c>
      <c r="AZ186" s="140">
        <f t="shared" ref="AZ186:BB186" si="345">SUM(AZ183:AZ185)</f>
        <v>0</v>
      </c>
      <c r="BA186" s="140">
        <f t="shared" si="345"/>
        <v>0</v>
      </c>
      <c r="BB186" s="140">
        <f t="shared" si="345"/>
        <v>0</v>
      </c>
      <c r="BC186" s="479" t="s">
        <v>263</v>
      </c>
      <c r="BD186" s="480"/>
      <c r="BE186" s="15"/>
      <c r="BF186" s="18"/>
      <c r="BG186" s="15"/>
      <c r="BH186" s="18"/>
      <c r="BI186" s="15"/>
      <c r="BJ186" s="18"/>
      <c r="BK186" s="15"/>
      <c r="BL186" s="18"/>
      <c r="BM186" s="15"/>
      <c r="BN186" s="18"/>
      <c r="BO186" s="15"/>
      <c r="BP186" s="18"/>
      <c r="BQ186" s="109">
        <f t="shared" si="262"/>
        <v>0</v>
      </c>
      <c r="BR186" s="568"/>
      <c r="BS186" s="573"/>
      <c r="BT186" s="574"/>
      <c r="BU186" s="559"/>
      <c r="BV186" s="562"/>
      <c r="BW186" s="565"/>
      <c r="BX186" s="617"/>
    </row>
    <row r="187" spans="1:76" ht="15.75" thickTop="1" x14ac:dyDescent="0.25">
      <c r="A187" s="585">
        <v>45</v>
      </c>
      <c r="B187" s="588"/>
      <c r="C187" s="589"/>
      <c r="D187" s="604"/>
      <c r="E187" s="515"/>
      <c r="F187" s="516"/>
      <c r="G187" s="521"/>
      <c r="H187" s="522"/>
      <c r="I187" s="527"/>
      <c r="J187" s="528"/>
      <c r="K187" s="512" t="e">
        <f t="shared" ref="K187" si="346">INT(YEARFRAC(I187,AA187))</f>
        <v>#VALUE!</v>
      </c>
      <c r="L187" s="533">
        <f t="shared" ref="L187" ca="1" si="347">INT(YEARFRAC(I187,TODAY()))</f>
        <v>121</v>
      </c>
      <c r="M187" s="536"/>
      <c r="N187" s="539"/>
      <c r="O187" s="540"/>
      <c r="P187" s="481"/>
      <c r="Q187" s="482"/>
      <c r="R187" s="515"/>
      <c r="S187" s="516"/>
      <c r="T187" s="487"/>
      <c r="U187" s="488"/>
      <c r="V187" s="491"/>
      <c r="W187" s="481"/>
      <c r="X187" s="494"/>
      <c r="Y187" s="482"/>
      <c r="Z187" s="497"/>
      <c r="AA187" s="500" t="s">
        <v>286</v>
      </c>
      <c r="AB187" s="501"/>
      <c r="AC187" s="506" t="s">
        <v>257</v>
      </c>
      <c r="AD187" s="507"/>
      <c r="AE187" s="507"/>
      <c r="AF187" s="510"/>
      <c r="AG187" s="510"/>
      <c r="AH187" s="510"/>
      <c r="AI187" s="510"/>
      <c r="AJ187" s="510"/>
      <c r="AK187" s="510"/>
      <c r="AL187" s="510"/>
      <c r="AM187" s="510"/>
      <c r="AN187" s="510"/>
      <c r="AO187" s="510"/>
      <c r="AP187" s="510"/>
      <c r="AQ187" s="465"/>
      <c r="AR187" s="467">
        <f t="shared" ref="AR187" si="348">SUM(AF187:AQ188)</f>
        <v>0</v>
      </c>
      <c r="AS187" s="119" t="s">
        <v>257</v>
      </c>
      <c r="AT187" s="120"/>
      <c r="AU187" s="120"/>
      <c r="AV187" s="120"/>
      <c r="AW187" s="121"/>
      <c r="AX187" s="125">
        <f t="shared" ref="AX187:AX189" si="349">SUM(AT187:AW187)</f>
        <v>0</v>
      </c>
      <c r="AY187" s="141" t="s">
        <v>257</v>
      </c>
      <c r="AZ187" s="137"/>
      <c r="BA187" s="137"/>
      <c r="BB187" s="134">
        <f t="shared" ref="BB187:BB189" si="350">AZ187-BA187</f>
        <v>0</v>
      </c>
      <c r="BC187" s="469" t="s">
        <v>258</v>
      </c>
      <c r="BD187" s="470"/>
      <c r="BE187" s="13"/>
      <c r="BF187" s="16"/>
      <c r="BG187" s="13"/>
      <c r="BH187" s="16"/>
      <c r="BI187" s="13"/>
      <c r="BJ187" s="16"/>
      <c r="BK187" s="13"/>
      <c r="BL187" s="16"/>
      <c r="BM187" s="13"/>
      <c r="BN187" s="16"/>
      <c r="BO187" s="13"/>
      <c r="BP187" s="16"/>
      <c r="BQ187" s="106">
        <f t="shared" si="262"/>
        <v>0</v>
      </c>
      <c r="BR187" s="566"/>
      <c r="BS187" s="569"/>
      <c r="BT187" s="570"/>
      <c r="BU187" s="557"/>
      <c r="BV187" s="560"/>
      <c r="BW187" s="563"/>
      <c r="BX187" s="615"/>
    </row>
    <row r="188" spans="1:76" x14ac:dyDescent="0.25">
      <c r="A188" s="586"/>
      <c r="B188" s="590"/>
      <c r="C188" s="591"/>
      <c r="D188" s="605"/>
      <c r="E188" s="517"/>
      <c r="F188" s="518"/>
      <c r="G188" s="523"/>
      <c r="H188" s="524"/>
      <c r="I188" s="529"/>
      <c r="J188" s="530"/>
      <c r="K188" s="513"/>
      <c r="L188" s="534"/>
      <c r="M188" s="537"/>
      <c r="N188" s="541"/>
      <c r="O188" s="542"/>
      <c r="P188" s="483"/>
      <c r="Q188" s="484"/>
      <c r="R188" s="517"/>
      <c r="S188" s="518"/>
      <c r="T188" s="487"/>
      <c r="U188" s="488"/>
      <c r="V188" s="492"/>
      <c r="W188" s="483"/>
      <c r="X188" s="495"/>
      <c r="Y188" s="484"/>
      <c r="Z188" s="498"/>
      <c r="AA188" s="502"/>
      <c r="AB188" s="503"/>
      <c r="AC188" s="508"/>
      <c r="AD188" s="509"/>
      <c r="AE188" s="509"/>
      <c r="AF188" s="511"/>
      <c r="AG188" s="511"/>
      <c r="AH188" s="511"/>
      <c r="AI188" s="511"/>
      <c r="AJ188" s="511"/>
      <c r="AK188" s="511"/>
      <c r="AL188" s="511"/>
      <c r="AM188" s="511"/>
      <c r="AN188" s="511"/>
      <c r="AO188" s="511"/>
      <c r="AP188" s="511"/>
      <c r="AQ188" s="466"/>
      <c r="AR188" s="468"/>
      <c r="AS188" s="122" t="s">
        <v>259</v>
      </c>
      <c r="AT188" s="123"/>
      <c r="AU188" s="123"/>
      <c r="AV188" s="123"/>
      <c r="AW188" s="124"/>
      <c r="AX188" s="126">
        <f t="shared" si="349"/>
        <v>0</v>
      </c>
      <c r="AY188" s="142" t="s">
        <v>259</v>
      </c>
      <c r="AZ188" s="138"/>
      <c r="BA188" s="138"/>
      <c r="BB188" s="135">
        <f t="shared" si="350"/>
        <v>0</v>
      </c>
      <c r="BC188" s="474" t="s">
        <v>260</v>
      </c>
      <c r="BD188" s="475"/>
      <c r="BE188" s="14"/>
      <c r="BF188" s="17"/>
      <c r="BG188" s="14"/>
      <c r="BH188" s="17"/>
      <c r="BI188" s="14"/>
      <c r="BJ188" s="17"/>
      <c r="BK188" s="14"/>
      <c r="BL188" s="17"/>
      <c r="BM188" s="14"/>
      <c r="BN188" s="17"/>
      <c r="BO188" s="14"/>
      <c r="BP188" s="17"/>
      <c r="BQ188" s="107">
        <f t="shared" si="262"/>
        <v>0</v>
      </c>
      <c r="BR188" s="567"/>
      <c r="BS188" s="571"/>
      <c r="BT188" s="572"/>
      <c r="BU188" s="558"/>
      <c r="BV188" s="561"/>
      <c r="BW188" s="564"/>
      <c r="BX188" s="616"/>
    </row>
    <row r="189" spans="1:76" ht="15.75" thickBot="1" x14ac:dyDescent="0.3">
      <c r="A189" s="586"/>
      <c r="B189" s="590"/>
      <c r="C189" s="591"/>
      <c r="D189" s="605"/>
      <c r="E189" s="517"/>
      <c r="F189" s="518"/>
      <c r="G189" s="523"/>
      <c r="H189" s="524"/>
      <c r="I189" s="529"/>
      <c r="J189" s="530"/>
      <c r="K189" s="513"/>
      <c r="L189" s="534"/>
      <c r="M189" s="537"/>
      <c r="N189" s="541"/>
      <c r="O189" s="542"/>
      <c r="P189" s="483"/>
      <c r="Q189" s="484"/>
      <c r="R189" s="517"/>
      <c r="S189" s="518"/>
      <c r="T189" s="487"/>
      <c r="U189" s="488"/>
      <c r="V189" s="492"/>
      <c r="W189" s="483"/>
      <c r="X189" s="495"/>
      <c r="Y189" s="484"/>
      <c r="Z189" s="498"/>
      <c r="AA189" s="502"/>
      <c r="AB189" s="503"/>
      <c r="AC189" s="471" t="s">
        <v>259</v>
      </c>
      <c r="AD189" s="472"/>
      <c r="AE189" s="473"/>
      <c r="AF189" s="100"/>
      <c r="AG189" s="100"/>
      <c r="AH189" s="100"/>
      <c r="AI189" s="100"/>
      <c r="AJ189" s="100"/>
      <c r="AK189" s="100"/>
      <c r="AL189" s="100"/>
      <c r="AM189" s="100"/>
      <c r="AN189" s="100"/>
      <c r="AO189" s="100"/>
      <c r="AP189" s="100"/>
      <c r="AQ189" s="101"/>
      <c r="AR189" s="104">
        <f t="shared" ref="AR189:AR190" si="351">SUM(AF189:AQ189)</f>
        <v>0</v>
      </c>
      <c r="AS189" s="128" t="s">
        <v>261</v>
      </c>
      <c r="AT189" s="129"/>
      <c r="AU189" s="129"/>
      <c r="AV189" s="129"/>
      <c r="AW189" s="130"/>
      <c r="AX189" s="126">
        <f t="shared" si="349"/>
        <v>0</v>
      </c>
      <c r="AY189" s="143" t="s">
        <v>261</v>
      </c>
      <c r="AZ189" s="139"/>
      <c r="BA189" s="139"/>
      <c r="BB189" s="136">
        <f t="shared" si="350"/>
        <v>0</v>
      </c>
      <c r="BC189" s="474" t="s">
        <v>262</v>
      </c>
      <c r="BD189" s="475"/>
      <c r="BE189" s="14"/>
      <c r="BF189" s="17"/>
      <c r="BG189" s="14"/>
      <c r="BH189" s="17"/>
      <c r="BI189" s="14"/>
      <c r="BJ189" s="17"/>
      <c r="BK189" s="14"/>
      <c r="BL189" s="17"/>
      <c r="BM189" s="14"/>
      <c r="BN189" s="17"/>
      <c r="BO189" s="14"/>
      <c r="BP189" s="17"/>
      <c r="BQ189" s="108">
        <f t="shared" si="262"/>
        <v>0</v>
      </c>
      <c r="BR189" s="567"/>
      <c r="BS189" s="571"/>
      <c r="BT189" s="572"/>
      <c r="BU189" s="558"/>
      <c r="BV189" s="561"/>
      <c r="BW189" s="564"/>
      <c r="BX189" s="616"/>
    </row>
    <row r="190" spans="1:76" ht="15.75" thickBot="1" x14ac:dyDescent="0.3">
      <c r="A190" s="587"/>
      <c r="B190" s="592"/>
      <c r="C190" s="593"/>
      <c r="D190" s="606"/>
      <c r="E190" s="519"/>
      <c r="F190" s="520"/>
      <c r="G190" s="525"/>
      <c r="H190" s="526"/>
      <c r="I190" s="531"/>
      <c r="J190" s="532"/>
      <c r="K190" s="514"/>
      <c r="L190" s="535"/>
      <c r="M190" s="538"/>
      <c r="N190" s="543"/>
      <c r="O190" s="544"/>
      <c r="P190" s="485"/>
      <c r="Q190" s="486"/>
      <c r="R190" s="519"/>
      <c r="S190" s="520"/>
      <c r="T190" s="489"/>
      <c r="U190" s="490"/>
      <c r="V190" s="493"/>
      <c r="W190" s="485"/>
      <c r="X190" s="496"/>
      <c r="Y190" s="486"/>
      <c r="Z190" s="499"/>
      <c r="AA190" s="504"/>
      <c r="AB190" s="505"/>
      <c r="AC190" s="476" t="s">
        <v>261</v>
      </c>
      <c r="AD190" s="477"/>
      <c r="AE190" s="478"/>
      <c r="AF190" s="102"/>
      <c r="AG190" s="102"/>
      <c r="AH190" s="102"/>
      <c r="AI190" s="102"/>
      <c r="AJ190" s="102"/>
      <c r="AK190" s="102"/>
      <c r="AL190" s="102"/>
      <c r="AM190" s="102"/>
      <c r="AN190" s="102"/>
      <c r="AO190" s="102"/>
      <c r="AP190" s="102"/>
      <c r="AQ190" s="103"/>
      <c r="AR190" s="105">
        <f t="shared" si="351"/>
        <v>0</v>
      </c>
      <c r="AS190" s="131" t="s">
        <v>161</v>
      </c>
      <c r="AT190" s="132">
        <f t="shared" ref="AT190:AX190" si="352">SUM(AT187:AT189)</f>
        <v>0</v>
      </c>
      <c r="AU190" s="132">
        <f t="shared" si="352"/>
        <v>0</v>
      </c>
      <c r="AV190" s="132">
        <f t="shared" si="352"/>
        <v>0</v>
      </c>
      <c r="AW190" s="133">
        <f t="shared" si="352"/>
        <v>0</v>
      </c>
      <c r="AX190" s="127">
        <f t="shared" si="352"/>
        <v>0</v>
      </c>
      <c r="AY190" s="144" t="s">
        <v>161</v>
      </c>
      <c r="AZ190" s="140">
        <f t="shared" ref="AZ190:BB190" si="353">SUM(AZ187:AZ189)</f>
        <v>0</v>
      </c>
      <c r="BA190" s="140">
        <f t="shared" si="353"/>
        <v>0</v>
      </c>
      <c r="BB190" s="140">
        <f t="shared" si="353"/>
        <v>0</v>
      </c>
      <c r="BC190" s="479" t="s">
        <v>263</v>
      </c>
      <c r="BD190" s="480"/>
      <c r="BE190" s="15"/>
      <c r="BF190" s="18"/>
      <c r="BG190" s="15"/>
      <c r="BH190" s="18"/>
      <c r="BI190" s="15"/>
      <c r="BJ190" s="18"/>
      <c r="BK190" s="15"/>
      <c r="BL190" s="18"/>
      <c r="BM190" s="15"/>
      <c r="BN190" s="18"/>
      <c r="BO190" s="15"/>
      <c r="BP190" s="18"/>
      <c r="BQ190" s="109">
        <f t="shared" si="262"/>
        <v>0</v>
      </c>
      <c r="BR190" s="568"/>
      <c r="BS190" s="573"/>
      <c r="BT190" s="574"/>
      <c r="BU190" s="559"/>
      <c r="BV190" s="562"/>
      <c r="BW190" s="565"/>
      <c r="BX190" s="617"/>
    </row>
    <row r="191" spans="1:76" ht="15.75" thickTop="1" x14ac:dyDescent="0.25">
      <c r="A191" s="585">
        <v>46</v>
      </c>
      <c r="B191" s="588"/>
      <c r="C191" s="589"/>
      <c r="D191" s="604"/>
      <c r="E191" s="515"/>
      <c r="F191" s="516"/>
      <c r="G191" s="521"/>
      <c r="H191" s="522"/>
      <c r="I191" s="527"/>
      <c r="J191" s="528"/>
      <c r="K191" s="512" t="e">
        <f t="shared" ref="K191" si="354">INT(YEARFRAC(I191,AA191))</f>
        <v>#VALUE!</v>
      </c>
      <c r="L191" s="533">
        <f t="shared" ref="L191" ca="1" si="355">INT(YEARFRAC(I191,TODAY()))</f>
        <v>121</v>
      </c>
      <c r="M191" s="536"/>
      <c r="N191" s="539"/>
      <c r="O191" s="540"/>
      <c r="P191" s="481"/>
      <c r="Q191" s="482"/>
      <c r="R191" s="515"/>
      <c r="S191" s="516"/>
      <c r="T191" s="487"/>
      <c r="U191" s="488"/>
      <c r="V191" s="491"/>
      <c r="W191" s="481"/>
      <c r="X191" s="494"/>
      <c r="Y191" s="482"/>
      <c r="Z191" s="497"/>
      <c r="AA191" s="500" t="s">
        <v>287</v>
      </c>
      <c r="AB191" s="501"/>
      <c r="AC191" s="506" t="s">
        <v>257</v>
      </c>
      <c r="AD191" s="507"/>
      <c r="AE191" s="507"/>
      <c r="AF191" s="510"/>
      <c r="AG191" s="510"/>
      <c r="AH191" s="510"/>
      <c r="AI191" s="510"/>
      <c r="AJ191" s="510"/>
      <c r="AK191" s="510"/>
      <c r="AL191" s="510"/>
      <c r="AM191" s="510"/>
      <c r="AN191" s="510"/>
      <c r="AO191" s="510"/>
      <c r="AP191" s="510"/>
      <c r="AQ191" s="465"/>
      <c r="AR191" s="467">
        <f t="shared" ref="AR191" si="356">SUM(AF191:AQ192)</f>
        <v>0</v>
      </c>
      <c r="AS191" s="119" t="s">
        <v>257</v>
      </c>
      <c r="AT191" s="120"/>
      <c r="AU191" s="120"/>
      <c r="AV191" s="120"/>
      <c r="AW191" s="121"/>
      <c r="AX191" s="125">
        <f t="shared" ref="AX191:AX193" si="357">SUM(AT191:AW191)</f>
        <v>0</v>
      </c>
      <c r="AY191" s="141" t="s">
        <v>257</v>
      </c>
      <c r="AZ191" s="137"/>
      <c r="BA191" s="137"/>
      <c r="BB191" s="134">
        <f t="shared" ref="BB191:BB193" si="358">AZ191-BA191</f>
        <v>0</v>
      </c>
      <c r="BC191" s="469" t="s">
        <v>258</v>
      </c>
      <c r="BD191" s="470"/>
      <c r="BE191" s="13"/>
      <c r="BF191" s="16"/>
      <c r="BG191" s="13"/>
      <c r="BH191" s="16"/>
      <c r="BI191" s="13"/>
      <c r="BJ191" s="16"/>
      <c r="BK191" s="13"/>
      <c r="BL191" s="16"/>
      <c r="BM191" s="13"/>
      <c r="BN191" s="16"/>
      <c r="BO191" s="13"/>
      <c r="BP191" s="16"/>
      <c r="BQ191" s="106">
        <f t="shared" si="262"/>
        <v>0</v>
      </c>
      <c r="BR191" s="566"/>
      <c r="BS191" s="569"/>
      <c r="BT191" s="570"/>
      <c r="BU191" s="557"/>
      <c r="BV191" s="560"/>
      <c r="BW191" s="563"/>
      <c r="BX191" s="615"/>
    </row>
    <row r="192" spans="1:76" x14ac:dyDescent="0.25">
      <c r="A192" s="586"/>
      <c r="B192" s="590"/>
      <c r="C192" s="591"/>
      <c r="D192" s="605"/>
      <c r="E192" s="517"/>
      <c r="F192" s="518"/>
      <c r="G192" s="523"/>
      <c r="H192" s="524"/>
      <c r="I192" s="529"/>
      <c r="J192" s="530"/>
      <c r="K192" s="513"/>
      <c r="L192" s="534"/>
      <c r="M192" s="537"/>
      <c r="N192" s="541"/>
      <c r="O192" s="542"/>
      <c r="P192" s="483"/>
      <c r="Q192" s="484"/>
      <c r="R192" s="517"/>
      <c r="S192" s="518"/>
      <c r="T192" s="487"/>
      <c r="U192" s="488"/>
      <c r="V192" s="492"/>
      <c r="W192" s="483"/>
      <c r="X192" s="495"/>
      <c r="Y192" s="484"/>
      <c r="Z192" s="498"/>
      <c r="AA192" s="502"/>
      <c r="AB192" s="503"/>
      <c r="AC192" s="508"/>
      <c r="AD192" s="509"/>
      <c r="AE192" s="509"/>
      <c r="AF192" s="511"/>
      <c r="AG192" s="511"/>
      <c r="AH192" s="511"/>
      <c r="AI192" s="511"/>
      <c r="AJ192" s="511"/>
      <c r="AK192" s="511"/>
      <c r="AL192" s="511"/>
      <c r="AM192" s="511"/>
      <c r="AN192" s="511"/>
      <c r="AO192" s="511"/>
      <c r="AP192" s="511"/>
      <c r="AQ192" s="466"/>
      <c r="AR192" s="468"/>
      <c r="AS192" s="122" t="s">
        <v>259</v>
      </c>
      <c r="AT192" s="123"/>
      <c r="AU192" s="123"/>
      <c r="AV192" s="123"/>
      <c r="AW192" s="124"/>
      <c r="AX192" s="126">
        <f t="shared" si="357"/>
        <v>0</v>
      </c>
      <c r="AY192" s="142" t="s">
        <v>259</v>
      </c>
      <c r="AZ192" s="138"/>
      <c r="BA192" s="138"/>
      <c r="BB192" s="135">
        <f t="shared" si="358"/>
        <v>0</v>
      </c>
      <c r="BC192" s="474" t="s">
        <v>260</v>
      </c>
      <c r="BD192" s="475"/>
      <c r="BE192" s="14"/>
      <c r="BF192" s="17"/>
      <c r="BG192" s="14"/>
      <c r="BH192" s="17"/>
      <c r="BI192" s="14"/>
      <c r="BJ192" s="17"/>
      <c r="BK192" s="14"/>
      <c r="BL192" s="17"/>
      <c r="BM192" s="14"/>
      <c r="BN192" s="17"/>
      <c r="BO192" s="14"/>
      <c r="BP192" s="17"/>
      <c r="BQ192" s="107">
        <f t="shared" si="262"/>
        <v>0</v>
      </c>
      <c r="BR192" s="567"/>
      <c r="BS192" s="571"/>
      <c r="BT192" s="572"/>
      <c r="BU192" s="558"/>
      <c r="BV192" s="561"/>
      <c r="BW192" s="564"/>
      <c r="BX192" s="616"/>
    </row>
    <row r="193" spans="1:76" ht="15.75" thickBot="1" x14ac:dyDescent="0.3">
      <c r="A193" s="586"/>
      <c r="B193" s="590"/>
      <c r="C193" s="591"/>
      <c r="D193" s="605"/>
      <c r="E193" s="517"/>
      <c r="F193" s="518"/>
      <c r="G193" s="523"/>
      <c r="H193" s="524"/>
      <c r="I193" s="529"/>
      <c r="J193" s="530"/>
      <c r="K193" s="513"/>
      <c r="L193" s="534"/>
      <c r="M193" s="537"/>
      <c r="N193" s="541"/>
      <c r="O193" s="542"/>
      <c r="P193" s="483"/>
      <c r="Q193" s="484"/>
      <c r="R193" s="517"/>
      <c r="S193" s="518"/>
      <c r="T193" s="487"/>
      <c r="U193" s="488"/>
      <c r="V193" s="492"/>
      <c r="W193" s="483"/>
      <c r="X193" s="495"/>
      <c r="Y193" s="484"/>
      <c r="Z193" s="498"/>
      <c r="AA193" s="502"/>
      <c r="AB193" s="503"/>
      <c r="AC193" s="471" t="s">
        <v>259</v>
      </c>
      <c r="AD193" s="472"/>
      <c r="AE193" s="473"/>
      <c r="AF193" s="100"/>
      <c r="AG193" s="100"/>
      <c r="AH193" s="100"/>
      <c r="AI193" s="100"/>
      <c r="AJ193" s="100"/>
      <c r="AK193" s="100"/>
      <c r="AL193" s="100"/>
      <c r="AM193" s="100"/>
      <c r="AN193" s="100"/>
      <c r="AO193" s="100"/>
      <c r="AP193" s="100"/>
      <c r="AQ193" s="101"/>
      <c r="AR193" s="104">
        <f t="shared" ref="AR193:AR194" si="359">SUM(AF193:AQ193)</f>
        <v>0</v>
      </c>
      <c r="AS193" s="128" t="s">
        <v>261</v>
      </c>
      <c r="AT193" s="129"/>
      <c r="AU193" s="129"/>
      <c r="AV193" s="129"/>
      <c r="AW193" s="130"/>
      <c r="AX193" s="126">
        <f t="shared" si="357"/>
        <v>0</v>
      </c>
      <c r="AY193" s="143" t="s">
        <v>261</v>
      </c>
      <c r="AZ193" s="139"/>
      <c r="BA193" s="139"/>
      <c r="BB193" s="136">
        <f t="shared" si="358"/>
        <v>0</v>
      </c>
      <c r="BC193" s="474" t="s">
        <v>262</v>
      </c>
      <c r="BD193" s="475"/>
      <c r="BE193" s="14"/>
      <c r="BF193" s="17"/>
      <c r="BG193" s="14"/>
      <c r="BH193" s="17"/>
      <c r="BI193" s="14"/>
      <c r="BJ193" s="17"/>
      <c r="BK193" s="14"/>
      <c r="BL193" s="17"/>
      <c r="BM193" s="14"/>
      <c r="BN193" s="17"/>
      <c r="BO193" s="14"/>
      <c r="BP193" s="17"/>
      <c r="BQ193" s="108">
        <f t="shared" si="262"/>
        <v>0</v>
      </c>
      <c r="BR193" s="567"/>
      <c r="BS193" s="571"/>
      <c r="BT193" s="572"/>
      <c r="BU193" s="558"/>
      <c r="BV193" s="561"/>
      <c r="BW193" s="564"/>
      <c r="BX193" s="616"/>
    </row>
    <row r="194" spans="1:76" ht="15.75" thickBot="1" x14ac:dyDescent="0.3">
      <c r="A194" s="587"/>
      <c r="B194" s="592"/>
      <c r="C194" s="593"/>
      <c r="D194" s="606"/>
      <c r="E194" s="519"/>
      <c r="F194" s="520"/>
      <c r="G194" s="525"/>
      <c r="H194" s="526"/>
      <c r="I194" s="531"/>
      <c r="J194" s="532"/>
      <c r="K194" s="514"/>
      <c r="L194" s="535"/>
      <c r="M194" s="538"/>
      <c r="N194" s="543"/>
      <c r="O194" s="544"/>
      <c r="P194" s="485"/>
      <c r="Q194" s="486"/>
      <c r="R194" s="519"/>
      <c r="S194" s="520"/>
      <c r="T194" s="489"/>
      <c r="U194" s="490"/>
      <c r="V194" s="493"/>
      <c r="W194" s="485"/>
      <c r="X194" s="496"/>
      <c r="Y194" s="486"/>
      <c r="Z194" s="499"/>
      <c r="AA194" s="504"/>
      <c r="AB194" s="505"/>
      <c r="AC194" s="476" t="s">
        <v>261</v>
      </c>
      <c r="AD194" s="477"/>
      <c r="AE194" s="478"/>
      <c r="AF194" s="102"/>
      <c r="AG194" s="102"/>
      <c r="AH194" s="102"/>
      <c r="AI194" s="102"/>
      <c r="AJ194" s="102"/>
      <c r="AK194" s="102"/>
      <c r="AL194" s="102"/>
      <c r="AM194" s="102"/>
      <c r="AN194" s="102"/>
      <c r="AO194" s="102"/>
      <c r="AP194" s="102"/>
      <c r="AQ194" s="103"/>
      <c r="AR194" s="105">
        <f t="shared" si="359"/>
        <v>0</v>
      </c>
      <c r="AS194" s="131" t="s">
        <v>161</v>
      </c>
      <c r="AT194" s="132">
        <f t="shared" ref="AT194:AX194" si="360">SUM(AT191:AT193)</f>
        <v>0</v>
      </c>
      <c r="AU194" s="132">
        <f t="shared" si="360"/>
        <v>0</v>
      </c>
      <c r="AV194" s="132">
        <f t="shared" si="360"/>
        <v>0</v>
      </c>
      <c r="AW194" s="133">
        <f t="shared" si="360"/>
        <v>0</v>
      </c>
      <c r="AX194" s="127">
        <f t="shared" si="360"/>
        <v>0</v>
      </c>
      <c r="AY194" s="144" t="s">
        <v>161</v>
      </c>
      <c r="AZ194" s="140">
        <f t="shared" ref="AZ194:BB194" si="361">SUM(AZ191:AZ193)</f>
        <v>0</v>
      </c>
      <c r="BA194" s="140">
        <f t="shared" si="361"/>
        <v>0</v>
      </c>
      <c r="BB194" s="140">
        <f t="shared" si="361"/>
        <v>0</v>
      </c>
      <c r="BC194" s="479" t="s">
        <v>263</v>
      </c>
      <c r="BD194" s="480"/>
      <c r="BE194" s="15"/>
      <c r="BF194" s="18"/>
      <c r="BG194" s="15"/>
      <c r="BH194" s="18"/>
      <c r="BI194" s="15"/>
      <c r="BJ194" s="18"/>
      <c r="BK194" s="15"/>
      <c r="BL194" s="18"/>
      <c r="BM194" s="15"/>
      <c r="BN194" s="18"/>
      <c r="BO194" s="15"/>
      <c r="BP194" s="18"/>
      <c r="BQ194" s="109">
        <f t="shared" si="262"/>
        <v>0</v>
      </c>
      <c r="BR194" s="568"/>
      <c r="BS194" s="573"/>
      <c r="BT194" s="574"/>
      <c r="BU194" s="559"/>
      <c r="BV194" s="562"/>
      <c r="BW194" s="565"/>
      <c r="BX194" s="617"/>
    </row>
    <row r="195" spans="1:76" ht="15.75" thickTop="1" x14ac:dyDescent="0.25">
      <c r="A195" s="585">
        <v>47</v>
      </c>
      <c r="B195" s="588"/>
      <c r="C195" s="589"/>
      <c r="D195" s="604"/>
      <c r="E195" s="515"/>
      <c r="F195" s="516"/>
      <c r="G195" s="521"/>
      <c r="H195" s="522"/>
      <c r="I195" s="527"/>
      <c r="J195" s="528"/>
      <c r="K195" s="512" t="e">
        <f t="shared" ref="K195" si="362">INT(YEARFRAC(I195,AA195))</f>
        <v>#VALUE!</v>
      </c>
      <c r="L195" s="533">
        <f t="shared" ref="L195" ca="1" si="363">INT(YEARFRAC(I195,TODAY()))</f>
        <v>121</v>
      </c>
      <c r="M195" s="536"/>
      <c r="N195" s="539"/>
      <c r="O195" s="540"/>
      <c r="P195" s="481"/>
      <c r="Q195" s="482"/>
      <c r="R195" s="515"/>
      <c r="S195" s="516"/>
      <c r="T195" s="487"/>
      <c r="U195" s="488"/>
      <c r="V195" s="491"/>
      <c r="W195" s="481"/>
      <c r="X195" s="494"/>
      <c r="Y195" s="482"/>
      <c r="Z195" s="497"/>
      <c r="AA195" s="500" t="s">
        <v>288</v>
      </c>
      <c r="AB195" s="501"/>
      <c r="AC195" s="506" t="s">
        <v>257</v>
      </c>
      <c r="AD195" s="507"/>
      <c r="AE195" s="507"/>
      <c r="AF195" s="510"/>
      <c r="AG195" s="510"/>
      <c r="AH195" s="510"/>
      <c r="AI195" s="510"/>
      <c r="AJ195" s="510"/>
      <c r="AK195" s="510"/>
      <c r="AL195" s="510"/>
      <c r="AM195" s="510"/>
      <c r="AN195" s="510"/>
      <c r="AO195" s="510"/>
      <c r="AP195" s="510"/>
      <c r="AQ195" s="465"/>
      <c r="AR195" s="467">
        <f t="shared" ref="AR195" si="364">SUM(AF195:AQ196)</f>
        <v>0</v>
      </c>
      <c r="AS195" s="119" t="s">
        <v>257</v>
      </c>
      <c r="AT195" s="120"/>
      <c r="AU195" s="120"/>
      <c r="AV195" s="120"/>
      <c r="AW195" s="121"/>
      <c r="AX195" s="125">
        <f t="shared" ref="AX195:AX197" si="365">SUM(AT195:AW195)</f>
        <v>0</v>
      </c>
      <c r="AY195" s="141" t="s">
        <v>257</v>
      </c>
      <c r="AZ195" s="137"/>
      <c r="BA195" s="137"/>
      <c r="BB195" s="134">
        <f t="shared" ref="BB195:BB197" si="366">AZ195-BA195</f>
        <v>0</v>
      </c>
      <c r="BC195" s="469" t="s">
        <v>258</v>
      </c>
      <c r="BD195" s="470"/>
      <c r="BE195" s="13"/>
      <c r="BF195" s="16"/>
      <c r="BG195" s="13"/>
      <c r="BH195" s="16"/>
      <c r="BI195" s="13"/>
      <c r="BJ195" s="16"/>
      <c r="BK195" s="13"/>
      <c r="BL195" s="16"/>
      <c r="BM195" s="13"/>
      <c r="BN195" s="16"/>
      <c r="BO195" s="13"/>
      <c r="BP195" s="16"/>
      <c r="BQ195" s="106">
        <f t="shared" si="262"/>
        <v>0</v>
      </c>
      <c r="BR195" s="566"/>
      <c r="BS195" s="569"/>
      <c r="BT195" s="570"/>
      <c r="BU195" s="557"/>
      <c r="BV195" s="560"/>
      <c r="BW195" s="563"/>
      <c r="BX195" s="615"/>
    </row>
    <row r="196" spans="1:76" x14ac:dyDescent="0.25">
      <c r="A196" s="586"/>
      <c r="B196" s="590"/>
      <c r="C196" s="591"/>
      <c r="D196" s="605"/>
      <c r="E196" s="517"/>
      <c r="F196" s="518"/>
      <c r="G196" s="523"/>
      <c r="H196" s="524"/>
      <c r="I196" s="529"/>
      <c r="J196" s="530"/>
      <c r="K196" s="513"/>
      <c r="L196" s="534"/>
      <c r="M196" s="537"/>
      <c r="N196" s="541"/>
      <c r="O196" s="542"/>
      <c r="P196" s="483"/>
      <c r="Q196" s="484"/>
      <c r="R196" s="517"/>
      <c r="S196" s="518"/>
      <c r="T196" s="487"/>
      <c r="U196" s="488"/>
      <c r="V196" s="492"/>
      <c r="W196" s="483"/>
      <c r="X196" s="495"/>
      <c r="Y196" s="484"/>
      <c r="Z196" s="498"/>
      <c r="AA196" s="502"/>
      <c r="AB196" s="503"/>
      <c r="AC196" s="508"/>
      <c r="AD196" s="509"/>
      <c r="AE196" s="509"/>
      <c r="AF196" s="511"/>
      <c r="AG196" s="511"/>
      <c r="AH196" s="511"/>
      <c r="AI196" s="511"/>
      <c r="AJ196" s="511"/>
      <c r="AK196" s="511"/>
      <c r="AL196" s="511"/>
      <c r="AM196" s="511"/>
      <c r="AN196" s="511"/>
      <c r="AO196" s="511"/>
      <c r="AP196" s="511"/>
      <c r="AQ196" s="466"/>
      <c r="AR196" s="468"/>
      <c r="AS196" s="122" t="s">
        <v>259</v>
      </c>
      <c r="AT196" s="123"/>
      <c r="AU196" s="123"/>
      <c r="AV196" s="123"/>
      <c r="AW196" s="124"/>
      <c r="AX196" s="126">
        <f t="shared" si="365"/>
        <v>0</v>
      </c>
      <c r="AY196" s="142" t="s">
        <v>259</v>
      </c>
      <c r="AZ196" s="138"/>
      <c r="BA196" s="138"/>
      <c r="BB196" s="135">
        <f t="shared" si="366"/>
        <v>0</v>
      </c>
      <c r="BC196" s="474" t="s">
        <v>260</v>
      </c>
      <c r="BD196" s="475"/>
      <c r="BE196" s="14"/>
      <c r="BF196" s="17"/>
      <c r="BG196" s="14"/>
      <c r="BH196" s="17"/>
      <c r="BI196" s="14"/>
      <c r="BJ196" s="17"/>
      <c r="BK196" s="14"/>
      <c r="BL196" s="17"/>
      <c r="BM196" s="14"/>
      <c r="BN196" s="17"/>
      <c r="BO196" s="14"/>
      <c r="BP196" s="17"/>
      <c r="BQ196" s="107">
        <f t="shared" si="262"/>
        <v>0</v>
      </c>
      <c r="BR196" s="567"/>
      <c r="BS196" s="571"/>
      <c r="BT196" s="572"/>
      <c r="BU196" s="558"/>
      <c r="BV196" s="561"/>
      <c r="BW196" s="564"/>
      <c r="BX196" s="616"/>
    </row>
    <row r="197" spans="1:76" ht="15.75" thickBot="1" x14ac:dyDescent="0.3">
      <c r="A197" s="586"/>
      <c r="B197" s="590"/>
      <c r="C197" s="591"/>
      <c r="D197" s="605"/>
      <c r="E197" s="517"/>
      <c r="F197" s="518"/>
      <c r="G197" s="523"/>
      <c r="H197" s="524"/>
      <c r="I197" s="529"/>
      <c r="J197" s="530"/>
      <c r="K197" s="513"/>
      <c r="L197" s="534"/>
      <c r="M197" s="537"/>
      <c r="N197" s="541"/>
      <c r="O197" s="542"/>
      <c r="P197" s="483"/>
      <c r="Q197" s="484"/>
      <c r="R197" s="517"/>
      <c r="S197" s="518"/>
      <c r="T197" s="487"/>
      <c r="U197" s="488"/>
      <c r="V197" s="492"/>
      <c r="W197" s="483"/>
      <c r="X197" s="495"/>
      <c r="Y197" s="484"/>
      <c r="Z197" s="498"/>
      <c r="AA197" s="502"/>
      <c r="AB197" s="503"/>
      <c r="AC197" s="471" t="s">
        <v>259</v>
      </c>
      <c r="AD197" s="472"/>
      <c r="AE197" s="473"/>
      <c r="AF197" s="100"/>
      <c r="AG197" s="100"/>
      <c r="AH197" s="100"/>
      <c r="AI197" s="100"/>
      <c r="AJ197" s="100"/>
      <c r="AK197" s="100"/>
      <c r="AL197" s="100"/>
      <c r="AM197" s="100"/>
      <c r="AN197" s="100"/>
      <c r="AO197" s="100"/>
      <c r="AP197" s="100"/>
      <c r="AQ197" s="101"/>
      <c r="AR197" s="104">
        <f t="shared" ref="AR197:AR198" si="367">SUM(AF197:AQ197)</f>
        <v>0</v>
      </c>
      <c r="AS197" s="128" t="s">
        <v>261</v>
      </c>
      <c r="AT197" s="129"/>
      <c r="AU197" s="129"/>
      <c r="AV197" s="129"/>
      <c r="AW197" s="130"/>
      <c r="AX197" s="126">
        <f t="shared" si="365"/>
        <v>0</v>
      </c>
      <c r="AY197" s="143" t="s">
        <v>261</v>
      </c>
      <c r="AZ197" s="139"/>
      <c r="BA197" s="139"/>
      <c r="BB197" s="136">
        <f t="shared" si="366"/>
        <v>0</v>
      </c>
      <c r="BC197" s="474" t="s">
        <v>262</v>
      </c>
      <c r="BD197" s="475"/>
      <c r="BE197" s="14"/>
      <c r="BF197" s="17"/>
      <c r="BG197" s="14"/>
      <c r="BH197" s="17"/>
      <c r="BI197" s="14"/>
      <c r="BJ197" s="17"/>
      <c r="BK197" s="14"/>
      <c r="BL197" s="17"/>
      <c r="BM197" s="14"/>
      <c r="BN197" s="17"/>
      <c r="BO197" s="14"/>
      <c r="BP197" s="17"/>
      <c r="BQ197" s="108">
        <f t="shared" si="262"/>
        <v>0</v>
      </c>
      <c r="BR197" s="567"/>
      <c r="BS197" s="571"/>
      <c r="BT197" s="572"/>
      <c r="BU197" s="558"/>
      <c r="BV197" s="561"/>
      <c r="BW197" s="564"/>
      <c r="BX197" s="616"/>
    </row>
    <row r="198" spans="1:76" ht="15.75" thickBot="1" x14ac:dyDescent="0.3">
      <c r="A198" s="587"/>
      <c r="B198" s="592"/>
      <c r="C198" s="593"/>
      <c r="D198" s="606"/>
      <c r="E198" s="519"/>
      <c r="F198" s="520"/>
      <c r="G198" s="525"/>
      <c r="H198" s="526"/>
      <c r="I198" s="531"/>
      <c r="J198" s="532"/>
      <c r="K198" s="514"/>
      <c r="L198" s="535"/>
      <c r="M198" s="538"/>
      <c r="N198" s="543"/>
      <c r="O198" s="544"/>
      <c r="P198" s="485"/>
      <c r="Q198" s="486"/>
      <c r="R198" s="519"/>
      <c r="S198" s="520"/>
      <c r="T198" s="489"/>
      <c r="U198" s="490"/>
      <c r="V198" s="493"/>
      <c r="W198" s="485"/>
      <c r="X198" s="496"/>
      <c r="Y198" s="486"/>
      <c r="Z198" s="499"/>
      <c r="AA198" s="504"/>
      <c r="AB198" s="505"/>
      <c r="AC198" s="476" t="s">
        <v>261</v>
      </c>
      <c r="AD198" s="477"/>
      <c r="AE198" s="478"/>
      <c r="AF198" s="102"/>
      <c r="AG198" s="102"/>
      <c r="AH198" s="102"/>
      <c r="AI198" s="102"/>
      <c r="AJ198" s="102"/>
      <c r="AK198" s="102"/>
      <c r="AL198" s="102"/>
      <c r="AM198" s="102"/>
      <c r="AN198" s="102"/>
      <c r="AO198" s="102"/>
      <c r="AP198" s="102"/>
      <c r="AQ198" s="103"/>
      <c r="AR198" s="105">
        <f t="shared" si="367"/>
        <v>0</v>
      </c>
      <c r="AS198" s="131" t="s">
        <v>161</v>
      </c>
      <c r="AT198" s="132">
        <f t="shared" ref="AT198:AX198" si="368">SUM(AT195:AT197)</f>
        <v>0</v>
      </c>
      <c r="AU198" s="132">
        <f t="shared" si="368"/>
        <v>0</v>
      </c>
      <c r="AV198" s="132">
        <f t="shared" si="368"/>
        <v>0</v>
      </c>
      <c r="AW198" s="133">
        <f t="shared" si="368"/>
        <v>0</v>
      </c>
      <c r="AX198" s="127">
        <f t="shared" si="368"/>
        <v>0</v>
      </c>
      <c r="AY198" s="144" t="s">
        <v>161</v>
      </c>
      <c r="AZ198" s="140">
        <f t="shared" ref="AZ198:BB198" si="369">SUM(AZ195:AZ197)</f>
        <v>0</v>
      </c>
      <c r="BA198" s="140">
        <f t="shared" si="369"/>
        <v>0</v>
      </c>
      <c r="BB198" s="140">
        <f t="shared" si="369"/>
        <v>0</v>
      </c>
      <c r="BC198" s="479" t="s">
        <v>263</v>
      </c>
      <c r="BD198" s="480"/>
      <c r="BE198" s="15"/>
      <c r="BF198" s="18"/>
      <c r="BG198" s="15"/>
      <c r="BH198" s="18"/>
      <c r="BI198" s="15"/>
      <c r="BJ198" s="18"/>
      <c r="BK198" s="15"/>
      <c r="BL198" s="18"/>
      <c r="BM198" s="15"/>
      <c r="BN198" s="18"/>
      <c r="BO198" s="15"/>
      <c r="BP198" s="18"/>
      <c r="BQ198" s="109">
        <f t="shared" si="262"/>
        <v>0</v>
      </c>
      <c r="BR198" s="568"/>
      <c r="BS198" s="573"/>
      <c r="BT198" s="574"/>
      <c r="BU198" s="559"/>
      <c r="BV198" s="562"/>
      <c r="BW198" s="565"/>
      <c r="BX198" s="617"/>
    </row>
    <row r="199" spans="1:76" ht="15.75" thickTop="1" x14ac:dyDescent="0.25">
      <c r="A199" s="585">
        <v>48</v>
      </c>
      <c r="B199" s="588"/>
      <c r="C199" s="589"/>
      <c r="D199" s="604"/>
      <c r="E199" s="515"/>
      <c r="F199" s="516"/>
      <c r="G199" s="521"/>
      <c r="H199" s="522"/>
      <c r="I199" s="527"/>
      <c r="J199" s="528"/>
      <c r="K199" s="512" t="e">
        <f t="shared" ref="K199" si="370">INT(YEARFRAC(I199,AA199))</f>
        <v>#VALUE!</v>
      </c>
      <c r="L199" s="533">
        <f t="shared" ref="L199" ca="1" si="371">INT(YEARFRAC(I199,TODAY()))</f>
        <v>121</v>
      </c>
      <c r="M199" s="536"/>
      <c r="N199" s="539"/>
      <c r="O199" s="540"/>
      <c r="P199" s="481"/>
      <c r="Q199" s="482"/>
      <c r="R199" s="515"/>
      <c r="S199" s="516"/>
      <c r="T199" s="487"/>
      <c r="U199" s="488"/>
      <c r="V199" s="491"/>
      <c r="W199" s="481"/>
      <c r="X199" s="494"/>
      <c r="Y199" s="482"/>
      <c r="Z199" s="497"/>
      <c r="AA199" s="500" t="s">
        <v>289</v>
      </c>
      <c r="AB199" s="501"/>
      <c r="AC199" s="506" t="s">
        <v>257</v>
      </c>
      <c r="AD199" s="507"/>
      <c r="AE199" s="507"/>
      <c r="AF199" s="510"/>
      <c r="AG199" s="510"/>
      <c r="AH199" s="510"/>
      <c r="AI199" s="510"/>
      <c r="AJ199" s="510"/>
      <c r="AK199" s="510"/>
      <c r="AL199" s="510"/>
      <c r="AM199" s="510"/>
      <c r="AN199" s="510"/>
      <c r="AO199" s="510"/>
      <c r="AP199" s="510"/>
      <c r="AQ199" s="465"/>
      <c r="AR199" s="467">
        <f t="shared" ref="AR199" si="372">SUM(AF199:AQ200)</f>
        <v>0</v>
      </c>
      <c r="AS199" s="119" t="s">
        <v>257</v>
      </c>
      <c r="AT199" s="120"/>
      <c r="AU199" s="120"/>
      <c r="AV199" s="120"/>
      <c r="AW199" s="121"/>
      <c r="AX199" s="125">
        <f t="shared" ref="AX199:AX201" si="373">SUM(AT199:AW199)</f>
        <v>0</v>
      </c>
      <c r="AY199" s="141" t="s">
        <v>257</v>
      </c>
      <c r="AZ199" s="137"/>
      <c r="BA199" s="137"/>
      <c r="BB199" s="134">
        <f t="shared" ref="BB199:BB201" si="374">AZ199-BA199</f>
        <v>0</v>
      </c>
      <c r="BC199" s="469" t="s">
        <v>258</v>
      </c>
      <c r="BD199" s="470"/>
      <c r="BE199" s="13"/>
      <c r="BF199" s="16"/>
      <c r="BG199" s="13"/>
      <c r="BH199" s="16"/>
      <c r="BI199" s="13"/>
      <c r="BJ199" s="16"/>
      <c r="BK199" s="13"/>
      <c r="BL199" s="16"/>
      <c r="BM199" s="13"/>
      <c r="BN199" s="16"/>
      <c r="BO199" s="13"/>
      <c r="BP199" s="16"/>
      <c r="BQ199" s="106">
        <f t="shared" si="262"/>
        <v>0</v>
      </c>
      <c r="BR199" s="566"/>
      <c r="BS199" s="569"/>
      <c r="BT199" s="570"/>
      <c r="BU199" s="557"/>
      <c r="BV199" s="560"/>
      <c r="BW199" s="563"/>
      <c r="BX199" s="615"/>
    </row>
    <row r="200" spans="1:76" x14ac:dyDescent="0.25">
      <c r="A200" s="586"/>
      <c r="B200" s="590"/>
      <c r="C200" s="591"/>
      <c r="D200" s="605"/>
      <c r="E200" s="517"/>
      <c r="F200" s="518"/>
      <c r="G200" s="523"/>
      <c r="H200" s="524"/>
      <c r="I200" s="529"/>
      <c r="J200" s="530"/>
      <c r="K200" s="513"/>
      <c r="L200" s="534"/>
      <c r="M200" s="537"/>
      <c r="N200" s="541"/>
      <c r="O200" s="542"/>
      <c r="P200" s="483"/>
      <c r="Q200" s="484"/>
      <c r="R200" s="517"/>
      <c r="S200" s="518"/>
      <c r="T200" s="487"/>
      <c r="U200" s="488"/>
      <c r="V200" s="492"/>
      <c r="W200" s="483"/>
      <c r="X200" s="495"/>
      <c r="Y200" s="484"/>
      <c r="Z200" s="498"/>
      <c r="AA200" s="502"/>
      <c r="AB200" s="503"/>
      <c r="AC200" s="508"/>
      <c r="AD200" s="509"/>
      <c r="AE200" s="509"/>
      <c r="AF200" s="511"/>
      <c r="AG200" s="511"/>
      <c r="AH200" s="511"/>
      <c r="AI200" s="511"/>
      <c r="AJ200" s="511"/>
      <c r="AK200" s="511"/>
      <c r="AL200" s="511"/>
      <c r="AM200" s="511"/>
      <c r="AN200" s="511"/>
      <c r="AO200" s="511"/>
      <c r="AP200" s="511"/>
      <c r="AQ200" s="466"/>
      <c r="AR200" s="468"/>
      <c r="AS200" s="122" t="s">
        <v>259</v>
      </c>
      <c r="AT200" s="123"/>
      <c r="AU200" s="123"/>
      <c r="AV200" s="123"/>
      <c r="AW200" s="124"/>
      <c r="AX200" s="126">
        <f t="shared" si="373"/>
        <v>0</v>
      </c>
      <c r="AY200" s="142" t="s">
        <v>259</v>
      </c>
      <c r="AZ200" s="138"/>
      <c r="BA200" s="138"/>
      <c r="BB200" s="135">
        <f t="shared" si="374"/>
        <v>0</v>
      </c>
      <c r="BC200" s="474" t="s">
        <v>260</v>
      </c>
      <c r="BD200" s="475"/>
      <c r="BE200" s="14"/>
      <c r="BF200" s="17"/>
      <c r="BG200" s="14"/>
      <c r="BH200" s="17"/>
      <c r="BI200" s="14"/>
      <c r="BJ200" s="17"/>
      <c r="BK200" s="14"/>
      <c r="BL200" s="17"/>
      <c r="BM200" s="14"/>
      <c r="BN200" s="17"/>
      <c r="BO200" s="14"/>
      <c r="BP200" s="17"/>
      <c r="BQ200" s="107">
        <f t="shared" si="262"/>
        <v>0</v>
      </c>
      <c r="BR200" s="567"/>
      <c r="BS200" s="571"/>
      <c r="BT200" s="572"/>
      <c r="BU200" s="558"/>
      <c r="BV200" s="561"/>
      <c r="BW200" s="564"/>
      <c r="BX200" s="616"/>
    </row>
    <row r="201" spans="1:76" ht="15.75" thickBot="1" x14ac:dyDescent="0.3">
      <c r="A201" s="586"/>
      <c r="B201" s="590"/>
      <c r="C201" s="591"/>
      <c r="D201" s="605"/>
      <c r="E201" s="517"/>
      <c r="F201" s="518"/>
      <c r="G201" s="523"/>
      <c r="H201" s="524"/>
      <c r="I201" s="529"/>
      <c r="J201" s="530"/>
      <c r="K201" s="513"/>
      <c r="L201" s="534"/>
      <c r="M201" s="537"/>
      <c r="N201" s="541"/>
      <c r="O201" s="542"/>
      <c r="P201" s="483"/>
      <c r="Q201" s="484"/>
      <c r="R201" s="517"/>
      <c r="S201" s="518"/>
      <c r="T201" s="487"/>
      <c r="U201" s="488"/>
      <c r="V201" s="492"/>
      <c r="W201" s="483"/>
      <c r="X201" s="495"/>
      <c r="Y201" s="484"/>
      <c r="Z201" s="498"/>
      <c r="AA201" s="502"/>
      <c r="AB201" s="503"/>
      <c r="AC201" s="471" t="s">
        <v>259</v>
      </c>
      <c r="AD201" s="472"/>
      <c r="AE201" s="473"/>
      <c r="AF201" s="100"/>
      <c r="AG201" s="100"/>
      <c r="AH201" s="100"/>
      <c r="AI201" s="100"/>
      <c r="AJ201" s="100"/>
      <c r="AK201" s="100"/>
      <c r="AL201" s="100"/>
      <c r="AM201" s="100"/>
      <c r="AN201" s="100"/>
      <c r="AO201" s="100"/>
      <c r="AP201" s="100"/>
      <c r="AQ201" s="101"/>
      <c r="AR201" s="104">
        <f t="shared" ref="AR201:AR202" si="375">SUM(AF201:AQ201)</f>
        <v>0</v>
      </c>
      <c r="AS201" s="128" t="s">
        <v>261</v>
      </c>
      <c r="AT201" s="129"/>
      <c r="AU201" s="129"/>
      <c r="AV201" s="129"/>
      <c r="AW201" s="130"/>
      <c r="AX201" s="126">
        <f t="shared" si="373"/>
        <v>0</v>
      </c>
      <c r="AY201" s="143" t="s">
        <v>261</v>
      </c>
      <c r="AZ201" s="139"/>
      <c r="BA201" s="139"/>
      <c r="BB201" s="136">
        <f t="shared" si="374"/>
        <v>0</v>
      </c>
      <c r="BC201" s="474" t="s">
        <v>262</v>
      </c>
      <c r="BD201" s="475"/>
      <c r="BE201" s="14"/>
      <c r="BF201" s="17"/>
      <c r="BG201" s="14"/>
      <c r="BH201" s="17"/>
      <c r="BI201" s="14"/>
      <c r="BJ201" s="17"/>
      <c r="BK201" s="14"/>
      <c r="BL201" s="17"/>
      <c r="BM201" s="14"/>
      <c r="BN201" s="17"/>
      <c r="BO201" s="14"/>
      <c r="BP201" s="17"/>
      <c r="BQ201" s="108">
        <f t="shared" si="262"/>
        <v>0</v>
      </c>
      <c r="BR201" s="567"/>
      <c r="BS201" s="571"/>
      <c r="BT201" s="572"/>
      <c r="BU201" s="558"/>
      <c r="BV201" s="561"/>
      <c r="BW201" s="564"/>
      <c r="BX201" s="616"/>
    </row>
    <row r="202" spans="1:76" ht="15.75" thickBot="1" x14ac:dyDescent="0.3">
      <c r="A202" s="587"/>
      <c r="B202" s="592"/>
      <c r="C202" s="593"/>
      <c r="D202" s="606"/>
      <c r="E202" s="519"/>
      <c r="F202" s="520"/>
      <c r="G202" s="525"/>
      <c r="H202" s="526"/>
      <c r="I202" s="531"/>
      <c r="J202" s="532"/>
      <c r="K202" s="514"/>
      <c r="L202" s="535"/>
      <c r="M202" s="538"/>
      <c r="N202" s="543"/>
      <c r="O202" s="544"/>
      <c r="P202" s="485"/>
      <c r="Q202" s="486"/>
      <c r="R202" s="519"/>
      <c r="S202" s="520"/>
      <c r="T202" s="489"/>
      <c r="U202" s="490"/>
      <c r="V202" s="493"/>
      <c r="W202" s="485"/>
      <c r="X202" s="496"/>
      <c r="Y202" s="486"/>
      <c r="Z202" s="499"/>
      <c r="AA202" s="504"/>
      <c r="AB202" s="505"/>
      <c r="AC202" s="476" t="s">
        <v>261</v>
      </c>
      <c r="AD202" s="477"/>
      <c r="AE202" s="478"/>
      <c r="AF202" s="102"/>
      <c r="AG202" s="102"/>
      <c r="AH202" s="102"/>
      <c r="AI202" s="102"/>
      <c r="AJ202" s="102"/>
      <c r="AK202" s="102"/>
      <c r="AL202" s="102"/>
      <c r="AM202" s="102"/>
      <c r="AN202" s="102"/>
      <c r="AO202" s="102"/>
      <c r="AP202" s="102"/>
      <c r="AQ202" s="103"/>
      <c r="AR202" s="105">
        <f t="shared" si="375"/>
        <v>0</v>
      </c>
      <c r="AS202" s="131" t="s">
        <v>161</v>
      </c>
      <c r="AT202" s="132">
        <f t="shared" ref="AT202:AX202" si="376">SUM(AT199:AT201)</f>
        <v>0</v>
      </c>
      <c r="AU202" s="132">
        <f t="shared" si="376"/>
        <v>0</v>
      </c>
      <c r="AV202" s="132">
        <f t="shared" si="376"/>
        <v>0</v>
      </c>
      <c r="AW202" s="133">
        <f t="shared" si="376"/>
        <v>0</v>
      </c>
      <c r="AX202" s="127">
        <f t="shared" si="376"/>
        <v>0</v>
      </c>
      <c r="AY202" s="144" t="s">
        <v>161</v>
      </c>
      <c r="AZ202" s="140">
        <f t="shared" ref="AZ202:BB202" si="377">SUM(AZ199:AZ201)</f>
        <v>0</v>
      </c>
      <c r="BA202" s="140">
        <f t="shared" si="377"/>
        <v>0</v>
      </c>
      <c r="BB202" s="140">
        <f t="shared" si="377"/>
        <v>0</v>
      </c>
      <c r="BC202" s="479" t="s">
        <v>263</v>
      </c>
      <c r="BD202" s="480"/>
      <c r="BE202" s="15"/>
      <c r="BF202" s="18"/>
      <c r="BG202" s="15"/>
      <c r="BH202" s="18"/>
      <c r="BI202" s="15"/>
      <c r="BJ202" s="18"/>
      <c r="BK202" s="15"/>
      <c r="BL202" s="18"/>
      <c r="BM202" s="15"/>
      <c r="BN202" s="18"/>
      <c r="BO202" s="15"/>
      <c r="BP202" s="18"/>
      <c r="BQ202" s="109">
        <f t="shared" si="262"/>
        <v>0</v>
      </c>
      <c r="BR202" s="568"/>
      <c r="BS202" s="573"/>
      <c r="BT202" s="574"/>
      <c r="BU202" s="559"/>
      <c r="BV202" s="562"/>
      <c r="BW202" s="565"/>
      <c r="BX202" s="617"/>
    </row>
    <row r="203" spans="1:76" ht="15.75" thickTop="1" x14ac:dyDescent="0.25">
      <c r="A203" s="585">
        <v>49</v>
      </c>
      <c r="B203" s="588"/>
      <c r="C203" s="589"/>
      <c r="D203" s="604"/>
      <c r="E203" s="515"/>
      <c r="F203" s="516"/>
      <c r="G203" s="521"/>
      <c r="H203" s="522"/>
      <c r="I203" s="527"/>
      <c r="J203" s="528"/>
      <c r="K203" s="512" t="e">
        <f t="shared" ref="K203" si="378">INT(YEARFRAC(I203,AA203))</f>
        <v>#VALUE!</v>
      </c>
      <c r="L203" s="533">
        <f t="shared" ref="L203" ca="1" si="379">INT(YEARFRAC(I203,TODAY()))</f>
        <v>121</v>
      </c>
      <c r="M203" s="536"/>
      <c r="N203" s="539"/>
      <c r="O203" s="540"/>
      <c r="P203" s="481"/>
      <c r="Q203" s="482"/>
      <c r="R203" s="515"/>
      <c r="S203" s="516"/>
      <c r="T203" s="487"/>
      <c r="U203" s="488"/>
      <c r="V203" s="491"/>
      <c r="W203" s="481"/>
      <c r="X203" s="494"/>
      <c r="Y203" s="482"/>
      <c r="Z203" s="497"/>
      <c r="AA203" s="500" t="s">
        <v>290</v>
      </c>
      <c r="AB203" s="501"/>
      <c r="AC203" s="506" t="s">
        <v>257</v>
      </c>
      <c r="AD203" s="507"/>
      <c r="AE203" s="507"/>
      <c r="AF203" s="510"/>
      <c r="AG203" s="510"/>
      <c r="AH203" s="510"/>
      <c r="AI203" s="510"/>
      <c r="AJ203" s="510"/>
      <c r="AK203" s="510"/>
      <c r="AL203" s="510"/>
      <c r="AM203" s="510"/>
      <c r="AN203" s="510"/>
      <c r="AO203" s="510"/>
      <c r="AP203" s="510"/>
      <c r="AQ203" s="465"/>
      <c r="AR203" s="467">
        <f t="shared" ref="AR203" si="380">SUM(AF203:AQ204)</f>
        <v>0</v>
      </c>
      <c r="AS203" s="119" t="s">
        <v>257</v>
      </c>
      <c r="AT203" s="120"/>
      <c r="AU203" s="120"/>
      <c r="AV203" s="120"/>
      <c r="AW203" s="121"/>
      <c r="AX203" s="125">
        <f t="shared" ref="AX203:AX205" si="381">SUM(AT203:AW203)</f>
        <v>0</v>
      </c>
      <c r="AY203" s="141" t="s">
        <v>257</v>
      </c>
      <c r="AZ203" s="137"/>
      <c r="BA203" s="137"/>
      <c r="BB203" s="134">
        <f t="shared" ref="BB203:BB205" si="382">AZ203-BA203</f>
        <v>0</v>
      </c>
      <c r="BC203" s="469" t="s">
        <v>258</v>
      </c>
      <c r="BD203" s="470"/>
      <c r="BE203" s="13"/>
      <c r="BF203" s="16"/>
      <c r="BG203" s="13"/>
      <c r="BH203" s="16"/>
      <c r="BI203" s="13"/>
      <c r="BJ203" s="16"/>
      <c r="BK203" s="13"/>
      <c r="BL203" s="16"/>
      <c r="BM203" s="13"/>
      <c r="BN203" s="16"/>
      <c r="BO203" s="13"/>
      <c r="BP203" s="16"/>
      <c r="BQ203" s="106">
        <f t="shared" si="262"/>
        <v>0</v>
      </c>
      <c r="BR203" s="566"/>
      <c r="BS203" s="569"/>
      <c r="BT203" s="570"/>
      <c r="BU203" s="557"/>
      <c r="BV203" s="560"/>
      <c r="BW203" s="563"/>
      <c r="BX203" s="615"/>
    </row>
    <row r="204" spans="1:76" x14ac:dyDescent="0.25">
      <c r="A204" s="586"/>
      <c r="B204" s="590"/>
      <c r="C204" s="591"/>
      <c r="D204" s="605"/>
      <c r="E204" s="517"/>
      <c r="F204" s="518"/>
      <c r="G204" s="523"/>
      <c r="H204" s="524"/>
      <c r="I204" s="529"/>
      <c r="J204" s="530"/>
      <c r="K204" s="513"/>
      <c r="L204" s="534"/>
      <c r="M204" s="537"/>
      <c r="N204" s="541"/>
      <c r="O204" s="542"/>
      <c r="P204" s="483"/>
      <c r="Q204" s="484"/>
      <c r="R204" s="517"/>
      <c r="S204" s="518"/>
      <c r="T204" s="487"/>
      <c r="U204" s="488"/>
      <c r="V204" s="492"/>
      <c r="W204" s="483"/>
      <c r="X204" s="495"/>
      <c r="Y204" s="484"/>
      <c r="Z204" s="498"/>
      <c r="AA204" s="502"/>
      <c r="AB204" s="503"/>
      <c r="AC204" s="508"/>
      <c r="AD204" s="509"/>
      <c r="AE204" s="509"/>
      <c r="AF204" s="511"/>
      <c r="AG204" s="511"/>
      <c r="AH204" s="511"/>
      <c r="AI204" s="511"/>
      <c r="AJ204" s="511"/>
      <c r="AK204" s="511"/>
      <c r="AL204" s="511"/>
      <c r="AM204" s="511"/>
      <c r="AN204" s="511"/>
      <c r="AO204" s="511"/>
      <c r="AP204" s="511"/>
      <c r="AQ204" s="466"/>
      <c r="AR204" s="468"/>
      <c r="AS204" s="122" t="s">
        <v>259</v>
      </c>
      <c r="AT204" s="123"/>
      <c r="AU204" s="123"/>
      <c r="AV204" s="123"/>
      <c r="AW204" s="124"/>
      <c r="AX204" s="126">
        <f t="shared" si="381"/>
        <v>0</v>
      </c>
      <c r="AY204" s="142" t="s">
        <v>259</v>
      </c>
      <c r="AZ204" s="138"/>
      <c r="BA204" s="138"/>
      <c r="BB204" s="135">
        <f t="shared" si="382"/>
        <v>0</v>
      </c>
      <c r="BC204" s="474" t="s">
        <v>260</v>
      </c>
      <c r="BD204" s="475"/>
      <c r="BE204" s="14"/>
      <c r="BF204" s="17"/>
      <c r="BG204" s="14"/>
      <c r="BH204" s="17"/>
      <c r="BI204" s="14"/>
      <c r="BJ204" s="17"/>
      <c r="BK204" s="14"/>
      <c r="BL204" s="17"/>
      <c r="BM204" s="14"/>
      <c r="BN204" s="17"/>
      <c r="BO204" s="14"/>
      <c r="BP204" s="17"/>
      <c r="BQ204" s="107">
        <f t="shared" si="262"/>
        <v>0</v>
      </c>
      <c r="BR204" s="567"/>
      <c r="BS204" s="571"/>
      <c r="BT204" s="572"/>
      <c r="BU204" s="558"/>
      <c r="BV204" s="561"/>
      <c r="BW204" s="564"/>
      <c r="BX204" s="616"/>
    </row>
    <row r="205" spans="1:76" ht="15.75" thickBot="1" x14ac:dyDescent="0.3">
      <c r="A205" s="586"/>
      <c r="B205" s="590"/>
      <c r="C205" s="591"/>
      <c r="D205" s="605"/>
      <c r="E205" s="517"/>
      <c r="F205" s="518"/>
      <c r="G205" s="523"/>
      <c r="H205" s="524"/>
      <c r="I205" s="529"/>
      <c r="J205" s="530"/>
      <c r="K205" s="513"/>
      <c r="L205" s="534"/>
      <c r="M205" s="537"/>
      <c r="N205" s="541"/>
      <c r="O205" s="542"/>
      <c r="P205" s="483"/>
      <c r="Q205" s="484"/>
      <c r="R205" s="517"/>
      <c r="S205" s="518"/>
      <c r="T205" s="487"/>
      <c r="U205" s="488"/>
      <c r="V205" s="492"/>
      <c r="W205" s="483"/>
      <c r="X205" s="495"/>
      <c r="Y205" s="484"/>
      <c r="Z205" s="498"/>
      <c r="AA205" s="502"/>
      <c r="AB205" s="503"/>
      <c r="AC205" s="471" t="s">
        <v>259</v>
      </c>
      <c r="AD205" s="472"/>
      <c r="AE205" s="473"/>
      <c r="AF205" s="100"/>
      <c r="AG205" s="100"/>
      <c r="AH205" s="100"/>
      <c r="AI205" s="100"/>
      <c r="AJ205" s="100"/>
      <c r="AK205" s="100"/>
      <c r="AL205" s="100"/>
      <c r="AM205" s="100"/>
      <c r="AN205" s="100"/>
      <c r="AO205" s="100"/>
      <c r="AP205" s="100"/>
      <c r="AQ205" s="101"/>
      <c r="AR205" s="104">
        <f t="shared" ref="AR205:AR206" si="383">SUM(AF205:AQ205)</f>
        <v>0</v>
      </c>
      <c r="AS205" s="128" t="s">
        <v>261</v>
      </c>
      <c r="AT205" s="129"/>
      <c r="AU205" s="129"/>
      <c r="AV205" s="129"/>
      <c r="AW205" s="130"/>
      <c r="AX205" s="126">
        <f t="shared" si="381"/>
        <v>0</v>
      </c>
      <c r="AY205" s="143" t="s">
        <v>261</v>
      </c>
      <c r="AZ205" s="139"/>
      <c r="BA205" s="139"/>
      <c r="BB205" s="136">
        <f t="shared" si="382"/>
        <v>0</v>
      </c>
      <c r="BC205" s="474" t="s">
        <v>262</v>
      </c>
      <c r="BD205" s="475"/>
      <c r="BE205" s="14"/>
      <c r="BF205" s="17"/>
      <c r="BG205" s="14"/>
      <c r="BH205" s="17"/>
      <c r="BI205" s="14"/>
      <c r="BJ205" s="17"/>
      <c r="BK205" s="14"/>
      <c r="BL205" s="17"/>
      <c r="BM205" s="14"/>
      <c r="BN205" s="17"/>
      <c r="BO205" s="14"/>
      <c r="BP205" s="17"/>
      <c r="BQ205" s="108">
        <f t="shared" si="262"/>
        <v>0</v>
      </c>
      <c r="BR205" s="567"/>
      <c r="BS205" s="571"/>
      <c r="BT205" s="572"/>
      <c r="BU205" s="558"/>
      <c r="BV205" s="561"/>
      <c r="BW205" s="564"/>
      <c r="BX205" s="616"/>
    </row>
    <row r="206" spans="1:76" ht="15.75" thickBot="1" x14ac:dyDescent="0.3">
      <c r="A206" s="587"/>
      <c r="B206" s="592"/>
      <c r="C206" s="593"/>
      <c r="D206" s="606"/>
      <c r="E206" s="519"/>
      <c r="F206" s="520"/>
      <c r="G206" s="525"/>
      <c r="H206" s="526"/>
      <c r="I206" s="531"/>
      <c r="J206" s="532"/>
      <c r="K206" s="514"/>
      <c r="L206" s="535"/>
      <c r="M206" s="538"/>
      <c r="N206" s="543"/>
      <c r="O206" s="544"/>
      <c r="P206" s="485"/>
      <c r="Q206" s="486"/>
      <c r="R206" s="519"/>
      <c r="S206" s="520"/>
      <c r="T206" s="489"/>
      <c r="U206" s="490"/>
      <c r="V206" s="493"/>
      <c r="W206" s="485"/>
      <c r="X206" s="496"/>
      <c r="Y206" s="486"/>
      <c r="Z206" s="499"/>
      <c r="AA206" s="504"/>
      <c r="AB206" s="505"/>
      <c r="AC206" s="476" t="s">
        <v>261</v>
      </c>
      <c r="AD206" s="477"/>
      <c r="AE206" s="478"/>
      <c r="AF206" s="102"/>
      <c r="AG206" s="102"/>
      <c r="AH206" s="102"/>
      <c r="AI206" s="102"/>
      <c r="AJ206" s="102"/>
      <c r="AK206" s="102"/>
      <c r="AL206" s="102"/>
      <c r="AM206" s="102"/>
      <c r="AN206" s="102"/>
      <c r="AO206" s="102"/>
      <c r="AP206" s="102"/>
      <c r="AQ206" s="103"/>
      <c r="AR206" s="105">
        <f t="shared" si="383"/>
        <v>0</v>
      </c>
      <c r="AS206" s="131" t="s">
        <v>161</v>
      </c>
      <c r="AT206" s="132">
        <f t="shared" ref="AT206:AX206" si="384">SUM(AT203:AT205)</f>
        <v>0</v>
      </c>
      <c r="AU206" s="132">
        <f t="shared" si="384"/>
        <v>0</v>
      </c>
      <c r="AV206" s="132">
        <f t="shared" si="384"/>
        <v>0</v>
      </c>
      <c r="AW206" s="133">
        <f t="shared" si="384"/>
        <v>0</v>
      </c>
      <c r="AX206" s="127">
        <f t="shared" si="384"/>
        <v>0</v>
      </c>
      <c r="AY206" s="144" t="s">
        <v>161</v>
      </c>
      <c r="AZ206" s="140">
        <f t="shared" ref="AZ206:BB206" si="385">SUM(AZ203:AZ205)</f>
        <v>0</v>
      </c>
      <c r="BA206" s="140">
        <f t="shared" si="385"/>
        <v>0</v>
      </c>
      <c r="BB206" s="140">
        <f t="shared" si="385"/>
        <v>0</v>
      </c>
      <c r="BC206" s="479" t="s">
        <v>263</v>
      </c>
      <c r="BD206" s="480"/>
      <c r="BE206" s="15"/>
      <c r="BF206" s="18"/>
      <c r="BG206" s="15"/>
      <c r="BH206" s="18"/>
      <c r="BI206" s="15"/>
      <c r="BJ206" s="18"/>
      <c r="BK206" s="15"/>
      <c r="BL206" s="18"/>
      <c r="BM206" s="15"/>
      <c r="BN206" s="18"/>
      <c r="BO206" s="15"/>
      <c r="BP206" s="18"/>
      <c r="BQ206" s="109">
        <f t="shared" si="262"/>
        <v>0</v>
      </c>
      <c r="BR206" s="568"/>
      <c r="BS206" s="573"/>
      <c r="BT206" s="574"/>
      <c r="BU206" s="559"/>
      <c r="BV206" s="562"/>
      <c r="BW206" s="565"/>
      <c r="BX206" s="617"/>
    </row>
    <row r="207" spans="1:76" ht="15.75" thickTop="1" x14ac:dyDescent="0.25">
      <c r="A207" s="585">
        <v>50</v>
      </c>
      <c r="B207" s="588"/>
      <c r="C207" s="589"/>
      <c r="D207" s="604"/>
      <c r="E207" s="515"/>
      <c r="F207" s="516"/>
      <c r="G207" s="521"/>
      <c r="H207" s="522"/>
      <c r="I207" s="527"/>
      <c r="J207" s="528"/>
      <c r="K207" s="512" t="e">
        <f t="shared" ref="K207" si="386">INT(YEARFRAC(I207,AA207))</f>
        <v>#VALUE!</v>
      </c>
      <c r="L207" s="533">
        <f t="shared" ref="L207" ca="1" si="387">INT(YEARFRAC(I207,TODAY()))</f>
        <v>121</v>
      </c>
      <c r="M207" s="536"/>
      <c r="N207" s="539"/>
      <c r="O207" s="540"/>
      <c r="P207" s="481"/>
      <c r="Q207" s="482"/>
      <c r="R207" s="515"/>
      <c r="S207" s="516"/>
      <c r="T207" s="487"/>
      <c r="U207" s="488"/>
      <c r="V207" s="491"/>
      <c r="W207" s="481"/>
      <c r="X207" s="494"/>
      <c r="Y207" s="482"/>
      <c r="Z207" s="497"/>
      <c r="AA207" s="500" t="s">
        <v>291</v>
      </c>
      <c r="AB207" s="501"/>
      <c r="AC207" s="506" t="s">
        <v>257</v>
      </c>
      <c r="AD207" s="507"/>
      <c r="AE207" s="507"/>
      <c r="AF207" s="510"/>
      <c r="AG207" s="510"/>
      <c r="AH207" s="510"/>
      <c r="AI207" s="510"/>
      <c r="AJ207" s="510"/>
      <c r="AK207" s="510"/>
      <c r="AL207" s="510"/>
      <c r="AM207" s="510"/>
      <c r="AN207" s="510"/>
      <c r="AO207" s="510"/>
      <c r="AP207" s="510"/>
      <c r="AQ207" s="465"/>
      <c r="AR207" s="467">
        <f t="shared" ref="AR207" si="388">SUM(AF207:AQ208)</f>
        <v>0</v>
      </c>
      <c r="AS207" s="119" t="s">
        <v>257</v>
      </c>
      <c r="AT207" s="120"/>
      <c r="AU207" s="120"/>
      <c r="AV207" s="120"/>
      <c r="AW207" s="121"/>
      <c r="AX207" s="125">
        <f t="shared" ref="AX207:AX209" si="389">SUM(AT207:AW207)</f>
        <v>0</v>
      </c>
      <c r="AY207" s="141" t="s">
        <v>257</v>
      </c>
      <c r="AZ207" s="137"/>
      <c r="BA207" s="137"/>
      <c r="BB207" s="134">
        <f t="shared" ref="BB207:BB209" si="390">AZ207-BA207</f>
        <v>0</v>
      </c>
      <c r="BC207" s="469" t="s">
        <v>258</v>
      </c>
      <c r="BD207" s="470"/>
      <c r="BE207" s="13"/>
      <c r="BF207" s="16"/>
      <c r="BG207" s="13"/>
      <c r="BH207" s="16"/>
      <c r="BI207" s="13"/>
      <c r="BJ207" s="16"/>
      <c r="BK207" s="13"/>
      <c r="BL207" s="16"/>
      <c r="BM207" s="13"/>
      <c r="BN207" s="16"/>
      <c r="BO207" s="13"/>
      <c r="BP207" s="16"/>
      <c r="BQ207" s="106">
        <f t="shared" ref="BQ207:BQ270" si="391">SUM(BE207:BP207)</f>
        <v>0</v>
      </c>
      <c r="BR207" s="566"/>
      <c r="BS207" s="569"/>
      <c r="BT207" s="570"/>
      <c r="BU207" s="557"/>
      <c r="BV207" s="560"/>
      <c r="BW207" s="563"/>
      <c r="BX207" s="615"/>
    </row>
    <row r="208" spans="1:76" x14ac:dyDescent="0.25">
      <c r="A208" s="586"/>
      <c r="B208" s="590"/>
      <c r="C208" s="591"/>
      <c r="D208" s="605"/>
      <c r="E208" s="517"/>
      <c r="F208" s="518"/>
      <c r="G208" s="523"/>
      <c r="H208" s="524"/>
      <c r="I208" s="529"/>
      <c r="J208" s="530"/>
      <c r="K208" s="513"/>
      <c r="L208" s="534"/>
      <c r="M208" s="537"/>
      <c r="N208" s="541"/>
      <c r="O208" s="542"/>
      <c r="P208" s="483"/>
      <c r="Q208" s="484"/>
      <c r="R208" s="517"/>
      <c r="S208" s="518"/>
      <c r="T208" s="487"/>
      <c r="U208" s="488"/>
      <c r="V208" s="492"/>
      <c r="W208" s="483"/>
      <c r="X208" s="495"/>
      <c r="Y208" s="484"/>
      <c r="Z208" s="498"/>
      <c r="AA208" s="502"/>
      <c r="AB208" s="503"/>
      <c r="AC208" s="508"/>
      <c r="AD208" s="509"/>
      <c r="AE208" s="509"/>
      <c r="AF208" s="511"/>
      <c r="AG208" s="511"/>
      <c r="AH208" s="511"/>
      <c r="AI208" s="511"/>
      <c r="AJ208" s="511"/>
      <c r="AK208" s="511"/>
      <c r="AL208" s="511"/>
      <c r="AM208" s="511"/>
      <c r="AN208" s="511"/>
      <c r="AO208" s="511"/>
      <c r="AP208" s="511"/>
      <c r="AQ208" s="466"/>
      <c r="AR208" s="468"/>
      <c r="AS208" s="122" t="s">
        <v>259</v>
      </c>
      <c r="AT208" s="123"/>
      <c r="AU208" s="123"/>
      <c r="AV208" s="123"/>
      <c r="AW208" s="124"/>
      <c r="AX208" s="126">
        <f t="shared" si="389"/>
        <v>0</v>
      </c>
      <c r="AY208" s="142" t="s">
        <v>259</v>
      </c>
      <c r="AZ208" s="138"/>
      <c r="BA208" s="138"/>
      <c r="BB208" s="135">
        <f t="shared" si="390"/>
        <v>0</v>
      </c>
      <c r="BC208" s="474" t="s">
        <v>260</v>
      </c>
      <c r="BD208" s="475"/>
      <c r="BE208" s="14"/>
      <c r="BF208" s="17"/>
      <c r="BG208" s="14"/>
      <c r="BH208" s="17"/>
      <c r="BI208" s="14"/>
      <c r="BJ208" s="17"/>
      <c r="BK208" s="14"/>
      <c r="BL208" s="17"/>
      <c r="BM208" s="14"/>
      <c r="BN208" s="17"/>
      <c r="BO208" s="14"/>
      <c r="BP208" s="17"/>
      <c r="BQ208" s="107">
        <f t="shared" si="391"/>
        <v>0</v>
      </c>
      <c r="BR208" s="567"/>
      <c r="BS208" s="571"/>
      <c r="BT208" s="572"/>
      <c r="BU208" s="558"/>
      <c r="BV208" s="561"/>
      <c r="BW208" s="564"/>
      <c r="BX208" s="616"/>
    </row>
    <row r="209" spans="1:76" ht="15.75" thickBot="1" x14ac:dyDescent="0.3">
      <c r="A209" s="586"/>
      <c r="B209" s="590"/>
      <c r="C209" s="591"/>
      <c r="D209" s="605"/>
      <c r="E209" s="517"/>
      <c r="F209" s="518"/>
      <c r="G209" s="523"/>
      <c r="H209" s="524"/>
      <c r="I209" s="529"/>
      <c r="J209" s="530"/>
      <c r="K209" s="513"/>
      <c r="L209" s="534"/>
      <c r="M209" s="537"/>
      <c r="N209" s="541"/>
      <c r="O209" s="542"/>
      <c r="P209" s="483"/>
      <c r="Q209" s="484"/>
      <c r="R209" s="517"/>
      <c r="S209" s="518"/>
      <c r="T209" s="487"/>
      <c r="U209" s="488"/>
      <c r="V209" s="492"/>
      <c r="W209" s="483"/>
      <c r="X209" s="495"/>
      <c r="Y209" s="484"/>
      <c r="Z209" s="498"/>
      <c r="AA209" s="502"/>
      <c r="AB209" s="503"/>
      <c r="AC209" s="471" t="s">
        <v>259</v>
      </c>
      <c r="AD209" s="472"/>
      <c r="AE209" s="473"/>
      <c r="AF209" s="100"/>
      <c r="AG209" s="100"/>
      <c r="AH209" s="100"/>
      <c r="AI209" s="100"/>
      <c r="AJ209" s="100"/>
      <c r="AK209" s="100"/>
      <c r="AL209" s="100"/>
      <c r="AM209" s="100"/>
      <c r="AN209" s="100"/>
      <c r="AO209" s="100"/>
      <c r="AP209" s="100"/>
      <c r="AQ209" s="101"/>
      <c r="AR209" s="104">
        <f t="shared" ref="AR209:AR210" si="392">SUM(AF209:AQ209)</f>
        <v>0</v>
      </c>
      <c r="AS209" s="128" t="s">
        <v>261</v>
      </c>
      <c r="AT209" s="129"/>
      <c r="AU209" s="129"/>
      <c r="AV209" s="129"/>
      <c r="AW209" s="130"/>
      <c r="AX209" s="126">
        <f t="shared" si="389"/>
        <v>0</v>
      </c>
      <c r="AY209" s="143" t="s">
        <v>261</v>
      </c>
      <c r="AZ209" s="139"/>
      <c r="BA209" s="139"/>
      <c r="BB209" s="136">
        <f t="shared" si="390"/>
        <v>0</v>
      </c>
      <c r="BC209" s="474" t="s">
        <v>262</v>
      </c>
      <c r="BD209" s="475"/>
      <c r="BE209" s="14"/>
      <c r="BF209" s="17"/>
      <c r="BG209" s="14"/>
      <c r="BH209" s="17"/>
      <c r="BI209" s="14"/>
      <c r="BJ209" s="17"/>
      <c r="BK209" s="14"/>
      <c r="BL209" s="17"/>
      <c r="BM209" s="14"/>
      <c r="BN209" s="17"/>
      <c r="BO209" s="14"/>
      <c r="BP209" s="17"/>
      <c r="BQ209" s="108">
        <f t="shared" si="391"/>
        <v>0</v>
      </c>
      <c r="BR209" s="567"/>
      <c r="BS209" s="571"/>
      <c r="BT209" s="572"/>
      <c r="BU209" s="558"/>
      <c r="BV209" s="561"/>
      <c r="BW209" s="564"/>
      <c r="BX209" s="616"/>
    </row>
    <row r="210" spans="1:76" ht="15.75" thickBot="1" x14ac:dyDescent="0.3">
      <c r="A210" s="587"/>
      <c r="B210" s="592"/>
      <c r="C210" s="593"/>
      <c r="D210" s="606"/>
      <c r="E210" s="519"/>
      <c r="F210" s="520"/>
      <c r="G210" s="525"/>
      <c r="H210" s="526"/>
      <c r="I210" s="531"/>
      <c r="J210" s="532"/>
      <c r="K210" s="514"/>
      <c r="L210" s="535"/>
      <c r="M210" s="538"/>
      <c r="N210" s="543"/>
      <c r="O210" s="544"/>
      <c r="P210" s="485"/>
      <c r="Q210" s="486"/>
      <c r="R210" s="519"/>
      <c r="S210" s="520"/>
      <c r="T210" s="489"/>
      <c r="U210" s="490"/>
      <c r="V210" s="493"/>
      <c r="W210" s="485"/>
      <c r="X210" s="496"/>
      <c r="Y210" s="486"/>
      <c r="Z210" s="499"/>
      <c r="AA210" s="504"/>
      <c r="AB210" s="505"/>
      <c r="AC210" s="476" t="s">
        <v>261</v>
      </c>
      <c r="AD210" s="477"/>
      <c r="AE210" s="478"/>
      <c r="AF210" s="102"/>
      <c r="AG210" s="102"/>
      <c r="AH210" s="102"/>
      <c r="AI210" s="102"/>
      <c r="AJ210" s="102"/>
      <c r="AK210" s="102"/>
      <c r="AL210" s="102"/>
      <c r="AM210" s="102"/>
      <c r="AN210" s="102"/>
      <c r="AO210" s="102"/>
      <c r="AP210" s="102"/>
      <c r="AQ210" s="103"/>
      <c r="AR210" s="105">
        <f t="shared" si="392"/>
        <v>0</v>
      </c>
      <c r="AS210" s="131" t="s">
        <v>161</v>
      </c>
      <c r="AT210" s="132">
        <f t="shared" ref="AT210:AX210" si="393">SUM(AT207:AT209)</f>
        <v>0</v>
      </c>
      <c r="AU210" s="132">
        <f t="shared" si="393"/>
        <v>0</v>
      </c>
      <c r="AV210" s="132">
        <f t="shared" si="393"/>
        <v>0</v>
      </c>
      <c r="AW210" s="133">
        <f t="shared" si="393"/>
        <v>0</v>
      </c>
      <c r="AX210" s="127">
        <f t="shared" si="393"/>
        <v>0</v>
      </c>
      <c r="AY210" s="144" t="s">
        <v>161</v>
      </c>
      <c r="AZ210" s="140">
        <f t="shared" ref="AZ210:BB210" si="394">SUM(AZ207:AZ209)</f>
        <v>0</v>
      </c>
      <c r="BA210" s="140">
        <f t="shared" si="394"/>
        <v>0</v>
      </c>
      <c r="BB210" s="140">
        <f t="shared" si="394"/>
        <v>0</v>
      </c>
      <c r="BC210" s="479" t="s">
        <v>263</v>
      </c>
      <c r="BD210" s="480"/>
      <c r="BE210" s="15"/>
      <c r="BF210" s="18"/>
      <c r="BG210" s="15"/>
      <c r="BH210" s="18"/>
      <c r="BI210" s="15"/>
      <c r="BJ210" s="18"/>
      <c r="BK210" s="15"/>
      <c r="BL210" s="18"/>
      <c r="BM210" s="15"/>
      <c r="BN210" s="18"/>
      <c r="BO210" s="15"/>
      <c r="BP210" s="18"/>
      <c r="BQ210" s="109">
        <f t="shared" si="391"/>
        <v>0</v>
      </c>
      <c r="BR210" s="568"/>
      <c r="BS210" s="573"/>
      <c r="BT210" s="574"/>
      <c r="BU210" s="559"/>
      <c r="BV210" s="562"/>
      <c r="BW210" s="565"/>
      <c r="BX210" s="617"/>
    </row>
    <row r="211" spans="1:76" ht="15.75" thickTop="1" x14ac:dyDescent="0.25">
      <c r="A211" s="585">
        <v>51</v>
      </c>
      <c r="B211" s="588"/>
      <c r="C211" s="589"/>
      <c r="D211" s="604"/>
      <c r="E211" s="515"/>
      <c r="F211" s="516"/>
      <c r="G211" s="521"/>
      <c r="H211" s="522"/>
      <c r="I211" s="527"/>
      <c r="J211" s="528"/>
      <c r="K211" s="512" t="e">
        <f t="shared" ref="K211" si="395">INT(YEARFRAC(I211,AA211))</f>
        <v>#VALUE!</v>
      </c>
      <c r="L211" s="533">
        <f t="shared" ref="L211" ca="1" si="396">INT(YEARFRAC(I211,TODAY()))</f>
        <v>121</v>
      </c>
      <c r="M211" s="536"/>
      <c r="N211" s="539"/>
      <c r="O211" s="540"/>
      <c r="P211" s="481"/>
      <c r="Q211" s="482"/>
      <c r="R211" s="515"/>
      <c r="S211" s="516"/>
      <c r="T211" s="487"/>
      <c r="U211" s="488"/>
      <c r="V211" s="491"/>
      <c r="W211" s="481"/>
      <c r="X211" s="494"/>
      <c r="Y211" s="482"/>
      <c r="Z211" s="497"/>
      <c r="AA211" s="500" t="s">
        <v>292</v>
      </c>
      <c r="AB211" s="501"/>
      <c r="AC211" s="506" t="s">
        <v>257</v>
      </c>
      <c r="AD211" s="507"/>
      <c r="AE211" s="507"/>
      <c r="AF211" s="510"/>
      <c r="AG211" s="510"/>
      <c r="AH211" s="510"/>
      <c r="AI211" s="510"/>
      <c r="AJ211" s="510"/>
      <c r="AK211" s="510"/>
      <c r="AL211" s="510"/>
      <c r="AM211" s="510"/>
      <c r="AN211" s="510"/>
      <c r="AO211" s="510"/>
      <c r="AP211" s="510"/>
      <c r="AQ211" s="465"/>
      <c r="AR211" s="467">
        <f t="shared" ref="AR211" si="397">SUM(AF211:AQ212)</f>
        <v>0</v>
      </c>
      <c r="AS211" s="119" t="s">
        <v>257</v>
      </c>
      <c r="AT211" s="120"/>
      <c r="AU211" s="120"/>
      <c r="AV211" s="120"/>
      <c r="AW211" s="121"/>
      <c r="AX211" s="125">
        <f t="shared" ref="AX211:AX213" si="398">SUM(AT211:AW211)</f>
        <v>0</v>
      </c>
      <c r="AY211" s="141" t="s">
        <v>257</v>
      </c>
      <c r="AZ211" s="137"/>
      <c r="BA211" s="137"/>
      <c r="BB211" s="134">
        <f t="shared" ref="BB211:BB213" si="399">AZ211-BA211</f>
        <v>0</v>
      </c>
      <c r="BC211" s="469" t="s">
        <v>258</v>
      </c>
      <c r="BD211" s="470"/>
      <c r="BE211" s="13"/>
      <c r="BF211" s="16"/>
      <c r="BG211" s="13"/>
      <c r="BH211" s="16"/>
      <c r="BI211" s="13"/>
      <c r="BJ211" s="16"/>
      <c r="BK211" s="13"/>
      <c r="BL211" s="16"/>
      <c r="BM211" s="13"/>
      <c r="BN211" s="16"/>
      <c r="BO211" s="13"/>
      <c r="BP211" s="16"/>
      <c r="BQ211" s="106">
        <f t="shared" si="391"/>
        <v>0</v>
      </c>
      <c r="BR211" s="566"/>
      <c r="BS211" s="569"/>
      <c r="BT211" s="570"/>
      <c r="BU211" s="557"/>
      <c r="BV211" s="560"/>
      <c r="BW211" s="563"/>
      <c r="BX211" s="615"/>
    </row>
    <row r="212" spans="1:76" x14ac:dyDescent="0.25">
      <c r="A212" s="586"/>
      <c r="B212" s="590"/>
      <c r="C212" s="591"/>
      <c r="D212" s="605"/>
      <c r="E212" s="517"/>
      <c r="F212" s="518"/>
      <c r="G212" s="523"/>
      <c r="H212" s="524"/>
      <c r="I212" s="529"/>
      <c r="J212" s="530"/>
      <c r="K212" s="513"/>
      <c r="L212" s="534"/>
      <c r="M212" s="537"/>
      <c r="N212" s="541"/>
      <c r="O212" s="542"/>
      <c r="P212" s="483"/>
      <c r="Q212" s="484"/>
      <c r="R212" s="517"/>
      <c r="S212" s="518"/>
      <c r="T212" s="487"/>
      <c r="U212" s="488"/>
      <c r="V212" s="492"/>
      <c r="W212" s="483"/>
      <c r="X212" s="495"/>
      <c r="Y212" s="484"/>
      <c r="Z212" s="498"/>
      <c r="AA212" s="502"/>
      <c r="AB212" s="503"/>
      <c r="AC212" s="508"/>
      <c r="AD212" s="509"/>
      <c r="AE212" s="509"/>
      <c r="AF212" s="511"/>
      <c r="AG212" s="511"/>
      <c r="AH212" s="511"/>
      <c r="AI212" s="511"/>
      <c r="AJ212" s="511"/>
      <c r="AK212" s="511"/>
      <c r="AL212" s="511"/>
      <c r="AM212" s="511"/>
      <c r="AN212" s="511"/>
      <c r="AO212" s="511"/>
      <c r="AP212" s="511"/>
      <c r="AQ212" s="466"/>
      <c r="AR212" s="468"/>
      <c r="AS212" s="122" t="s">
        <v>259</v>
      </c>
      <c r="AT212" s="123"/>
      <c r="AU212" s="123"/>
      <c r="AV212" s="123"/>
      <c r="AW212" s="124"/>
      <c r="AX212" s="126">
        <f t="shared" si="398"/>
        <v>0</v>
      </c>
      <c r="AY212" s="142" t="s">
        <v>259</v>
      </c>
      <c r="AZ212" s="138"/>
      <c r="BA212" s="138"/>
      <c r="BB212" s="135">
        <f t="shared" si="399"/>
        <v>0</v>
      </c>
      <c r="BC212" s="474" t="s">
        <v>260</v>
      </c>
      <c r="BD212" s="475"/>
      <c r="BE212" s="14"/>
      <c r="BF212" s="17"/>
      <c r="BG212" s="14"/>
      <c r="BH212" s="17"/>
      <c r="BI212" s="14"/>
      <c r="BJ212" s="17"/>
      <c r="BK212" s="14"/>
      <c r="BL212" s="17"/>
      <c r="BM212" s="14"/>
      <c r="BN212" s="17"/>
      <c r="BO212" s="14"/>
      <c r="BP212" s="17"/>
      <c r="BQ212" s="107">
        <f t="shared" si="391"/>
        <v>0</v>
      </c>
      <c r="BR212" s="567"/>
      <c r="BS212" s="571"/>
      <c r="BT212" s="572"/>
      <c r="BU212" s="558"/>
      <c r="BV212" s="561"/>
      <c r="BW212" s="564"/>
      <c r="BX212" s="616"/>
    </row>
    <row r="213" spans="1:76" ht="15.75" thickBot="1" x14ac:dyDescent="0.3">
      <c r="A213" s="586"/>
      <c r="B213" s="590"/>
      <c r="C213" s="591"/>
      <c r="D213" s="605"/>
      <c r="E213" s="517"/>
      <c r="F213" s="518"/>
      <c r="G213" s="523"/>
      <c r="H213" s="524"/>
      <c r="I213" s="529"/>
      <c r="J213" s="530"/>
      <c r="K213" s="513"/>
      <c r="L213" s="534"/>
      <c r="M213" s="537"/>
      <c r="N213" s="541"/>
      <c r="O213" s="542"/>
      <c r="P213" s="483"/>
      <c r="Q213" s="484"/>
      <c r="R213" s="517"/>
      <c r="S213" s="518"/>
      <c r="T213" s="487"/>
      <c r="U213" s="488"/>
      <c r="V213" s="492"/>
      <c r="W213" s="483"/>
      <c r="X213" s="495"/>
      <c r="Y213" s="484"/>
      <c r="Z213" s="498"/>
      <c r="AA213" s="502"/>
      <c r="AB213" s="503"/>
      <c r="AC213" s="471" t="s">
        <v>259</v>
      </c>
      <c r="AD213" s="472"/>
      <c r="AE213" s="473"/>
      <c r="AF213" s="100"/>
      <c r="AG213" s="100"/>
      <c r="AH213" s="100"/>
      <c r="AI213" s="100"/>
      <c r="AJ213" s="100"/>
      <c r="AK213" s="100"/>
      <c r="AL213" s="100"/>
      <c r="AM213" s="100"/>
      <c r="AN213" s="100"/>
      <c r="AO213" s="100"/>
      <c r="AP213" s="100"/>
      <c r="AQ213" s="101"/>
      <c r="AR213" s="104">
        <f t="shared" ref="AR213:AR214" si="400">SUM(AF213:AQ213)</f>
        <v>0</v>
      </c>
      <c r="AS213" s="128" t="s">
        <v>261</v>
      </c>
      <c r="AT213" s="129"/>
      <c r="AU213" s="129"/>
      <c r="AV213" s="129"/>
      <c r="AW213" s="130"/>
      <c r="AX213" s="126">
        <f t="shared" si="398"/>
        <v>0</v>
      </c>
      <c r="AY213" s="143" t="s">
        <v>261</v>
      </c>
      <c r="AZ213" s="139"/>
      <c r="BA213" s="139"/>
      <c r="BB213" s="136">
        <f t="shared" si="399"/>
        <v>0</v>
      </c>
      <c r="BC213" s="474" t="s">
        <v>262</v>
      </c>
      <c r="BD213" s="475"/>
      <c r="BE213" s="14"/>
      <c r="BF213" s="17"/>
      <c r="BG213" s="14"/>
      <c r="BH213" s="17"/>
      <c r="BI213" s="14"/>
      <c r="BJ213" s="17"/>
      <c r="BK213" s="14"/>
      <c r="BL213" s="17"/>
      <c r="BM213" s="14"/>
      <c r="BN213" s="17"/>
      <c r="BO213" s="14"/>
      <c r="BP213" s="17"/>
      <c r="BQ213" s="108">
        <f t="shared" si="391"/>
        <v>0</v>
      </c>
      <c r="BR213" s="567"/>
      <c r="BS213" s="571"/>
      <c r="BT213" s="572"/>
      <c r="BU213" s="558"/>
      <c r="BV213" s="561"/>
      <c r="BW213" s="564"/>
      <c r="BX213" s="616"/>
    </row>
    <row r="214" spans="1:76" ht="15.75" thickBot="1" x14ac:dyDescent="0.3">
      <c r="A214" s="587"/>
      <c r="B214" s="592"/>
      <c r="C214" s="593"/>
      <c r="D214" s="606"/>
      <c r="E214" s="519"/>
      <c r="F214" s="520"/>
      <c r="G214" s="525"/>
      <c r="H214" s="526"/>
      <c r="I214" s="531"/>
      <c r="J214" s="532"/>
      <c r="K214" s="514"/>
      <c r="L214" s="535"/>
      <c r="M214" s="538"/>
      <c r="N214" s="543"/>
      <c r="O214" s="544"/>
      <c r="P214" s="485"/>
      <c r="Q214" s="486"/>
      <c r="R214" s="519"/>
      <c r="S214" s="520"/>
      <c r="T214" s="489"/>
      <c r="U214" s="490"/>
      <c r="V214" s="493"/>
      <c r="W214" s="485"/>
      <c r="X214" s="496"/>
      <c r="Y214" s="486"/>
      <c r="Z214" s="499"/>
      <c r="AA214" s="504"/>
      <c r="AB214" s="505"/>
      <c r="AC214" s="476" t="s">
        <v>261</v>
      </c>
      <c r="AD214" s="477"/>
      <c r="AE214" s="478"/>
      <c r="AF214" s="102"/>
      <c r="AG214" s="102"/>
      <c r="AH214" s="102"/>
      <c r="AI214" s="102"/>
      <c r="AJ214" s="102"/>
      <c r="AK214" s="102"/>
      <c r="AL214" s="102"/>
      <c r="AM214" s="102"/>
      <c r="AN214" s="102"/>
      <c r="AO214" s="102"/>
      <c r="AP214" s="102"/>
      <c r="AQ214" s="103"/>
      <c r="AR214" s="105">
        <f t="shared" si="400"/>
        <v>0</v>
      </c>
      <c r="AS214" s="131" t="s">
        <v>161</v>
      </c>
      <c r="AT214" s="132">
        <f t="shared" ref="AT214:AX214" si="401">SUM(AT211:AT213)</f>
        <v>0</v>
      </c>
      <c r="AU214" s="132">
        <f t="shared" si="401"/>
        <v>0</v>
      </c>
      <c r="AV214" s="132">
        <f t="shared" si="401"/>
        <v>0</v>
      </c>
      <c r="AW214" s="133">
        <f t="shared" si="401"/>
        <v>0</v>
      </c>
      <c r="AX214" s="127">
        <f t="shared" si="401"/>
        <v>0</v>
      </c>
      <c r="AY214" s="144" t="s">
        <v>161</v>
      </c>
      <c r="AZ214" s="140">
        <f t="shared" ref="AZ214:BB214" si="402">SUM(AZ211:AZ213)</f>
        <v>0</v>
      </c>
      <c r="BA214" s="140">
        <f t="shared" si="402"/>
        <v>0</v>
      </c>
      <c r="BB214" s="140">
        <f t="shared" si="402"/>
        <v>0</v>
      </c>
      <c r="BC214" s="479" t="s">
        <v>263</v>
      </c>
      <c r="BD214" s="480"/>
      <c r="BE214" s="15"/>
      <c r="BF214" s="18"/>
      <c r="BG214" s="15"/>
      <c r="BH214" s="18"/>
      <c r="BI214" s="15"/>
      <c r="BJ214" s="18"/>
      <c r="BK214" s="15"/>
      <c r="BL214" s="18"/>
      <c r="BM214" s="15"/>
      <c r="BN214" s="18"/>
      <c r="BO214" s="15"/>
      <c r="BP214" s="18"/>
      <c r="BQ214" s="109">
        <f t="shared" si="391"/>
        <v>0</v>
      </c>
      <c r="BR214" s="568"/>
      <c r="BS214" s="573"/>
      <c r="BT214" s="574"/>
      <c r="BU214" s="559"/>
      <c r="BV214" s="562"/>
      <c r="BW214" s="565"/>
      <c r="BX214" s="617"/>
    </row>
    <row r="215" spans="1:76" ht="15.75" thickTop="1" x14ac:dyDescent="0.25">
      <c r="A215" s="585">
        <v>52</v>
      </c>
      <c r="B215" s="588"/>
      <c r="C215" s="589"/>
      <c r="D215" s="604"/>
      <c r="E215" s="515"/>
      <c r="F215" s="516"/>
      <c r="G215" s="521"/>
      <c r="H215" s="522"/>
      <c r="I215" s="527"/>
      <c r="J215" s="528"/>
      <c r="K215" s="512" t="e">
        <f t="shared" ref="K215" si="403">INT(YEARFRAC(I215,AA215))</f>
        <v>#VALUE!</v>
      </c>
      <c r="L215" s="533">
        <f t="shared" ref="L215" ca="1" si="404">INT(YEARFRAC(I215,TODAY()))</f>
        <v>121</v>
      </c>
      <c r="M215" s="536"/>
      <c r="N215" s="539"/>
      <c r="O215" s="540"/>
      <c r="P215" s="481"/>
      <c r="Q215" s="482"/>
      <c r="R215" s="515"/>
      <c r="S215" s="516"/>
      <c r="T215" s="487"/>
      <c r="U215" s="488"/>
      <c r="V215" s="491"/>
      <c r="W215" s="481"/>
      <c r="X215" s="494"/>
      <c r="Y215" s="482"/>
      <c r="Z215" s="497"/>
      <c r="AA215" s="500" t="s">
        <v>293</v>
      </c>
      <c r="AB215" s="501"/>
      <c r="AC215" s="506" t="s">
        <v>257</v>
      </c>
      <c r="AD215" s="507"/>
      <c r="AE215" s="507"/>
      <c r="AF215" s="510"/>
      <c r="AG215" s="510"/>
      <c r="AH215" s="510"/>
      <c r="AI215" s="510"/>
      <c r="AJ215" s="510"/>
      <c r="AK215" s="510"/>
      <c r="AL215" s="510"/>
      <c r="AM215" s="510"/>
      <c r="AN215" s="510"/>
      <c r="AO215" s="510"/>
      <c r="AP215" s="510"/>
      <c r="AQ215" s="465"/>
      <c r="AR215" s="467">
        <f t="shared" ref="AR215" si="405">SUM(AF215:AQ216)</f>
        <v>0</v>
      </c>
      <c r="AS215" s="119" t="s">
        <v>257</v>
      </c>
      <c r="AT215" s="120"/>
      <c r="AU215" s="120"/>
      <c r="AV215" s="120"/>
      <c r="AW215" s="121"/>
      <c r="AX215" s="125">
        <f t="shared" ref="AX215:AX217" si="406">SUM(AT215:AW215)</f>
        <v>0</v>
      </c>
      <c r="AY215" s="141" t="s">
        <v>257</v>
      </c>
      <c r="AZ215" s="137"/>
      <c r="BA215" s="137"/>
      <c r="BB215" s="134">
        <f t="shared" ref="BB215:BB217" si="407">AZ215-BA215</f>
        <v>0</v>
      </c>
      <c r="BC215" s="469" t="s">
        <v>258</v>
      </c>
      <c r="BD215" s="470"/>
      <c r="BE215" s="13"/>
      <c r="BF215" s="16"/>
      <c r="BG215" s="13"/>
      <c r="BH215" s="16"/>
      <c r="BI215" s="13"/>
      <c r="BJ215" s="16"/>
      <c r="BK215" s="13"/>
      <c r="BL215" s="16"/>
      <c r="BM215" s="13"/>
      <c r="BN215" s="16"/>
      <c r="BO215" s="13"/>
      <c r="BP215" s="16"/>
      <c r="BQ215" s="106">
        <f t="shared" si="391"/>
        <v>0</v>
      </c>
      <c r="BR215" s="566"/>
      <c r="BS215" s="569"/>
      <c r="BT215" s="570"/>
      <c r="BU215" s="557"/>
      <c r="BV215" s="560"/>
      <c r="BW215" s="563"/>
      <c r="BX215" s="615"/>
    </row>
    <row r="216" spans="1:76" x14ac:dyDescent="0.25">
      <c r="A216" s="586"/>
      <c r="B216" s="590"/>
      <c r="C216" s="591"/>
      <c r="D216" s="605"/>
      <c r="E216" s="517"/>
      <c r="F216" s="518"/>
      <c r="G216" s="523"/>
      <c r="H216" s="524"/>
      <c r="I216" s="529"/>
      <c r="J216" s="530"/>
      <c r="K216" s="513"/>
      <c r="L216" s="534"/>
      <c r="M216" s="537"/>
      <c r="N216" s="541"/>
      <c r="O216" s="542"/>
      <c r="P216" s="483"/>
      <c r="Q216" s="484"/>
      <c r="R216" s="517"/>
      <c r="S216" s="518"/>
      <c r="T216" s="487"/>
      <c r="U216" s="488"/>
      <c r="V216" s="492"/>
      <c r="W216" s="483"/>
      <c r="X216" s="495"/>
      <c r="Y216" s="484"/>
      <c r="Z216" s="498"/>
      <c r="AA216" s="502"/>
      <c r="AB216" s="503"/>
      <c r="AC216" s="508"/>
      <c r="AD216" s="509"/>
      <c r="AE216" s="509"/>
      <c r="AF216" s="511"/>
      <c r="AG216" s="511"/>
      <c r="AH216" s="511"/>
      <c r="AI216" s="511"/>
      <c r="AJ216" s="511"/>
      <c r="AK216" s="511"/>
      <c r="AL216" s="511"/>
      <c r="AM216" s="511"/>
      <c r="AN216" s="511"/>
      <c r="AO216" s="511"/>
      <c r="AP216" s="511"/>
      <c r="AQ216" s="466"/>
      <c r="AR216" s="468"/>
      <c r="AS216" s="122" t="s">
        <v>259</v>
      </c>
      <c r="AT216" s="123"/>
      <c r="AU216" s="123"/>
      <c r="AV216" s="123"/>
      <c r="AW216" s="124"/>
      <c r="AX216" s="126">
        <f t="shared" si="406"/>
        <v>0</v>
      </c>
      <c r="AY216" s="142" t="s">
        <v>259</v>
      </c>
      <c r="AZ216" s="138"/>
      <c r="BA216" s="138"/>
      <c r="BB216" s="135">
        <f t="shared" si="407"/>
        <v>0</v>
      </c>
      <c r="BC216" s="474" t="s">
        <v>260</v>
      </c>
      <c r="BD216" s="475"/>
      <c r="BE216" s="14"/>
      <c r="BF216" s="17"/>
      <c r="BG216" s="14"/>
      <c r="BH216" s="17"/>
      <c r="BI216" s="14"/>
      <c r="BJ216" s="17"/>
      <c r="BK216" s="14"/>
      <c r="BL216" s="17"/>
      <c r="BM216" s="14"/>
      <c r="BN216" s="17"/>
      <c r="BO216" s="14"/>
      <c r="BP216" s="17"/>
      <c r="BQ216" s="107">
        <f t="shared" si="391"/>
        <v>0</v>
      </c>
      <c r="BR216" s="567"/>
      <c r="BS216" s="571"/>
      <c r="BT216" s="572"/>
      <c r="BU216" s="558"/>
      <c r="BV216" s="561"/>
      <c r="BW216" s="564"/>
      <c r="BX216" s="616"/>
    </row>
    <row r="217" spans="1:76" ht="15.75" thickBot="1" x14ac:dyDescent="0.3">
      <c r="A217" s="586"/>
      <c r="B217" s="590"/>
      <c r="C217" s="591"/>
      <c r="D217" s="605"/>
      <c r="E217" s="517"/>
      <c r="F217" s="518"/>
      <c r="G217" s="523"/>
      <c r="H217" s="524"/>
      <c r="I217" s="529"/>
      <c r="J217" s="530"/>
      <c r="K217" s="513"/>
      <c r="L217" s="534"/>
      <c r="M217" s="537"/>
      <c r="N217" s="541"/>
      <c r="O217" s="542"/>
      <c r="P217" s="483"/>
      <c r="Q217" s="484"/>
      <c r="R217" s="517"/>
      <c r="S217" s="518"/>
      <c r="T217" s="487"/>
      <c r="U217" s="488"/>
      <c r="V217" s="492"/>
      <c r="W217" s="483"/>
      <c r="X217" s="495"/>
      <c r="Y217" s="484"/>
      <c r="Z217" s="498"/>
      <c r="AA217" s="502"/>
      <c r="AB217" s="503"/>
      <c r="AC217" s="471" t="s">
        <v>259</v>
      </c>
      <c r="AD217" s="472"/>
      <c r="AE217" s="473"/>
      <c r="AF217" s="100"/>
      <c r="AG217" s="100"/>
      <c r="AH217" s="100"/>
      <c r="AI217" s="100"/>
      <c r="AJ217" s="100"/>
      <c r="AK217" s="100"/>
      <c r="AL217" s="100"/>
      <c r="AM217" s="100"/>
      <c r="AN217" s="100"/>
      <c r="AO217" s="100"/>
      <c r="AP217" s="100"/>
      <c r="AQ217" s="101"/>
      <c r="AR217" s="104">
        <f t="shared" ref="AR217:AR218" si="408">SUM(AF217:AQ217)</f>
        <v>0</v>
      </c>
      <c r="AS217" s="128" t="s">
        <v>261</v>
      </c>
      <c r="AT217" s="129"/>
      <c r="AU217" s="129"/>
      <c r="AV217" s="129"/>
      <c r="AW217" s="130"/>
      <c r="AX217" s="126">
        <f t="shared" si="406"/>
        <v>0</v>
      </c>
      <c r="AY217" s="143" t="s">
        <v>261</v>
      </c>
      <c r="AZ217" s="139"/>
      <c r="BA217" s="139"/>
      <c r="BB217" s="136">
        <f t="shared" si="407"/>
        <v>0</v>
      </c>
      <c r="BC217" s="474" t="s">
        <v>262</v>
      </c>
      <c r="BD217" s="475"/>
      <c r="BE217" s="14"/>
      <c r="BF217" s="17"/>
      <c r="BG217" s="14"/>
      <c r="BH217" s="17"/>
      <c r="BI217" s="14"/>
      <c r="BJ217" s="17"/>
      <c r="BK217" s="14"/>
      <c r="BL217" s="17"/>
      <c r="BM217" s="14"/>
      <c r="BN217" s="17"/>
      <c r="BO217" s="14"/>
      <c r="BP217" s="17"/>
      <c r="BQ217" s="108">
        <f t="shared" si="391"/>
        <v>0</v>
      </c>
      <c r="BR217" s="567"/>
      <c r="BS217" s="571"/>
      <c r="BT217" s="572"/>
      <c r="BU217" s="558"/>
      <c r="BV217" s="561"/>
      <c r="BW217" s="564"/>
      <c r="BX217" s="616"/>
    </row>
    <row r="218" spans="1:76" ht="15.75" thickBot="1" x14ac:dyDescent="0.3">
      <c r="A218" s="587"/>
      <c r="B218" s="592"/>
      <c r="C218" s="593"/>
      <c r="D218" s="606"/>
      <c r="E218" s="519"/>
      <c r="F218" s="520"/>
      <c r="G218" s="525"/>
      <c r="H218" s="526"/>
      <c r="I218" s="531"/>
      <c r="J218" s="532"/>
      <c r="K218" s="514"/>
      <c r="L218" s="535"/>
      <c r="M218" s="538"/>
      <c r="N218" s="543"/>
      <c r="O218" s="544"/>
      <c r="P218" s="485"/>
      <c r="Q218" s="486"/>
      <c r="R218" s="519"/>
      <c r="S218" s="520"/>
      <c r="T218" s="489"/>
      <c r="U218" s="490"/>
      <c r="V218" s="493"/>
      <c r="W218" s="485"/>
      <c r="X218" s="496"/>
      <c r="Y218" s="486"/>
      <c r="Z218" s="499"/>
      <c r="AA218" s="504"/>
      <c r="AB218" s="505"/>
      <c r="AC218" s="476" t="s">
        <v>261</v>
      </c>
      <c r="AD218" s="477"/>
      <c r="AE218" s="478"/>
      <c r="AF218" s="102"/>
      <c r="AG218" s="102"/>
      <c r="AH218" s="102"/>
      <c r="AI218" s="102"/>
      <c r="AJ218" s="102"/>
      <c r="AK218" s="102"/>
      <c r="AL218" s="102"/>
      <c r="AM218" s="102"/>
      <c r="AN218" s="102"/>
      <c r="AO218" s="102"/>
      <c r="AP218" s="102"/>
      <c r="AQ218" s="103"/>
      <c r="AR218" s="105">
        <f t="shared" si="408"/>
        <v>0</v>
      </c>
      <c r="AS218" s="131" t="s">
        <v>161</v>
      </c>
      <c r="AT218" s="132">
        <f t="shared" ref="AT218:AX218" si="409">SUM(AT215:AT217)</f>
        <v>0</v>
      </c>
      <c r="AU218" s="132">
        <f t="shared" si="409"/>
        <v>0</v>
      </c>
      <c r="AV218" s="132">
        <f t="shared" si="409"/>
        <v>0</v>
      </c>
      <c r="AW218" s="133">
        <f t="shared" si="409"/>
        <v>0</v>
      </c>
      <c r="AX218" s="127">
        <f t="shared" si="409"/>
        <v>0</v>
      </c>
      <c r="AY218" s="144" t="s">
        <v>161</v>
      </c>
      <c r="AZ218" s="140">
        <f t="shared" ref="AZ218:BB218" si="410">SUM(AZ215:AZ217)</f>
        <v>0</v>
      </c>
      <c r="BA218" s="140">
        <f t="shared" si="410"/>
        <v>0</v>
      </c>
      <c r="BB218" s="140">
        <f t="shared" si="410"/>
        <v>0</v>
      </c>
      <c r="BC218" s="479" t="s">
        <v>263</v>
      </c>
      <c r="BD218" s="480"/>
      <c r="BE218" s="15"/>
      <c r="BF218" s="18"/>
      <c r="BG218" s="15"/>
      <c r="BH218" s="18"/>
      <c r="BI218" s="15"/>
      <c r="BJ218" s="18"/>
      <c r="BK218" s="15"/>
      <c r="BL218" s="18"/>
      <c r="BM218" s="15"/>
      <c r="BN218" s="18"/>
      <c r="BO218" s="15"/>
      <c r="BP218" s="18"/>
      <c r="BQ218" s="109">
        <f t="shared" si="391"/>
        <v>0</v>
      </c>
      <c r="BR218" s="568"/>
      <c r="BS218" s="573"/>
      <c r="BT218" s="574"/>
      <c r="BU218" s="559"/>
      <c r="BV218" s="562"/>
      <c r="BW218" s="565"/>
      <c r="BX218" s="617"/>
    </row>
    <row r="219" spans="1:76" ht="15.75" thickTop="1" x14ac:dyDescent="0.25">
      <c r="A219" s="585">
        <v>53</v>
      </c>
      <c r="B219" s="588"/>
      <c r="C219" s="589"/>
      <c r="D219" s="604"/>
      <c r="E219" s="515"/>
      <c r="F219" s="516"/>
      <c r="G219" s="521"/>
      <c r="H219" s="522"/>
      <c r="I219" s="527"/>
      <c r="J219" s="528"/>
      <c r="K219" s="512" t="e">
        <f t="shared" ref="K219" si="411">INT(YEARFRAC(I219,AA219))</f>
        <v>#VALUE!</v>
      </c>
      <c r="L219" s="533">
        <f t="shared" ref="L219" ca="1" si="412">INT(YEARFRAC(I219,TODAY()))</f>
        <v>121</v>
      </c>
      <c r="M219" s="536"/>
      <c r="N219" s="539"/>
      <c r="O219" s="540"/>
      <c r="P219" s="481"/>
      <c r="Q219" s="482"/>
      <c r="R219" s="515"/>
      <c r="S219" s="516"/>
      <c r="T219" s="487"/>
      <c r="U219" s="488"/>
      <c r="V219" s="491"/>
      <c r="W219" s="481"/>
      <c r="X219" s="494"/>
      <c r="Y219" s="482"/>
      <c r="Z219" s="497"/>
      <c r="AA219" s="500" t="s">
        <v>294</v>
      </c>
      <c r="AB219" s="501"/>
      <c r="AC219" s="506" t="s">
        <v>257</v>
      </c>
      <c r="AD219" s="507"/>
      <c r="AE219" s="507"/>
      <c r="AF219" s="510"/>
      <c r="AG219" s="510"/>
      <c r="AH219" s="510"/>
      <c r="AI219" s="510"/>
      <c r="AJ219" s="510"/>
      <c r="AK219" s="510"/>
      <c r="AL219" s="510"/>
      <c r="AM219" s="510"/>
      <c r="AN219" s="510"/>
      <c r="AO219" s="510"/>
      <c r="AP219" s="510"/>
      <c r="AQ219" s="465"/>
      <c r="AR219" s="467">
        <f t="shared" ref="AR219" si="413">SUM(AF219:AQ220)</f>
        <v>0</v>
      </c>
      <c r="AS219" s="119" t="s">
        <v>257</v>
      </c>
      <c r="AT219" s="120"/>
      <c r="AU219" s="120"/>
      <c r="AV219" s="120"/>
      <c r="AW219" s="121"/>
      <c r="AX219" s="125">
        <f t="shared" ref="AX219:AX221" si="414">SUM(AT219:AW219)</f>
        <v>0</v>
      </c>
      <c r="AY219" s="141" t="s">
        <v>257</v>
      </c>
      <c r="AZ219" s="137"/>
      <c r="BA219" s="137"/>
      <c r="BB219" s="134">
        <f t="shared" ref="BB219:BB221" si="415">AZ219-BA219</f>
        <v>0</v>
      </c>
      <c r="BC219" s="469" t="s">
        <v>258</v>
      </c>
      <c r="BD219" s="470"/>
      <c r="BE219" s="13"/>
      <c r="BF219" s="16"/>
      <c r="BG219" s="13"/>
      <c r="BH219" s="16"/>
      <c r="BI219" s="13"/>
      <c r="BJ219" s="16"/>
      <c r="BK219" s="13"/>
      <c r="BL219" s="16"/>
      <c r="BM219" s="13"/>
      <c r="BN219" s="16"/>
      <c r="BO219" s="13"/>
      <c r="BP219" s="16"/>
      <c r="BQ219" s="106">
        <f t="shared" si="391"/>
        <v>0</v>
      </c>
      <c r="BR219" s="566"/>
      <c r="BS219" s="569"/>
      <c r="BT219" s="570"/>
      <c r="BU219" s="557"/>
      <c r="BV219" s="560"/>
      <c r="BW219" s="563"/>
      <c r="BX219" s="615"/>
    </row>
    <row r="220" spans="1:76" x14ac:dyDescent="0.25">
      <c r="A220" s="586"/>
      <c r="B220" s="590"/>
      <c r="C220" s="591"/>
      <c r="D220" s="605"/>
      <c r="E220" s="517"/>
      <c r="F220" s="518"/>
      <c r="G220" s="523"/>
      <c r="H220" s="524"/>
      <c r="I220" s="529"/>
      <c r="J220" s="530"/>
      <c r="K220" s="513"/>
      <c r="L220" s="534"/>
      <c r="M220" s="537"/>
      <c r="N220" s="541"/>
      <c r="O220" s="542"/>
      <c r="P220" s="483"/>
      <c r="Q220" s="484"/>
      <c r="R220" s="517"/>
      <c r="S220" s="518"/>
      <c r="T220" s="487"/>
      <c r="U220" s="488"/>
      <c r="V220" s="492"/>
      <c r="W220" s="483"/>
      <c r="X220" s="495"/>
      <c r="Y220" s="484"/>
      <c r="Z220" s="498"/>
      <c r="AA220" s="502"/>
      <c r="AB220" s="503"/>
      <c r="AC220" s="508"/>
      <c r="AD220" s="509"/>
      <c r="AE220" s="509"/>
      <c r="AF220" s="511"/>
      <c r="AG220" s="511"/>
      <c r="AH220" s="511"/>
      <c r="AI220" s="511"/>
      <c r="AJ220" s="511"/>
      <c r="AK220" s="511"/>
      <c r="AL220" s="511"/>
      <c r="AM220" s="511"/>
      <c r="AN220" s="511"/>
      <c r="AO220" s="511"/>
      <c r="AP220" s="511"/>
      <c r="AQ220" s="466"/>
      <c r="AR220" s="468"/>
      <c r="AS220" s="122" t="s">
        <v>259</v>
      </c>
      <c r="AT220" s="123"/>
      <c r="AU220" s="123"/>
      <c r="AV220" s="123"/>
      <c r="AW220" s="124"/>
      <c r="AX220" s="126">
        <f t="shared" si="414"/>
        <v>0</v>
      </c>
      <c r="AY220" s="142" t="s">
        <v>259</v>
      </c>
      <c r="AZ220" s="138"/>
      <c r="BA220" s="138"/>
      <c r="BB220" s="135">
        <f t="shared" si="415"/>
        <v>0</v>
      </c>
      <c r="BC220" s="474" t="s">
        <v>260</v>
      </c>
      <c r="BD220" s="475"/>
      <c r="BE220" s="14"/>
      <c r="BF220" s="17"/>
      <c r="BG220" s="14"/>
      <c r="BH220" s="17"/>
      <c r="BI220" s="14"/>
      <c r="BJ220" s="17"/>
      <c r="BK220" s="14"/>
      <c r="BL220" s="17"/>
      <c r="BM220" s="14"/>
      <c r="BN220" s="17"/>
      <c r="BO220" s="14"/>
      <c r="BP220" s="17"/>
      <c r="BQ220" s="107">
        <f t="shared" si="391"/>
        <v>0</v>
      </c>
      <c r="BR220" s="567"/>
      <c r="BS220" s="571"/>
      <c r="BT220" s="572"/>
      <c r="BU220" s="558"/>
      <c r="BV220" s="561"/>
      <c r="BW220" s="564"/>
      <c r="BX220" s="616"/>
    </row>
    <row r="221" spans="1:76" ht="15.75" thickBot="1" x14ac:dyDescent="0.3">
      <c r="A221" s="586"/>
      <c r="B221" s="590"/>
      <c r="C221" s="591"/>
      <c r="D221" s="605"/>
      <c r="E221" s="517"/>
      <c r="F221" s="518"/>
      <c r="G221" s="523"/>
      <c r="H221" s="524"/>
      <c r="I221" s="529"/>
      <c r="J221" s="530"/>
      <c r="K221" s="513"/>
      <c r="L221" s="534"/>
      <c r="M221" s="537"/>
      <c r="N221" s="541"/>
      <c r="O221" s="542"/>
      <c r="P221" s="483"/>
      <c r="Q221" s="484"/>
      <c r="R221" s="517"/>
      <c r="S221" s="518"/>
      <c r="T221" s="487"/>
      <c r="U221" s="488"/>
      <c r="V221" s="492"/>
      <c r="W221" s="483"/>
      <c r="X221" s="495"/>
      <c r="Y221" s="484"/>
      <c r="Z221" s="498"/>
      <c r="AA221" s="502"/>
      <c r="AB221" s="503"/>
      <c r="AC221" s="471" t="s">
        <v>259</v>
      </c>
      <c r="AD221" s="472"/>
      <c r="AE221" s="473"/>
      <c r="AF221" s="100"/>
      <c r="AG221" s="100"/>
      <c r="AH221" s="100"/>
      <c r="AI221" s="100"/>
      <c r="AJ221" s="100"/>
      <c r="AK221" s="100"/>
      <c r="AL221" s="100"/>
      <c r="AM221" s="100"/>
      <c r="AN221" s="100"/>
      <c r="AO221" s="100"/>
      <c r="AP221" s="100"/>
      <c r="AQ221" s="101"/>
      <c r="AR221" s="104">
        <f t="shared" ref="AR221:AR222" si="416">SUM(AF221:AQ221)</f>
        <v>0</v>
      </c>
      <c r="AS221" s="128" t="s">
        <v>261</v>
      </c>
      <c r="AT221" s="129"/>
      <c r="AU221" s="129"/>
      <c r="AV221" s="129"/>
      <c r="AW221" s="130"/>
      <c r="AX221" s="126">
        <f t="shared" si="414"/>
        <v>0</v>
      </c>
      <c r="AY221" s="143" t="s">
        <v>261</v>
      </c>
      <c r="AZ221" s="139"/>
      <c r="BA221" s="139"/>
      <c r="BB221" s="136">
        <f t="shared" si="415"/>
        <v>0</v>
      </c>
      <c r="BC221" s="474" t="s">
        <v>262</v>
      </c>
      <c r="BD221" s="475"/>
      <c r="BE221" s="14"/>
      <c r="BF221" s="17"/>
      <c r="BG221" s="14"/>
      <c r="BH221" s="17"/>
      <c r="BI221" s="14"/>
      <c r="BJ221" s="17"/>
      <c r="BK221" s="14"/>
      <c r="BL221" s="17"/>
      <c r="BM221" s="14"/>
      <c r="BN221" s="17"/>
      <c r="BO221" s="14"/>
      <c r="BP221" s="17"/>
      <c r="BQ221" s="108">
        <f t="shared" si="391"/>
        <v>0</v>
      </c>
      <c r="BR221" s="567"/>
      <c r="BS221" s="571"/>
      <c r="BT221" s="572"/>
      <c r="BU221" s="558"/>
      <c r="BV221" s="561"/>
      <c r="BW221" s="564"/>
      <c r="BX221" s="616"/>
    </row>
    <row r="222" spans="1:76" ht="15.75" thickBot="1" x14ac:dyDescent="0.3">
      <c r="A222" s="587"/>
      <c r="B222" s="592"/>
      <c r="C222" s="593"/>
      <c r="D222" s="606"/>
      <c r="E222" s="519"/>
      <c r="F222" s="520"/>
      <c r="G222" s="525"/>
      <c r="H222" s="526"/>
      <c r="I222" s="531"/>
      <c r="J222" s="532"/>
      <c r="K222" s="514"/>
      <c r="L222" s="535"/>
      <c r="M222" s="538"/>
      <c r="N222" s="543"/>
      <c r="O222" s="544"/>
      <c r="P222" s="485"/>
      <c r="Q222" s="486"/>
      <c r="R222" s="519"/>
      <c r="S222" s="520"/>
      <c r="T222" s="489"/>
      <c r="U222" s="490"/>
      <c r="V222" s="493"/>
      <c r="W222" s="485"/>
      <c r="X222" s="496"/>
      <c r="Y222" s="486"/>
      <c r="Z222" s="499"/>
      <c r="AA222" s="504"/>
      <c r="AB222" s="505"/>
      <c r="AC222" s="476" t="s">
        <v>261</v>
      </c>
      <c r="AD222" s="477"/>
      <c r="AE222" s="478"/>
      <c r="AF222" s="102"/>
      <c r="AG222" s="102"/>
      <c r="AH222" s="102"/>
      <c r="AI222" s="102"/>
      <c r="AJ222" s="102"/>
      <c r="AK222" s="102"/>
      <c r="AL222" s="102"/>
      <c r="AM222" s="102"/>
      <c r="AN222" s="102"/>
      <c r="AO222" s="102"/>
      <c r="AP222" s="102"/>
      <c r="AQ222" s="103"/>
      <c r="AR222" s="105">
        <f t="shared" si="416"/>
        <v>0</v>
      </c>
      <c r="AS222" s="131" t="s">
        <v>161</v>
      </c>
      <c r="AT222" s="132">
        <f t="shared" ref="AT222:AX222" si="417">SUM(AT219:AT221)</f>
        <v>0</v>
      </c>
      <c r="AU222" s="132">
        <f t="shared" si="417"/>
        <v>0</v>
      </c>
      <c r="AV222" s="132">
        <f t="shared" si="417"/>
        <v>0</v>
      </c>
      <c r="AW222" s="133">
        <f t="shared" si="417"/>
        <v>0</v>
      </c>
      <c r="AX222" s="127">
        <f t="shared" si="417"/>
        <v>0</v>
      </c>
      <c r="AY222" s="144" t="s">
        <v>161</v>
      </c>
      <c r="AZ222" s="140">
        <f t="shared" ref="AZ222:BB222" si="418">SUM(AZ219:AZ221)</f>
        <v>0</v>
      </c>
      <c r="BA222" s="140">
        <f t="shared" si="418"/>
        <v>0</v>
      </c>
      <c r="BB222" s="140">
        <f t="shared" si="418"/>
        <v>0</v>
      </c>
      <c r="BC222" s="479" t="s">
        <v>263</v>
      </c>
      <c r="BD222" s="480"/>
      <c r="BE222" s="15"/>
      <c r="BF222" s="18"/>
      <c r="BG222" s="15"/>
      <c r="BH222" s="18"/>
      <c r="BI222" s="15"/>
      <c r="BJ222" s="18"/>
      <c r="BK222" s="15"/>
      <c r="BL222" s="18"/>
      <c r="BM222" s="15"/>
      <c r="BN222" s="18"/>
      <c r="BO222" s="15"/>
      <c r="BP222" s="18"/>
      <c r="BQ222" s="109">
        <f t="shared" si="391"/>
        <v>0</v>
      </c>
      <c r="BR222" s="568"/>
      <c r="BS222" s="573"/>
      <c r="BT222" s="574"/>
      <c r="BU222" s="559"/>
      <c r="BV222" s="562"/>
      <c r="BW222" s="565"/>
      <c r="BX222" s="617"/>
    </row>
    <row r="223" spans="1:76" ht="15.75" thickTop="1" x14ac:dyDescent="0.25">
      <c r="A223" s="585">
        <v>54</v>
      </c>
      <c r="B223" s="588"/>
      <c r="C223" s="589"/>
      <c r="D223" s="604"/>
      <c r="E223" s="515"/>
      <c r="F223" s="516"/>
      <c r="G223" s="521"/>
      <c r="H223" s="522"/>
      <c r="I223" s="527"/>
      <c r="J223" s="528"/>
      <c r="K223" s="512" t="e">
        <f t="shared" ref="K223" si="419">INT(YEARFRAC(I223,AA223))</f>
        <v>#VALUE!</v>
      </c>
      <c r="L223" s="533">
        <f t="shared" ref="L223" ca="1" si="420">INT(YEARFRAC(I223,TODAY()))</f>
        <v>121</v>
      </c>
      <c r="M223" s="536"/>
      <c r="N223" s="539"/>
      <c r="O223" s="540"/>
      <c r="P223" s="481"/>
      <c r="Q223" s="482"/>
      <c r="R223" s="515"/>
      <c r="S223" s="516"/>
      <c r="T223" s="487"/>
      <c r="U223" s="488"/>
      <c r="V223" s="491"/>
      <c r="W223" s="481"/>
      <c r="X223" s="494"/>
      <c r="Y223" s="482"/>
      <c r="Z223" s="497"/>
      <c r="AA223" s="500" t="s">
        <v>295</v>
      </c>
      <c r="AB223" s="501"/>
      <c r="AC223" s="506" t="s">
        <v>257</v>
      </c>
      <c r="AD223" s="507"/>
      <c r="AE223" s="507"/>
      <c r="AF223" s="510"/>
      <c r="AG223" s="510"/>
      <c r="AH223" s="510"/>
      <c r="AI223" s="510"/>
      <c r="AJ223" s="510"/>
      <c r="AK223" s="510"/>
      <c r="AL223" s="510"/>
      <c r="AM223" s="510"/>
      <c r="AN223" s="510"/>
      <c r="AO223" s="510"/>
      <c r="AP223" s="510"/>
      <c r="AQ223" s="465"/>
      <c r="AR223" s="467">
        <f t="shared" ref="AR223" si="421">SUM(AF223:AQ224)</f>
        <v>0</v>
      </c>
      <c r="AS223" s="119" t="s">
        <v>257</v>
      </c>
      <c r="AT223" s="120"/>
      <c r="AU223" s="120"/>
      <c r="AV223" s="120"/>
      <c r="AW223" s="121"/>
      <c r="AX223" s="125">
        <f t="shared" ref="AX223:AX225" si="422">SUM(AT223:AW223)</f>
        <v>0</v>
      </c>
      <c r="AY223" s="141" t="s">
        <v>257</v>
      </c>
      <c r="AZ223" s="137"/>
      <c r="BA223" s="137"/>
      <c r="BB223" s="134">
        <f t="shared" ref="BB223:BB225" si="423">AZ223-BA223</f>
        <v>0</v>
      </c>
      <c r="BC223" s="469" t="s">
        <v>258</v>
      </c>
      <c r="BD223" s="470"/>
      <c r="BE223" s="13"/>
      <c r="BF223" s="16"/>
      <c r="BG223" s="13"/>
      <c r="BH223" s="16"/>
      <c r="BI223" s="13"/>
      <c r="BJ223" s="16"/>
      <c r="BK223" s="13"/>
      <c r="BL223" s="16"/>
      <c r="BM223" s="13"/>
      <c r="BN223" s="16"/>
      <c r="BO223" s="13"/>
      <c r="BP223" s="16"/>
      <c r="BQ223" s="106">
        <f t="shared" si="391"/>
        <v>0</v>
      </c>
      <c r="BR223" s="566"/>
      <c r="BS223" s="569"/>
      <c r="BT223" s="570"/>
      <c r="BU223" s="557"/>
      <c r="BV223" s="560"/>
      <c r="BW223" s="563"/>
      <c r="BX223" s="615"/>
    </row>
    <row r="224" spans="1:76" x14ac:dyDescent="0.25">
      <c r="A224" s="586"/>
      <c r="B224" s="590"/>
      <c r="C224" s="591"/>
      <c r="D224" s="605"/>
      <c r="E224" s="517"/>
      <c r="F224" s="518"/>
      <c r="G224" s="523"/>
      <c r="H224" s="524"/>
      <c r="I224" s="529"/>
      <c r="J224" s="530"/>
      <c r="K224" s="513"/>
      <c r="L224" s="534"/>
      <c r="M224" s="537"/>
      <c r="N224" s="541"/>
      <c r="O224" s="542"/>
      <c r="P224" s="483"/>
      <c r="Q224" s="484"/>
      <c r="R224" s="517"/>
      <c r="S224" s="518"/>
      <c r="T224" s="487"/>
      <c r="U224" s="488"/>
      <c r="V224" s="492"/>
      <c r="W224" s="483"/>
      <c r="X224" s="495"/>
      <c r="Y224" s="484"/>
      <c r="Z224" s="498"/>
      <c r="AA224" s="502"/>
      <c r="AB224" s="503"/>
      <c r="AC224" s="508"/>
      <c r="AD224" s="509"/>
      <c r="AE224" s="509"/>
      <c r="AF224" s="511"/>
      <c r="AG224" s="511"/>
      <c r="AH224" s="511"/>
      <c r="AI224" s="511"/>
      <c r="AJ224" s="511"/>
      <c r="AK224" s="511"/>
      <c r="AL224" s="511"/>
      <c r="AM224" s="511"/>
      <c r="AN224" s="511"/>
      <c r="AO224" s="511"/>
      <c r="AP224" s="511"/>
      <c r="AQ224" s="466"/>
      <c r="AR224" s="468"/>
      <c r="AS224" s="122" t="s">
        <v>259</v>
      </c>
      <c r="AT224" s="123"/>
      <c r="AU224" s="123"/>
      <c r="AV224" s="123"/>
      <c r="AW224" s="124"/>
      <c r="AX224" s="126">
        <f t="shared" si="422"/>
        <v>0</v>
      </c>
      <c r="AY224" s="142" t="s">
        <v>259</v>
      </c>
      <c r="AZ224" s="138"/>
      <c r="BA224" s="138"/>
      <c r="BB224" s="135">
        <f t="shared" si="423"/>
        <v>0</v>
      </c>
      <c r="BC224" s="474" t="s">
        <v>260</v>
      </c>
      <c r="BD224" s="475"/>
      <c r="BE224" s="14"/>
      <c r="BF224" s="17"/>
      <c r="BG224" s="14"/>
      <c r="BH224" s="17"/>
      <c r="BI224" s="14"/>
      <c r="BJ224" s="17"/>
      <c r="BK224" s="14"/>
      <c r="BL224" s="17"/>
      <c r="BM224" s="14"/>
      <c r="BN224" s="17"/>
      <c r="BO224" s="14"/>
      <c r="BP224" s="17"/>
      <c r="BQ224" s="107">
        <f t="shared" si="391"/>
        <v>0</v>
      </c>
      <c r="BR224" s="567"/>
      <c r="BS224" s="571"/>
      <c r="BT224" s="572"/>
      <c r="BU224" s="558"/>
      <c r="BV224" s="561"/>
      <c r="BW224" s="564"/>
      <c r="BX224" s="616"/>
    </row>
    <row r="225" spans="1:76" ht="15.75" thickBot="1" x14ac:dyDescent="0.3">
      <c r="A225" s="586"/>
      <c r="B225" s="590"/>
      <c r="C225" s="591"/>
      <c r="D225" s="605"/>
      <c r="E225" s="517"/>
      <c r="F225" s="518"/>
      <c r="G225" s="523"/>
      <c r="H225" s="524"/>
      <c r="I225" s="529"/>
      <c r="J225" s="530"/>
      <c r="K225" s="513"/>
      <c r="L225" s="534"/>
      <c r="M225" s="537"/>
      <c r="N225" s="541"/>
      <c r="O225" s="542"/>
      <c r="P225" s="483"/>
      <c r="Q225" s="484"/>
      <c r="R225" s="517"/>
      <c r="S225" s="518"/>
      <c r="T225" s="487"/>
      <c r="U225" s="488"/>
      <c r="V225" s="492"/>
      <c r="W225" s="483"/>
      <c r="X225" s="495"/>
      <c r="Y225" s="484"/>
      <c r="Z225" s="498"/>
      <c r="AA225" s="502"/>
      <c r="AB225" s="503"/>
      <c r="AC225" s="471" t="s">
        <v>259</v>
      </c>
      <c r="AD225" s="472"/>
      <c r="AE225" s="473"/>
      <c r="AF225" s="100"/>
      <c r="AG225" s="100"/>
      <c r="AH225" s="100"/>
      <c r="AI225" s="100"/>
      <c r="AJ225" s="100"/>
      <c r="AK225" s="100"/>
      <c r="AL225" s="100"/>
      <c r="AM225" s="100"/>
      <c r="AN225" s="100"/>
      <c r="AO225" s="100"/>
      <c r="AP225" s="100"/>
      <c r="AQ225" s="101"/>
      <c r="AR225" s="104">
        <f t="shared" ref="AR225:AR226" si="424">SUM(AF225:AQ225)</f>
        <v>0</v>
      </c>
      <c r="AS225" s="128" t="s">
        <v>261</v>
      </c>
      <c r="AT225" s="129"/>
      <c r="AU225" s="129"/>
      <c r="AV225" s="129"/>
      <c r="AW225" s="130"/>
      <c r="AX225" s="126">
        <f t="shared" si="422"/>
        <v>0</v>
      </c>
      <c r="AY225" s="143" t="s">
        <v>261</v>
      </c>
      <c r="AZ225" s="139"/>
      <c r="BA225" s="139"/>
      <c r="BB225" s="136">
        <f t="shared" si="423"/>
        <v>0</v>
      </c>
      <c r="BC225" s="474" t="s">
        <v>262</v>
      </c>
      <c r="BD225" s="475"/>
      <c r="BE225" s="14"/>
      <c r="BF225" s="17"/>
      <c r="BG225" s="14"/>
      <c r="BH225" s="17"/>
      <c r="BI225" s="14"/>
      <c r="BJ225" s="17"/>
      <c r="BK225" s="14"/>
      <c r="BL225" s="17"/>
      <c r="BM225" s="14"/>
      <c r="BN225" s="17"/>
      <c r="BO225" s="14"/>
      <c r="BP225" s="17"/>
      <c r="BQ225" s="108">
        <f t="shared" si="391"/>
        <v>0</v>
      </c>
      <c r="BR225" s="567"/>
      <c r="BS225" s="571"/>
      <c r="BT225" s="572"/>
      <c r="BU225" s="558"/>
      <c r="BV225" s="561"/>
      <c r="BW225" s="564"/>
      <c r="BX225" s="616"/>
    </row>
    <row r="226" spans="1:76" ht="15.75" thickBot="1" x14ac:dyDescent="0.3">
      <c r="A226" s="587"/>
      <c r="B226" s="592"/>
      <c r="C226" s="593"/>
      <c r="D226" s="606"/>
      <c r="E226" s="519"/>
      <c r="F226" s="520"/>
      <c r="G226" s="525"/>
      <c r="H226" s="526"/>
      <c r="I226" s="531"/>
      <c r="J226" s="532"/>
      <c r="K226" s="514"/>
      <c r="L226" s="535"/>
      <c r="M226" s="538"/>
      <c r="N226" s="543"/>
      <c r="O226" s="544"/>
      <c r="P226" s="485"/>
      <c r="Q226" s="486"/>
      <c r="R226" s="519"/>
      <c r="S226" s="520"/>
      <c r="T226" s="489"/>
      <c r="U226" s="490"/>
      <c r="V226" s="493"/>
      <c r="W226" s="485"/>
      <c r="X226" s="496"/>
      <c r="Y226" s="486"/>
      <c r="Z226" s="499"/>
      <c r="AA226" s="504"/>
      <c r="AB226" s="505"/>
      <c r="AC226" s="476" t="s">
        <v>261</v>
      </c>
      <c r="AD226" s="477"/>
      <c r="AE226" s="478"/>
      <c r="AF226" s="102"/>
      <c r="AG226" s="102"/>
      <c r="AH226" s="102"/>
      <c r="AI226" s="102"/>
      <c r="AJ226" s="102"/>
      <c r="AK226" s="102"/>
      <c r="AL226" s="102"/>
      <c r="AM226" s="102"/>
      <c r="AN226" s="102"/>
      <c r="AO226" s="102"/>
      <c r="AP226" s="102"/>
      <c r="AQ226" s="103"/>
      <c r="AR226" s="105">
        <f t="shared" si="424"/>
        <v>0</v>
      </c>
      <c r="AS226" s="131" t="s">
        <v>161</v>
      </c>
      <c r="AT226" s="132">
        <f t="shared" ref="AT226:AX226" si="425">SUM(AT223:AT225)</f>
        <v>0</v>
      </c>
      <c r="AU226" s="132">
        <f t="shared" si="425"/>
        <v>0</v>
      </c>
      <c r="AV226" s="132">
        <f t="shared" si="425"/>
        <v>0</v>
      </c>
      <c r="AW226" s="133">
        <f t="shared" si="425"/>
        <v>0</v>
      </c>
      <c r="AX226" s="127">
        <f t="shared" si="425"/>
        <v>0</v>
      </c>
      <c r="AY226" s="144" t="s">
        <v>161</v>
      </c>
      <c r="AZ226" s="140">
        <f t="shared" ref="AZ226:BB226" si="426">SUM(AZ223:AZ225)</f>
        <v>0</v>
      </c>
      <c r="BA226" s="140">
        <f t="shared" si="426"/>
        <v>0</v>
      </c>
      <c r="BB226" s="140">
        <f t="shared" si="426"/>
        <v>0</v>
      </c>
      <c r="BC226" s="479" t="s">
        <v>263</v>
      </c>
      <c r="BD226" s="480"/>
      <c r="BE226" s="15"/>
      <c r="BF226" s="18"/>
      <c r="BG226" s="15"/>
      <c r="BH226" s="18"/>
      <c r="BI226" s="15"/>
      <c r="BJ226" s="18"/>
      <c r="BK226" s="15"/>
      <c r="BL226" s="18"/>
      <c r="BM226" s="15"/>
      <c r="BN226" s="18"/>
      <c r="BO226" s="15"/>
      <c r="BP226" s="18"/>
      <c r="BQ226" s="109">
        <f t="shared" si="391"/>
        <v>0</v>
      </c>
      <c r="BR226" s="568"/>
      <c r="BS226" s="573"/>
      <c r="BT226" s="574"/>
      <c r="BU226" s="559"/>
      <c r="BV226" s="562"/>
      <c r="BW226" s="565"/>
      <c r="BX226" s="617"/>
    </row>
    <row r="227" spans="1:76" ht="15.75" thickTop="1" x14ac:dyDescent="0.25">
      <c r="A227" s="585">
        <v>55</v>
      </c>
      <c r="B227" s="588"/>
      <c r="C227" s="589"/>
      <c r="D227" s="604"/>
      <c r="E227" s="515"/>
      <c r="F227" s="516"/>
      <c r="G227" s="521"/>
      <c r="H227" s="522"/>
      <c r="I227" s="527"/>
      <c r="J227" s="528"/>
      <c r="K227" s="512" t="e">
        <f t="shared" ref="K227" si="427">INT(YEARFRAC(I227,AA227))</f>
        <v>#VALUE!</v>
      </c>
      <c r="L227" s="533">
        <f t="shared" ref="L227" ca="1" si="428">INT(YEARFRAC(I227,TODAY()))</f>
        <v>121</v>
      </c>
      <c r="M227" s="536"/>
      <c r="N227" s="539"/>
      <c r="O227" s="540"/>
      <c r="P227" s="481"/>
      <c r="Q227" s="482"/>
      <c r="R227" s="515"/>
      <c r="S227" s="516"/>
      <c r="T227" s="487"/>
      <c r="U227" s="488"/>
      <c r="V227" s="491"/>
      <c r="W227" s="481"/>
      <c r="X227" s="494"/>
      <c r="Y227" s="482"/>
      <c r="Z227" s="497"/>
      <c r="AA227" s="500" t="s">
        <v>296</v>
      </c>
      <c r="AB227" s="501"/>
      <c r="AC227" s="506" t="s">
        <v>257</v>
      </c>
      <c r="AD227" s="507"/>
      <c r="AE227" s="507"/>
      <c r="AF227" s="510"/>
      <c r="AG227" s="510"/>
      <c r="AH227" s="510"/>
      <c r="AI227" s="510"/>
      <c r="AJ227" s="510"/>
      <c r="AK227" s="510"/>
      <c r="AL227" s="510"/>
      <c r="AM227" s="510"/>
      <c r="AN227" s="510"/>
      <c r="AO227" s="510"/>
      <c r="AP227" s="510"/>
      <c r="AQ227" s="465"/>
      <c r="AR227" s="467">
        <f t="shared" ref="AR227" si="429">SUM(AF227:AQ228)</f>
        <v>0</v>
      </c>
      <c r="AS227" s="119" t="s">
        <v>257</v>
      </c>
      <c r="AT227" s="120"/>
      <c r="AU227" s="120"/>
      <c r="AV227" s="120"/>
      <c r="AW227" s="121"/>
      <c r="AX227" s="125">
        <f t="shared" ref="AX227:AX229" si="430">SUM(AT227:AW227)</f>
        <v>0</v>
      </c>
      <c r="AY227" s="141" t="s">
        <v>257</v>
      </c>
      <c r="AZ227" s="137"/>
      <c r="BA227" s="137"/>
      <c r="BB227" s="134">
        <f t="shared" ref="BB227:BB229" si="431">AZ227-BA227</f>
        <v>0</v>
      </c>
      <c r="BC227" s="469" t="s">
        <v>258</v>
      </c>
      <c r="BD227" s="470"/>
      <c r="BE227" s="13"/>
      <c r="BF227" s="16"/>
      <c r="BG227" s="13"/>
      <c r="BH227" s="16"/>
      <c r="BI227" s="13"/>
      <c r="BJ227" s="16"/>
      <c r="BK227" s="13"/>
      <c r="BL227" s="16"/>
      <c r="BM227" s="13"/>
      <c r="BN227" s="16"/>
      <c r="BO227" s="13"/>
      <c r="BP227" s="16"/>
      <c r="BQ227" s="106">
        <f t="shared" si="391"/>
        <v>0</v>
      </c>
      <c r="BR227" s="566"/>
      <c r="BS227" s="569"/>
      <c r="BT227" s="570"/>
      <c r="BU227" s="557"/>
      <c r="BV227" s="560"/>
      <c r="BW227" s="563"/>
      <c r="BX227" s="615"/>
    </row>
    <row r="228" spans="1:76" x14ac:dyDescent="0.25">
      <c r="A228" s="586"/>
      <c r="B228" s="590"/>
      <c r="C228" s="591"/>
      <c r="D228" s="605"/>
      <c r="E228" s="517"/>
      <c r="F228" s="518"/>
      <c r="G228" s="523"/>
      <c r="H228" s="524"/>
      <c r="I228" s="529"/>
      <c r="J228" s="530"/>
      <c r="K228" s="513"/>
      <c r="L228" s="534"/>
      <c r="M228" s="537"/>
      <c r="N228" s="541"/>
      <c r="O228" s="542"/>
      <c r="P228" s="483"/>
      <c r="Q228" s="484"/>
      <c r="R228" s="517"/>
      <c r="S228" s="518"/>
      <c r="T228" s="487"/>
      <c r="U228" s="488"/>
      <c r="V228" s="492"/>
      <c r="W228" s="483"/>
      <c r="X228" s="495"/>
      <c r="Y228" s="484"/>
      <c r="Z228" s="498"/>
      <c r="AA228" s="502"/>
      <c r="AB228" s="503"/>
      <c r="AC228" s="508"/>
      <c r="AD228" s="509"/>
      <c r="AE228" s="509"/>
      <c r="AF228" s="511"/>
      <c r="AG228" s="511"/>
      <c r="AH228" s="511"/>
      <c r="AI228" s="511"/>
      <c r="AJ228" s="511"/>
      <c r="AK228" s="511"/>
      <c r="AL228" s="511"/>
      <c r="AM228" s="511"/>
      <c r="AN228" s="511"/>
      <c r="AO228" s="511"/>
      <c r="AP228" s="511"/>
      <c r="AQ228" s="466"/>
      <c r="AR228" s="468"/>
      <c r="AS228" s="122" t="s">
        <v>259</v>
      </c>
      <c r="AT228" s="123"/>
      <c r="AU228" s="123"/>
      <c r="AV228" s="123"/>
      <c r="AW228" s="124"/>
      <c r="AX228" s="126">
        <f t="shared" si="430"/>
        <v>0</v>
      </c>
      <c r="AY228" s="142" t="s">
        <v>259</v>
      </c>
      <c r="AZ228" s="138"/>
      <c r="BA228" s="138"/>
      <c r="BB228" s="135">
        <f t="shared" si="431"/>
        <v>0</v>
      </c>
      <c r="BC228" s="474" t="s">
        <v>260</v>
      </c>
      <c r="BD228" s="475"/>
      <c r="BE228" s="14"/>
      <c r="BF228" s="17"/>
      <c r="BG228" s="14"/>
      <c r="BH228" s="17"/>
      <c r="BI228" s="14"/>
      <c r="BJ228" s="17"/>
      <c r="BK228" s="14"/>
      <c r="BL228" s="17"/>
      <c r="BM228" s="14"/>
      <c r="BN228" s="17"/>
      <c r="BO228" s="14"/>
      <c r="BP228" s="17"/>
      <c r="BQ228" s="107">
        <f t="shared" si="391"/>
        <v>0</v>
      </c>
      <c r="BR228" s="567"/>
      <c r="BS228" s="571"/>
      <c r="BT228" s="572"/>
      <c r="BU228" s="558"/>
      <c r="BV228" s="561"/>
      <c r="BW228" s="564"/>
      <c r="BX228" s="616"/>
    </row>
    <row r="229" spans="1:76" ht="15.75" thickBot="1" x14ac:dyDescent="0.3">
      <c r="A229" s="586"/>
      <c r="B229" s="590"/>
      <c r="C229" s="591"/>
      <c r="D229" s="605"/>
      <c r="E229" s="517"/>
      <c r="F229" s="518"/>
      <c r="G229" s="523"/>
      <c r="H229" s="524"/>
      <c r="I229" s="529"/>
      <c r="J229" s="530"/>
      <c r="K229" s="513"/>
      <c r="L229" s="534"/>
      <c r="M229" s="537"/>
      <c r="N229" s="541"/>
      <c r="O229" s="542"/>
      <c r="P229" s="483"/>
      <c r="Q229" s="484"/>
      <c r="R229" s="517"/>
      <c r="S229" s="518"/>
      <c r="T229" s="487"/>
      <c r="U229" s="488"/>
      <c r="V229" s="492"/>
      <c r="W229" s="483"/>
      <c r="X229" s="495"/>
      <c r="Y229" s="484"/>
      <c r="Z229" s="498"/>
      <c r="AA229" s="502"/>
      <c r="AB229" s="503"/>
      <c r="AC229" s="471" t="s">
        <v>259</v>
      </c>
      <c r="AD229" s="472"/>
      <c r="AE229" s="473"/>
      <c r="AF229" s="100"/>
      <c r="AG229" s="100"/>
      <c r="AH229" s="100"/>
      <c r="AI229" s="100"/>
      <c r="AJ229" s="100"/>
      <c r="AK229" s="100"/>
      <c r="AL229" s="100"/>
      <c r="AM229" s="100"/>
      <c r="AN229" s="100"/>
      <c r="AO229" s="100"/>
      <c r="AP229" s="100"/>
      <c r="AQ229" s="101"/>
      <c r="AR229" s="104">
        <f t="shared" ref="AR229:AR230" si="432">SUM(AF229:AQ229)</f>
        <v>0</v>
      </c>
      <c r="AS229" s="128" t="s">
        <v>261</v>
      </c>
      <c r="AT229" s="129"/>
      <c r="AU229" s="129"/>
      <c r="AV229" s="129"/>
      <c r="AW229" s="130"/>
      <c r="AX229" s="126">
        <f t="shared" si="430"/>
        <v>0</v>
      </c>
      <c r="AY229" s="143" t="s">
        <v>261</v>
      </c>
      <c r="AZ229" s="139"/>
      <c r="BA229" s="139"/>
      <c r="BB229" s="136">
        <f t="shared" si="431"/>
        <v>0</v>
      </c>
      <c r="BC229" s="474" t="s">
        <v>262</v>
      </c>
      <c r="BD229" s="475"/>
      <c r="BE229" s="14"/>
      <c r="BF229" s="17"/>
      <c r="BG229" s="14"/>
      <c r="BH229" s="17"/>
      <c r="BI229" s="14"/>
      <c r="BJ229" s="17"/>
      <c r="BK229" s="14"/>
      <c r="BL229" s="17"/>
      <c r="BM229" s="14"/>
      <c r="BN229" s="17"/>
      <c r="BO229" s="14"/>
      <c r="BP229" s="17"/>
      <c r="BQ229" s="108">
        <f t="shared" si="391"/>
        <v>0</v>
      </c>
      <c r="BR229" s="567"/>
      <c r="BS229" s="571"/>
      <c r="BT229" s="572"/>
      <c r="BU229" s="558"/>
      <c r="BV229" s="561"/>
      <c r="BW229" s="564"/>
      <c r="BX229" s="616"/>
    </row>
    <row r="230" spans="1:76" ht="15.75" thickBot="1" x14ac:dyDescent="0.3">
      <c r="A230" s="587"/>
      <c r="B230" s="592"/>
      <c r="C230" s="593"/>
      <c r="D230" s="606"/>
      <c r="E230" s="519"/>
      <c r="F230" s="520"/>
      <c r="G230" s="525"/>
      <c r="H230" s="526"/>
      <c r="I230" s="531"/>
      <c r="J230" s="532"/>
      <c r="K230" s="514"/>
      <c r="L230" s="535"/>
      <c r="M230" s="538"/>
      <c r="N230" s="543"/>
      <c r="O230" s="544"/>
      <c r="P230" s="485"/>
      <c r="Q230" s="486"/>
      <c r="R230" s="519"/>
      <c r="S230" s="520"/>
      <c r="T230" s="489"/>
      <c r="U230" s="490"/>
      <c r="V230" s="493"/>
      <c r="W230" s="485"/>
      <c r="X230" s="496"/>
      <c r="Y230" s="486"/>
      <c r="Z230" s="499"/>
      <c r="AA230" s="504"/>
      <c r="AB230" s="505"/>
      <c r="AC230" s="476" t="s">
        <v>261</v>
      </c>
      <c r="AD230" s="477"/>
      <c r="AE230" s="478"/>
      <c r="AF230" s="102"/>
      <c r="AG230" s="102"/>
      <c r="AH230" s="102"/>
      <c r="AI230" s="102"/>
      <c r="AJ230" s="102"/>
      <c r="AK230" s="102"/>
      <c r="AL230" s="102"/>
      <c r="AM230" s="102"/>
      <c r="AN230" s="102"/>
      <c r="AO230" s="102"/>
      <c r="AP230" s="102"/>
      <c r="AQ230" s="103"/>
      <c r="AR230" s="105">
        <f t="shared" si="432"/>
        <v>0</v>
      </c>
      <c r="AS230" s="131" t="s">
        <v>161</v>
      </c>
      <c r="AT230" s="132">
        <f t="shared" ref="AT230:AX230" si="433">SUM(AT227:AT229)</f>
        <v>0</v>
      </c>
      <c r="AU230" s="132">
        <f t="shared" si="433"/>
        <v>0</v>
      </c>
      <c r="AV230" s="132">
        <f t="shared" si="433"/>
        <v>0</v>
      </c>
      <c r="AW230" s="133">
        <f t="shared" si="433"/>
        <v>0</v>
      </c>
      <c r="AX230" s="127">
        <f t="shared" si="433"/>
        <v>0</v>
      </c>
      <c r="AY230" s="144" t="s">
        <v>161</v>
      </c>
      <c r="AZ230" s="140">
        <f t="shared" ref="AZ230:BB230" si="434">SUM(AZ227:AZ229)</f>
        <v>0</v>
      </c>
      <c r="BA230" s="140">
        <f t="shared" si="434"/>
        <v>0</v>
      </c>
      <c r="BB230" s="140">
        <f t="shared" si="434"/>
        <v>0</v>
      </c>
      <c r="BC230" s="479" t="s">
        <v>263</v>
      </c>
      <c r="BD230" s="480"/>
      <c r="BE230" s="15"/>
      <c r="BF230" s="18"/>
      <c r="BG230" s="15"/>
      <c r="BH230" s="18"/>
      <c r="BI230" s="15"/>
      <c r="BJ230" s="18"/>
      <c r="BK230" s="15"/>
      <c r="BL230" s="18"/>
      <c r="BM230" s="15"/>
      <c r="BN230" s="18"/>
      <c r="BO230" s="15"/>
      <c r="BP230" s="18"/>
      <c r="BQ230" s="109">
        <f t="shared" si="391"/>
        <v>0</v>
      </c>
      <c r="BR230" s="568"/>
      <c r="BS230" s="573"/>
      <c r="BT230" s="574"/>
      <c r="BU230" s="559"/>
      <c r="BV230" s="562"/>
      <c r="BW230" s="565"/>
      <c r="BX230" s="617"/>
    </row>
    <row r="231" spans="1:76" ht="15.75" thickTop="1" x14ac:dyDescent="0.25">
      <c r="A231" s="585">
        <v>56</v>
      </c>
      <c r="B231" s="588"/>
      <c r="C231" s="589"/>
      <c r="D231" s="604"/>
      <c r="E231" s="515"/>
      <c r="F231" s="516"/>
      <c r="G231" s="521"/>
      <c r="H231" s="522"/>
      <c r="I231" s="527"/>
      <c r="J231" s="528"/>
      <c r="K231" s="512" t="e">
        <f t="shared" ref="K231" si="435">INT(YEARFRAC(I231,AA231))</f>
        <v>#VALUE!</v>
      </c>
      <c r="L231" s="533">
        <f t="shared" ref="L231" ca="1" si="436">INT(YEARFRAC(I231,TODAY()))</f>
        <v>121</v>
      </c>
      <c r="M231" s="536"/>
      <c r="N231" s="539"/>
      <c r="O231" s="540"/>
      <c r="P231" s="481"/>
      <c r="Q231" s="482"/>
      <c r="R231" s="515"/>
      <c r="S231" s="516"/>
      <c r="T231" s="487"/>
      <c r="U231" s="488"/>
      <c r="V231" s="491"/>
      <c r="W231" s="481"/>
      <c r="X231" s="494"/>
      <c r="Y231" s="482"/>
      <c r="Z231" s="497"/>
      <c r="AA231" s="500" t="s">
        <v>297</v>
      </c>
      <c r="AB231" s="501"/>
      <c r="AC231" s="506" t="s">
        <v>257</v>
      </c>
      <c r="AD231" s="507"/>
      <c r="AE231" s="507"/>
      <c r="AF231" s="510"/>
      <c r="AG231" s="510"/>
      <c r="AH231" s="510"/>
      <c r="AI231" s="510"/>
      <c r="AJ231" s="510"/>
      <c r="AK231" s="510"/>
      <c r="AL231" s="510"/>
      <c r="AM231" s="510"/>
      <c r="AN231" s="510"/>
      <c r="AO231" s="510"/>
      <c r="AP231" s="510"/>
      <c r="AQ231" s="465"/>
      <c r="AR231" s="467">
        <f t="shared" ref="AR231" si="437">SUM(AF231:AQ232)</f>
        <v>0</v>
      </c>
      <c r="AS231" s="119" t="s">
        <v>257</v>
      </c>
      <c r="AT231" s="120"/>
      <c r="AU231" s="120"/>
      <c r="AV231" s="120"/>
      <c r="AW231" s="121"/>
      <c r="AX231" s="125">
        <f t="shared" ref="AX231:AX233" si="438">SUM(AT231:AW231)</f>
        <v>0</v>
      </c>
      <c r="AY231" s="141" t="s">
        <v>257</v>
      </c>
      <c r="AZ231" s="137"/>
      <c r="BA231" s="137"/>
      <c r="BB231" s="134">
        <f t="shared" ref="BB231:BB233" si="439">AZ231-BA231</f>
        <v>0</v>
      </c>
      <c r="BC231" s="469" t="s">
        <v>258</v>
      </c>
      <c r="BD231" s="470"/>
      <c r="BE231" s="13"/>
      <c r="BF231" s="16"/>
      <c r="BG231" s="13"/>
      <c r="BH231" s="16"/>
      <c r="BI231" s="13"/>
      <c r="BJ231" s="16"/>
      <c r="BK231" s="13"/>
      <c r="BL231" s="16"/>
      <c r="BM231" s="13"/>
      <c r="BN231" s="16"/>
      <c r="BO231" s="13"/>
      <c r="BP231" s="16"/>
      <c r="BQ231" s="106">
        <f t="shared" si="391"/>
        <v>0</v>
      </c>
      <c r="BR231" s="566"/>
      <c r="BS231" s="569"/>
      <c r="BT231" s="570"/>
      <c r="BU231" s="557"/>
      <c r="BV231" s="560"/>
      <c r="BW231" s="563"/>
      <c r="BX231" s="615"/>
    </row>
    <row r="232" spans="1:76" x14ac:dyDescent="0.25">
      <c r="A232" s="586"/>
      <c r="B232" s="590"/>
      <c r="C232" s="591"/>
      <c r="D232" s="605"/>
      <c r="E232" s="517"/>
      <c r="F232" s="518"/>
      <c r="G232" s="523"/>
      <c r="H232" s="524"/>
      <c r="I232" s="529"/>
      <c r="J232" s="530"/>
      <c r="K232" s="513"/>
      <c r="L232" s="534"/>
      <c r="M232" s="537"/>
      <c r="N232" s="541"/>
      <c r="O232" s="542"/>
      <c r="P232" s="483"/>
      <c r="Q232" s="484"/>
      <c r="R232" s="517"/>
      <c r="S232" s="518"/>
      <c r="T232" s="487"/>
      <c r="U232" s="488"/>
      <c r="V232" s="492"/>
      <c r="W232" s="483"/>
      <c r="X232" s="495"/>
      <c r="Y232" s="484"/>
      <c r="Z232" s="498"/>
      <c r="AA232" s="502"/>
      <c r="AB232" s="503"/>
      <c r="AC232" s="508"/>
      <c r="AD232" s="509"/>
      <c r="AE232" s="509"/>
      <c r="AF232" s="511"/>
      <c r="AG232" s="511"/>
      <c r="AH232" s="511"/>
      <c r="AI232" s="511"/>
      <c r="AJ232" s="511"/>
      <c r="AK232" s="511"/>
      <c r="AL232" s="511"/>
      <c r="AM232" s="511"/>
      <c r="AN232" s="511"/>
      <c r="AO232" s="511"/>
      <c r="AP232" s="511"/>
      <c r="AQ232" s="466"/>
      <c r="AR232" s="468"/>
      <c r="AS232" s="122" t="s">
        <v>259</v>
      </c>
      <c r="AT232" s="123"/>
      <c r="AU232" s="123"/>
      <c r="AV232" s="123"/>
      <c r="AW232" s="124"/>
      <c r="AX232" s="126">
        <f t="shared" si="438"/>
        <v>0</v>
      </c>
      <c r="AY232" s="142" t="s">
        <v>259</v>
      </c>
      <c r="AZ232" s="138"/>
      <c r="BA232" s="138"/>
      <c r="BB232" s="135">
        <f t="shared" si="439"/>
        <v>0</v>
      </c>
      <c r="BC232" s="474" t="s">
        <v>260</v>
      </c>
      <c r="BD232" s="475"/>
      <c r="BE232" s="14"/>
      <c r="BF232" s="17"/>
      <c r="BG232" s="14"/>
      <c r="BH232" s="17"/>
      <c r="BI232" s="14"/>
      <c r="BJ232" s="17"/>
      <c r="BK232" s="14"/>
      <c r="BL232" s="17"/>
      <c r="BM232" s="14"/>
      <c r="BN232" s="17"/>
      <c r="BO232" s="14"/>
      <c r="BP232" s="17"/>
      <c r="BQ232" s="107">
        <f t="shared" si="391"/>
        <v>0</v>
      </c>
      <c r="BR232" s="567"/>
      <c r="BS232" s="571"/>
      <c r="BT232" s="572"/>
      <c r="BU232" s="558"/>
      <c r="BV232" s="561"/>
      <c r="BW232" s="564"/>
      <c r="BX232" s="616"/>
    </row>
    <row r="233" spans="1:76" ht="15.75" thickBot="1" x14ac:dyDescent="0.3">
      <c r="A233" s="586"/>
      <c r="B233" s="590"/>
      <c r="C233" s="591"/>
      <c r="D233" s="605"/>
      <c r="E233" s="517"/>
      <c r="F233" s="518"/>
      <c r="G233" s="523"/>
      <c r="H233" s="524"/>
      <c r="I233" s="529"/>
      <c r="J233" s="530"/>
      <c r="K233" s="513"/>
      <c r="L233" s="534"/>
      <c r="M233" s="537"/>
      <c r="N233" s="541"/>
      <c r="O233" s="542"/>
      <c r="P233" s="483"/>
      <c r="Q233" s="484"/>
      <c r="R233" s="517"/>
      <c r="S233" s="518"/>
      <c r="T233" s="487"/>
      <c r="U233" s="488"/>
      <c r="V233" s="492"/>
      <c r="W233" s="483"/>
      <c r="X233" s="495"/>
      <c r="Y233" s="484"/>
      <c r="Z233" s="498"/>
      <c r="AA233" s="502"/>
      <c r="AB233" s="503"/>
      <c r="AC233" s="471" t="s">
        <v>259</v>
      </c>
      <c r="AD233" s="472"/>
      <c r="AE233" s="473"/>
      <c r="AF233" s="100"/>
      <c r="AG233" s="100"/>
      <c r="AH233" s="100"/>
      <c r="AI233" s="100"/>
      <c r="AJ233" s="100"/>
      <c r="AK233" s="100"/>
      <c r="AL233" s="100"/>
      <c r="AM233" s="100"/>
      <c r="AN233" s="100"/>
      <c r="AO233" s="100"/>
      <c r="AP233" s="100"/>
      <c r="AQ233" s="101"/>
      <c r="AR233" s="104">
        <f t="shared" ref="AR233:AR234" si="440">SUM(AF233:AQ233)</f>
        <v>0</v>
      </c>
      <c r="AS233" s="128" t="s">
        <v>261</v>
      </c>
      <c r="AT233" s="129"/>
      <c r="AU233" s="129"/>
      <c r="AV233" s="129"/>
      <c r="AW233" s="130"/>
      <c r="AX233" s="126">
        <f t="shared" si="438"/>
        <v>0</v>
      </c>
      <c r="AY233" s="143" t="s">
        <v>261</v>
      </c>
      <c r="AZ233" s="139"/>
      <c r="BA233" s="139"/>
      <c r="BB233" s="136">
        <f t="shared" si="439"/>
        <v>0</v>
      </c>
      <c r="BC233" s="474" t="s">
        <v>262</v>
      </c>
      <c r="BD233" s="475"/>
      <c r="BE233" s="14"/>
      <c r="BF233" s="17"/>
      <c r="BG233" s="14"/>
      <c r="BH233" s="17"/>
      <c r="BI233" s="14"/>
      <c r="BJ233" s="17"/>
      <c r="BK233" s="14"/>
      <c r="BL233" s="17"/>
      <c r="BM233" s="14"/>
      <c r="BN233" s="17"/>
      <c r="BO233" s="14"/>
      <c r="BP233" s="17"/>
      <c r="BQ233" s="108">
        <f t="shared" si="391"/>
        <v>0</v>
      </c>
      <c r="BR233" s="567"/>
      <c r="BS233" s="571"/>
      <c r="BT233" s="572"/>
      <c r="BU233" s="558"/>
      <c r="BV233" s="561"/>
      <c r="BW233" s="564"/>
      <c r="BX233" s="616"/>
    </row>
    <row r="234" spans="1:76" ht="15.75" thickBot="1" x14ac:dyDescent="0.3">
      <c r="A234" s="587"/>
      <c r="B234" s="592"/>
      <c r="C234" s="593"/>
      <c r="D234" s="606"/>
      <c r="E234" s="519"/>
      <c r="F234" s="520"/>
      <c r="G234" s="525"/>
      <c r="H234" s="526"/>
      <c r="I234" s="531"/>
      <c r="J234" s="532"/>
      <c r="K234" s="514"/>
      <c r="L234" s="535"/>
      <c r="M234" s="538"/>
      <c r="N234" s="543"/>
      <c r="O234" s="544"/>
      <c r="P234" s="485"/>
      <c r="Q234" s="486"/>
      <c r="R234" s="519"/>
      <c r="S234" s="520"/>
      <c r="T234" s="489"/>
      <c r="U234" s="490"/>
      <c r="V234" s="493"/>
      <c r="W234" s="485"/>
      <c r="X234" s="496"/>
      <c r="Y234" s="486"/>
      <c r="Z234" s="499"/>
      <c r="AA234" s="504"/>
      <c r="AB234" s="505"/>
      <c r="AC234" s="476" t="s">
        <v>261</v>
      </c>
      <c r="AD234" s="477"/>
      <c r="AE234" s="478"/>
      <c r="AF234" s="102"/>
      <c r="AG234" s="102"/>
      <c r="AH234" s="102"/>
      <c r="AI234" s="102"/>
      <c r="AJ234" s="102"/>
      <c r="AK234" s="102"/>
      <c r="AL234" s="102"/>
      <c r="AM234" s="102"/>
      <c r="AN234" s="102"/>
      <c r="AO234" s="102"/>
      <c r="AP234" s="102"/>
      <c r="AQ234" s="103"/>
      <c r="AR234" s="105">
        <f t="shared" si="440"/>
        <v>0</v>
      </c>
      <c r="AS234" s="131" t="s">
        <v>161</v>
      </c>
      <c r="AT234" s="132">
        <f t="shared" ref="AT234:AX234" si="441">SUM(AT231:AT233)</f>
        <v>0</v>
      </c>
      <c r="AU234" s="132">
        <f t="shared" si="441"/>
        <v>0</v>
      </c>
      <c r="AV234" s="132">
        <f t="shared" si="441"/>
        <v>0</v>
      </c>
      <c r="AW234" s="133">
        <f t="shared" si="441"/>
        <v>0</v>
      </c>
      <c r="AX234" s="127">
        <f t="shared" si="441"/>
        <v>0</v>
      </c>
      <c r="AY234" s="144" t="s">
        <v>161</v>
      </c>
      <c r="AZ234" s="140">
        <f t="shared" ref="AZ234:BB234" si="442">SUM(AZ231:AZ233)</f>
        <v>0</v>
      </c>
      <c r="BA234" s="140">
        <f t="shared" si="442"/>
        <v>0</v>
      </c>
      <c r="BB234" s="140">
        <f t="shared" si="442"/>
        <v>0</v>
      </c>
      <c r="BC234" s="479" t="s">
        <v>263</v>
      </c>
      <c r="BD234" s="480"/>
      <c r="BE234" s="15"/>
      <c r="BF234" s="18"/>
      <c r="BG234" s="15"/>
      <c r="BH234" s="18"/>
      <c r="BI234" s="15"/>
      <c r="BJ234" s="18"/>
      <c r="BK234" s="15"/>
      <c r="BL234" s="18"/>
      <c r="BM234" s="15"/>
      <c r="BN234" s="18"/>
      <c r="BO234" s="15"/>
      <c r="BP234" s="18"/>
      <c r="BQ234" s="109">
        <f t="shared" si="391"/>
        <v>0</v>
      </c>
      <c r="BR234" s="568"/>
      <c r="BS234" s="573"/>
      <c r="BT234" s="574"/>
      <c r="BU234" s="559"/>
      <c r="BV234" s="562"/>
      <c r="BW234" s="565"/>
      <c r="BX234" s="617"/>
    </row>
    <row r="235" spans="1:76" ht="15.75" thickTop="1" x14ac:dyDescent="0.25">
      <c r="A235" s="585">
        <v>57</v>
      </c>
      <c r="B235" s="588"/>
      <c r="C235" s="589"/>
      <c r="D235" s="604"/>
      <c r="E235" s="515"/>
      <c r="F235" s="516"/>
      <c r="G235" s="521"/>
      <c r="H235" s="522"/>
      <c r="I235" s="527"/>
      <c r="J235" s="528"/>
      <c r="K235" s="512" t="e">
        <f t="shared" ref="K235" si="443">INT(YEARFRAC(I235,AA235))</f>
        <v>#VALUE!</v>
      </c>
      <c r="L235" s="533">
        <f t="shared" ref="L235" ca="1" si="444">INT(YEARFRAC(I235,TODAY()))</f>
        <v>121</v>
      </c>
      <c r="M235" s="536"/>
      <c r="N235" s="539"/>
      <c r="O235" s="540"/>
      <c r="P235" s="481"/>
      <c r="Q235" s="482"/>
      <c r="R235" s="515"/>
      <c r="S235" s="516"/>
      <c r="T235" s="487"/>
      <c r="U235" s="488"/>
      <c r="V235" s="491"/>
      <c r="W235" s="481"/>
      <c r="X235" s="494"/>
      <c r="Y235" s="482"/>
      <c r="Z235" s="497"/>
      <c r="AA235" s="500" t="s">
        <v>298</v>
      </c>
      <c r="AB235" s="501"/>
      <c r="AC235" s="506" t="s">
        <v>257</v>
      </c>
      <c r="AD235" s="507"/>
      <c r="AE235" s="507"/>
      <c r="AF235" s="510"/>
      <c r="AG235" s="510"/>
      <c r="AH235" s="510"/>
      <c r="AI235" s="510"/>
      <c r="AJ235" s="510"/>
      <c r="AK235" s="510"/>
      <c r="AL235" s="510"/>
      <c r="AM235" s="510"/>
      <c r="AN235" s="510"/>
      <c r="AO235" s="510"/>
      <c r="AP235" s="510"/>
      <c r="AQ235" s="465"/>
      <c r="AR235" s="467">
        <f t="shared" ref="AR235" si="445">SUM(AF235:AQ236)</f>
        <v>0</v>
      </c>
      <c r="AS235" s="119" t="s">
        <v>257</v>
      </c>
      <c r="AT235" s="120"/>
      <c r="AU235" s="120"/>
      <c r="AV235" s="120"/>
      <c r="AW235" s="121"/>
      <c r="AX235" s="125">
        <f t="shared" ref="AX235:AX237" si="446">SUM(AT235:AW235)</f>
        <v>0</v>
      </c>
      <c r="AY235" s="141" t="s">
        <v>257</v>
      </c>
      <c r="AZ235" s="137"/>
      <c r="BA235" s="137"/>
      <c r="BB235" s="134">
        <f t="shared" ref="BB235:BB237" si="447">AZ235-BA235</f>
        <v>0</v>
      </c>
      <c r="BC235" s="469" t="s">
        <v>258</v>
      </c>
      <c r="BD235" s="470"/>
      <c r="BE235" s="13"/>
      <c r="BF235" s="16"/>
      <c r="BG235" s="13"/>
      <c r="BH235" s="16"/>
      <c r="BI235" s="13"/>
      <c r="BJ235" s="16"/>
      <c r="BK235" s="13"/>
      <c r="BL235" s="16"/>
      <c r="BM235" s="13"/>
      <c r="BN235" s="16"/>
      <c r="BO235" s="13"/>
      <c r="BP235" s="16"/>
      <c r="BQ235" s="106">
        <f t="shared" si="391"/>
        <v>0</v>
      </c>
      <c r="BR235" s="566"/>
      <c r="BS235" s="569"/>
      <c r="BT235" s="570"/>
      <c r="BU235" s="557"/>
      <c r="BV235" s="560"/>
      <c r="BW235" s="563"/>
      <c r="BX235" s="615"/>
    </row>
    <row r="236" spans="1:76" x14ac:dyDescent="0.25">
      <c r="A236" s="586"/>
      <c r="B236" s="590"/>
      <c r="C236" s="591"/>
      <c r="D236" s="605"/>
      <c r="E236" s="517"/>
      <c r="F236" s="518"/>
      <c r="G236" s="523"/>
      <c r="H236" s="524"/>
      <c r="I236" s="529"/>
      <c r="J236" s="530"/>
      <c r="K236" s="513"/>
      <c r="L236" s="534"/>
      <c r="M236" s="537"/>
      <c r="N236" s="541"/>
      <c r="O236" s="542"/>
      <c r="P236" s="483"/>
      <c r="Q236" s="484"/>
      <c r="R236" s="517"/>
      <c r="S236" s="518"/>
      <c r="T236" s="487"/>
      <c r="U236" s="488"/>
      <c r="V236" s="492"/>
      <c r="W236" s="483"/>
      <c r="X236" s="495"/>
      <c r="Y236" s="484"/>
      <c r="Z236" s="498"/>
      <c r="AA236" s="502"/>
      <c r="AB236" s="503"/>
      <c r="AC236" s="508"/>
      <c r="AD236" s="509"/>
      <c r="AE236" s="509"/>
      <c r="AF236" s="511"/>
      <c r="AG236" s="511"/>
      <c r="AH236" s="511"/>
      <c r="AI236" s="511"/>
      <c r="AJ236" s="511"/>
      <c r="AK236" s="511"/>
      <c r="AL236" s="511"/>
      <c r="AM236" s="511"/>
      <c r="AN236" s="511"/>
      <c r="AO236" s="511"/>
      <c r="AP236" s="511"/>
      <c r="AQ236" s="466"/>
      <c r="AR236" s="468"/>
      <c r="AS236" s="122" t="s">
        <v>259</v>
      </c>
      <c r="AT236" s="123"/>
      <c r="AU236" s="123"/>
      <c r="AV236" s="123"/>
      <c r="AW236" s="124"/>
      <c r="AX236" s="126">
        <f t="shared" si="446"/>
        <v>0</v>
      </c>
      <c r="AY236" s="142" t="s">
        <v>259</v>
      </c>
      <c r="AZ236" s="138"/>
      <c r="BA236" s="138"/>
      <c r="BB236" s="135">
        <f t="shared" si="447"/>
        <v>0</v>
      </c>
      <c r="BC236" s="474" t="s">
        <v>260</v>
      </c>
      <c r="BD236" s="475"/>
      <c r="BE236" s="14"/>
      <c r="BF236" s="17"/>
      <c r="BG236" s="14"/>
      <c r="BH236" s="17"/>
      <c r="BI236" s="14"/>
      <c r="BJ236" s="17"/>
      <c r="BK236" s="14"/>
      <c r="BL236" s="17"/>
      <c r="BM236" s="14"/>
      <c r="BN236" s="17"/>
      <c r="BO236" s="14"/>
      <c r="BP236" s="17"/>
      <c r="BQ236" s="107">
        <f t="shared" si="391"/>
        <v>0</v>
      </c>
      <c r="BR236" s="567"/>
      <c r="BS236" s="571"/>
      <c r="BT236" s="572"/>
      <c r="BU236" s="558"/>
      <c r="BV236" s="561"/>
      <c r="BW236" s="564"/>
      <c r="BX236" s="616"/>
    </row>
    <row r="237" spans="1:76" ht="15.75" thickBot="1" x14ac:dyDescent="0.3">
      <c r="A237" s="586"/>
      <c r="B237" s="590"/>
      <c r="C237" s="591"/>
      <c r="D237" s="605"/>
      <c r="E237" s="517"/>
      <c r="F237" s="518"/>
      <c r="G237" s="523"/>
      <c r="H237" s="524"/>
      <c r="I237" s="529"/>
      <c r="J237" s="530"/>
      <c r="K237" s="513"/>
      <c r="L237" s="534"/>
      <c r="M237" s="537"/>
      <c r="N237" s="541"/>
      <c r="O237" s="542"/>
      <c r="P237" s="483"/>
      <c r="Q237" s="484"/>
      <c r="R237" s="517"/>
      <c r="S237" s="518"/>
      <c r="T237" s="487"/>
      <c r="U237" s="488"/>
      <c r="V237" s="492"/>
      <c r="W237" s="483"/>
      <c r="X237" s="495"/>
      <c r="Y237" s="484"/>
      <c r="Z237" s="498"/>
      <c r="AA237" s="502"/>
      <c r="AB237" s="503"/>
      <c r="AC237" s="471" t="s">
        <v>259</v>
      </c>
      <c r="AD237" s="472"/>
      <c r="AE237" s="473"/>
      <c r="AF237" s="100"/>
      <c r="AG237" s="100"/>
      <c r="AH237" s="100"/>
      <c r="AI237" s="100"/>
      <c r="AJ237" s="100"/>
      <c r="AK237" s="100"/>
      <c r="AL237" s="100"/>
      <c r="AM237" s="100"/>
      <c r="AN237" s="100"/>
      <c r="AO237" s="100"/>
      <c r="AP237" s="100"/>
      <c r="AQ237" s="101"/>
      <c r="AR237" s="104">
        <f t="shared" ref="AR237:AR238" si="448">SUM(AF237:AQ237)</f>
        <v>0</v>
      </c>
      <c r="AS237" s="128" t="s">
        <v>261</v>
      </c>
      <c r="AT237" s="129"/>
      <c r="AU237" s="129"/>
      <c r="AV237" s="129"/>
      <c r="AW237" s="130"/>
      <c r="AX237" s="126">
        <f t="shared" si="446"/>
        <v>0</v>
      </c>
      <c r="AY237" s="143" t="s">
        <v>261</v>
      </c>
      <c r="AZ237" s="139"/>
      <c r="BA237" s="139"/>
      <c r="BB237" s="136">
        <f t="shared" si="447"/>
        <v>0</v>
      </c>
      <c r="BC237" s="474" t="s">
        <v>262</v>
      </c>
      <c r="BD237" s="475"/>
      <c r="BE237" s="14"/>
      <c r="BF237" s="17"/>
      <c r="BG237" s="14"/>
      <c r="BH237" s="17"/>
      <c r="BI237" s="14"/>
      <c r="BJ237" s="17"/>
      <c r="BK237" s="14"/>
      <c r="BL237" s="17"/>
      <c r="BM237" s="14"/>
      <c r="BN237" s="17"/>
      <c r="BO237" s="14"/>
      <c r="BP237" s="17"/>
      <c r="BQ237" s="108">
        <f t="shared" si="391"/>
        <v>0</v>
      </c>
      <c r="BR237" s="567"/>
      <c r="BS237" s="571"/>
      <c r="BT237" s="572"/>
      <c r="BU237" s="558"/>
      <c r="BV237" s="561"/>
      <c r="BW237" s="564"/>
      <c r="BX237" s="616"/>
    </row>
    <row r="238" spans="1:76" ht="15.75" thickBot="1" x14ac:dyDescent="0.3">
      <c r="A238" s="587"/>
      <c r="B238" s="592"/>
      <c r="C238" s="593"/>
      <c r="D238" s="606"/>
      <c r="E238" s="519"/>
      <c r="F238" s="520"/>
      <c r="G238" s="525"/>
      <c r="H238" s="526"/>
      <c r="I238" s="531"/>
      <c r="J238" s="532"/>
      <c r="K238" s="514"/>
      <c r="L238" s="535"/>
      <c r="M238" s="538"/>
      <c r="N238" s="543"/>
      <c r="O238" s="544"/>
      <c r="P238" s="485"/>
      <c r="Q238" s="486"/>
      <c r="R238" s="519"/>
      <c r="S238" s="520"/>
      <c r="T238" s="489"/>
      <c r="U238" s="490"/>
      <c r="V238" s="493"/>
      <c r="W238" s="485"/>
      <c r="X238" s="496"/>
      <c r="Y238" s="486"/>
      <c r="Z238" s="499"/>
      <c r="AA238" s="504"/>
      <c r="AB238" s="505"/>
      <c r="AC238" s="476" t="s">
        <v>261</v>
      </c>
      <c r="AD238" s="477"/>
      <c r="AE238" s="478"/>
      <c r="AF238" s="102"/>
      <c r="AG238" s="102"/>
      <c r="AH238" s="102"/>
      <c r="AI238" s="102"/>
      <c r="AJ238" s="102"/>
      <c r="AK238" s="102"/>
      <c r="AL238" s="102"/>
      <c r="AM238" s="102"/>
      <c r="AN238" s="102"/>
      <c r="AO238" s="102"/>
      <c r="AP238" s="102"/>
      <c r="AQ238" s="103"/>
      <c r="AR238" s="105">
        <f t="shared" si="448"/>
        <v>0</v>
      </c>
      <c r="AS238" s="131" t="s">
        <v>161</v>
      </c>
      <c r="AT238" s="132">
        <f t="shared" ref="AT238:AX238" si="449">SUM(AT235:AT237)</f>
        <v>0</v>
      </c>
      <c r="AU238" s="132">
        <f t="shared" si="449"/>
        <v>0</v>
      </c>
      <c r="AV238" s="132">
        <f t="shared" si="449"/>
        <v>0</v>
      </c>
      <c r="AW238" s="133">
        <f t="shared" si="449"/>
        <v>0</v>
      </c>
      <c r="AX238" s="127">
        <f t="shared" si="449"/>
        <v>0</v>
      </c>
      <c r="AY238" s="144" t="s">
        <v>161</v>
      </c>
      <c r="AZ238" s="140">
        <f t="shared" ref="AZ238:BB238" si="450">SUM(AZ235:AZ237)</f>
        <v>0</v>
      </c>
      <c r="BA238" s="140">
        <f t="shared" si="450"/>
        <v>0</v>
      </c>
      <c r="BB238" s="140">
        <f t="shared" si="450"/>
        <v>0</v>
      </c>
      <c r="BC238" s="479" t="s">
        <v>263</v>
      </c>
      <c r="BD238" s="480"/>
      <c r="BE238" s="15"/>
      <c r="BF238" s="18"/>
      <c r="BG238" s="15"/>
      <c r="BH238" s="18"/>
      <c r="BI238" s="15"/>
      <c r="BJ238" s="18"/>
      <c r="BK238" s="15"/>
      <c r="BL238" s="18"/>
      <c r="BM238" s="15"/>
      <c r="BN238" s="18"/>
      <c r="BO238" s="15"/>
      <c r="BP238" s="18"/>
      <c r="BQ238" s="109">
        <f t="shared" si="391"/>
        <v>0</v>
      </c>
      <c r="BR238" s="568"/>
      <c r="BS238" s="573"/>
      <c r="BT238" s="574"/>
      <c r="BU238" s="559"/>
      <c r="BV238" s="562"/>
      <c r="BW238" s="565"/>
      <c r="BX238" s="617"/>
    </row>
    <row r="239" spans="1:76" ht="15.75" thickTop="1" x14ac:dyDescent="0.25">
      <c r="A239" s="585">
        <v>58</v>
      </c>
      <c r="B239" s="588"/>
      <c r="C239" s="589"/>
      <c r="D239" s="604"/>
      <c r="E239" s="515"/>
      <c r="F239" s="516"/>
      <c r="G239" s="521"/>
      <c r="H239" s="522"/>
      <c r="I239" s="527"/>
      <c r="J239" s="528"/>
      <c r="K239" s="512" t="e">
        <f t="shared" ref="K239" si="451">INT(YEARFRAC(I239,AA239))</f>
        <v>#VALUE!</v>
      </c>
      <c r="L239" s="533">
        <f t="shared" ref="L239" ca="1" si="452">INT(YEARFRAC(I239,TODAY()))</f>
        <v>121</v>
      </c>
      <c r="M239" s="536"/>
      <c r="N239" s="539"/>
      <c r="O239" s="540"/>
      <c r="P239" s="481"/>
      <c r="Q239" s="482"/>
      <c r="R239" s="515"/>
      <c r="S239" s="516"/>
      <c r="T239" s="487"/>
      <c r="U239" s="488"/>
      <c r="V239" s="491"/>
      <c r="W239" s="481"/>
      <c r="X239" s="494"/>
      <c r="Y239" s="482"/>
      <c r="Z239" s="497"/>
      <c r="AA239" s="500" t="s">
        <v>299</v>
      </c>
      <c r="AB239" s="501"/>
      <c r="AC239" s="506" t="s">
        <v>257</v>
      </c>
      <c r="AD239" s="507"/>
      <c r="AE239" s="507"/>
      <c r="AF239" s="510"/>
      <c r="AG239" s="510"/>
      <c r="AH239" s="510"/>
      <c r="AI239" s="510"/>
      <c r="AJ239" s="510"/>
      <c r="AK239" s="510"/>
      <c r="AL239" s="510"/>
      <c r="AM239" s="510"/>
      <c r="AN239" s="510"/>
      <c r="AO239" s="510"/>
      <c r="AP239" s="510"/>
      <c r="AQ239" s="465"/>
      <c r="AR239" s="467">
        <f t="shared" ref="AR239" si="453">SUM(AF239:AQ240)</f>
        <v>0</v>
      </c>
      <c r="AS239" s="119" t="s">
        <v>257</v>
      </c>
      <c r="AT239" s="120"/>
      <c r="AU239" s="120"/>
      <c r="AV239" s="120"/>
      <c r="AW239" s="121"/>
      <c r="AX239" s="125">
        <f t="shared" ref="AX239:AX241" si="454">SUM(AT239:AW239)</f>
        <v>0</v>
      </c>
      <c r="AY239" s="141" t="s">
        <v>257</v>
      </c>
      <c r="AZ239" s="137"/>
      <c r="BA239" s="137"/>
      <c r="BB239" s="134">
        <f t="shared" ref="BB239:BB241" si="455">AZ239-BA239</f>
        <v>0</v>
      </c>
      <c r="BC239" s="469" t="s">
        <v>258</v>
      </c>
      <c r="BD239" s="470"/>
      <c r="BE239" s="13"/>
      <c r="BF239" s="16"/>
      <c r="BG239" s="13"/>
      <c r="BH239" s="16"/>
      <c r="BI239" s="13"/>
      <c r="BJ239" s="16"/>
      <c r="BK239" s="13"/>
      <c r="BL239" s="16"/>
      <c r="BM239" s="13"/>
      <c r="BN239" s="16"/>
      <c r="BO239" s="13"/>
      <c r="BP239" s="16"/>
      <c r="BQ239" s="106">
        <f t="shared" si="391"/>
        <v>0</v>
      </c>
      <c r="BR239" s="566"/>
      <c r="BS239" s="569"/>
      <c r="BT239" s="570"/>
      <c r="BU239" s="557"/>
      <c r="BV239" s="560"/>
      <c r="BW239" s="563"/>
      <c r="BX239" s="615"/>
    </row>
    <row r="240" spans="1:76" x14ac:dyDescent="0.25">
      <c r="A240" s="586"/>
      <c r="B240" s="590"/>
      <c r="C240" s="591"/>
      <c r="D240" s="605"/>
      <c r="E240" s="517"/>
      <c r="F240" s="518"/>
      <c r="G240" s="523"/>
      <c r="H240" s="524"/>
      <c r="I240" s="529"/>
      <c r="J240" s="530"/>
      <c r="K240" s="513"/>
      <c r="L240" s="534"/>
      <c r="M240" s="537"/>
      <c r="N240" s="541"/>
      <c r="O240" s="542"/>
      <c r="P240" s="483"/>
      <c r="Q240" s="484"/>
      <c r="R240" s="517"/>
      <c r="S240" s="518"/>
      <c r="T240" s="487"/>
      <c r="U240" s="488"/>
      <c r="V240" s="492"/>
      <c r="W240" s="483"/>
      <c r="X240" s="495"/>
      <c r="Y240" s="484"/>
      <c r="Z240" s="498"/>
      <c r="AA240" s="502"/>
      <c r="AB240" s="503"/>
      <c r="AC240" s="508"/>
      <c r="AD240" s="509"/>
      <c r="AE240" s="509"/>
      <c r="AF240" s="511"/>
      <c r="AG240" s="511"/>
      <c r="AH240" s="511"/>
      <c r="AI240" s="511"/>
      <c r="AJ240" s="511"/>
      <c r="AK240" s="511"/>
      <c r="AL240" s="511"/>
      <c r="AM240" s="511"/>
      <c r="AN240" s="511"/>
      <c r="AO240" s="511"/>
      <c r="AP240" s="511"/>
      <c r="AQ240" s="466"/>
      <c r="AR240" s="468"/>
      <c r="AS240" s="122" t="s">
        <v>259</v>
      </c>
      <c r="AT240" s="123"/>
      <c r="AU240" s="123"/>
      <c r="AV240" s="123"/>
      <c r="AW240" s="124"/>
      <c r="AX240" s="126">
        <f t="shared" si="454"/>
        <v>0</v>
      </c>
      <c r="AY240" s="142" t="s">
        <v>259</v>
      </c>
      <c r="AZ240" s="138"/>
      <c r="BA240" s="138"/>
      <c r="BB240" s="135">
        <f t="shared" si="455"/>
        <v>0</v>
      </c>
      <c r="BC240" s="474" t="s">
        <v>260</v>
      </c>
      <c r="BD240" s="475"/>
      <c r="BE240" s="14"/>
      <c r="BF240" s="17"/>
      <c r="BG240" s="14"/>
      <c r="BH240" s="17"/>
      <c r="BI240" s="14"/>
      <c r="BJ240" s="17"/>
      <c r="BK240" s="14"/>
      <c r="BL240" s="17"/>
      <c r="BM240" s="14"/>
      <c r="BN240" s="17"/>
      <c r="BO240" s="14"/>
      <c r="BP240" s="17"/>
      <c r="BQ240" s="107">
        <f t="shared" si="391"/>
        <v>0</v>
      </c>
      <c r="BR240" s="567"/>
      <c r="BS240" s="571"/>
      <c r="BT240" s="572"/>
      <c r="BU240" s="558"/>
      <c r="BV240" s="561"/>
      <c r="BW240" s="564"/>
      <c r="BX240" s="616"/>
    </row>
    <row r="241" spans="1:76" ht="15.75" thickBot="1" x14ac:dyDescent="0.3">
      <c r="A241" s="586"/>
      <c r="B241" s="590"/>
      <c r="C241" s="591"/>
      <c r="D241" s="605"/>
      <c r="E241" s="517"/>
      <c r="F241" s="518"/>
      <c r="G241" s="523"/>
      <c r="H241" s="524"/>
      <c r="I241" s="529"/>
      <c r="J241" s="530"/>
      <c r="K241" s="513"/>
      <c r="L241" s="534"/>
      <c r="M241" s="537"/>
      <c r="N241" s="541"/>
      <c r="O241" s="542"/>
      <c r="P241" s="483"/>
      <c r="Q241" s="484"/>
      <c r="R241" s="517"/>
      <c r="S241" s="518"/>
      <c r="T241" s="487"/>
      <c r="U241" s="488"/>
      <c r="V241" s="492"/>
      <c r="W241" s="483"/>
      <c r="X241" s="495"/>
      <c r="Y241" s="484"/>
      <c r="Z241" s="498"/>
      <c r="AA241" s="502"/>
      <c r="AB241" s="503"/>
      <c r="AC241" s="471" t="s">
        <v>259</v>
      </c>
      <c r="AD241" s="472"/>
      <c r="AE241" s="473"/>
      <c r="AF241" s="100"/>
      <c r="AG241" s="100"/>
      <c r="AH241" s="100"/>
      <c r="AI241" s="100"/>
      <c r="AJ241" s="100"/>
      <c r="AK241" s="100"/>
      <c r="AL241" s="100"/>
      <c r="AM241" s="100"/>
      <c r="AN241" s="100"/>
      <c r="AO241" s="100"/>
      <c r="AP241" s="100"/>
      <c r="AQ241" s="101"/>
      <c r="AR241" s="104">
        <f t="shared" ref="AR241:AR242" si="456">SUM(AF241:AQ241)</f>
        <v>0</v>
      </c>
      <c r="AS241" s="128" t="s">
        <v>261</v>
      </c>
      <c r="AT241" s="129"/>
      <c r="AU241" s="129"/>
      <c r="AV241" s="129"/>
      <c r="AW241" s="130"/>
      <c r="AX241" s="126">
        <f t="shared" si="454"/>
        <v>0</v>
      </c>
      <c r="AY241" s="143" t="s">
        <v>261</v>
      </c>
      <c r="AZ241" s="139"/>
      <c r="BA241" s="139"/>
      <c r="BB241" s="136">
        <f t="shared" si="455"/>
        <v>0</v>
      </c>
      <c r="BC241" s="474" t="s">
        <v>262</v>
      </c>
      <c r="BD241" s="475"/>
      <c r="BE241" s="14"/>
      <c r="BF241" s="17"/>
      <c r="BG241" s="14"/>
      <c r="BH241" s="17"/>
      <c r="BI241" s="14"/>
      <c r="BJ241" s="17"/>
      <c r="BK241" s="14"/>
      <c r="BL241" s="17"/>
      <c r="BM241" s="14"/>
      <c r="BN241" s="17"/>
      <c r="BO241" s="14"/>
      <c r="BP241" s="17"/>
      <c r="BQ241" s="108">
        <f t="shared" si="391"/>
        <v>0</v>
      </c>
      <c r="BR241" s="567"/>
      <c r="BS241" s="571"/>
      <c r="BT241" s="572"/>
      <c r="BU241" s="558"/>
      <c r="BV241" s="561"/>
      <c r="BW241" s="564"/>
      <c r="BX241" s="616"/>
    </row>
    <row r="242" spans="1:76" ht="15.75" thickBot="1" x14ac:dyDescent="0.3">
      <c r="A242" s="587"/>
      <c r="B242" s="592"/>
      <c r="C242" s="593"/>
      <c r="D242" s="606"/>
      <c r="E242" s="519"/>
      <c r="F242" s="520"/>
      <c r="G242" s="525"/>
      <c r="H242" s="526"/>
      <c r="I242" s="531"/>
      <c r="J242" s="532"/>
      <c r="K242" s="514"/>
      <c r="L242" s="535"/>
      <c r="M242" s="538"/>
      <c r="N242" s="543"/>
      <c r="O242" s="544"/>
      <c r="P242" s="485"/>
      <c r="Q242" s="486"/>
      <c r="R242" s="519"/>
      <c r="S242" s="520"/>
      <c r="T242" s="489"/>
      <c r="U242" s="490"/>
      <c r="V242" s="493"/>
      <c r="W242" s="485"/>
      <c r="X242" s="496"/>
      <c r="Y242" s="486"/>
      <c r="Z242" s="499"/>
      <c r="AA242" s="504"/>
      <c r="AB242" s="505"/>
      <c r="AC242" s="476" t="s">
        <v>261</v>
      </c>
      <c r="AD242" s="477"/>
      <c r="AE242" s="478"/>
      <c r="AF242" s="102"/>
      <c r="AG242" s="102"/>
      <c r="AH242" s="102"/>
      <c r="AI242" s="102"/>
      <c r="AJ242" s="102"/>
      <c r="AK242" s="102"/>
      <c r="AL242" s="102"/>
      <c r="AM242" s="102"/>
      <c r="AN242" s="102"/>
      <c r="AO242" s="102"/>
      <c r="AP242" s="102"/>
      <c r="AQ242" s="103"/>
      <c r="AR242" s="105">
        <f t="shared" si="456"/>
        <v>0</v>
      </c>
      <c r="AS242" s="131" t="s">
        <v>161</v>
      </c>
      <c r="AT242" s="132">
        <f t="shared" ref="AT242:AX242" si="457">SUM(AT239:AT241)</f>
        <v>0</v>
      </c>
      <c r="AU242" s="132">
        <f t="shared" si="457"/>
        <v>0</v>
      </c>
      <c r="AV242" s="132">
        <f t="shared" si="457"/>
        <v>0</v>
      </c>
      <c r="AW242" s="133">
        <f t="shared" si="457"/>
        <v>0</v>
      </c>
      <c r="AX242" s="127">
        <f t="shared" si="457"/>
        <v>0</v>
      </c>
      <c r="AY242" s="144" t="s">
        <v>161</v>
      </c>
      <c r="AZ242" s="140">
        <f t="shared" ref="AZ242:BB242" si="458">SUM(AZ239:AZ241)</f>
        <v>0</v>
      </c>
      <c r="BA242" s="140">
        <f t="shared" si="458"/>
        <v>0</v>
      </c>
      <c r="BB242" s="140">
        <f t="shared" si="458"/>
        <v>0</v>
      </c>
      <c r="BC242" s="479" t="s">
        <v>263</v>
      </c>
      <c r="BD242" s="480"/>
      <c r="BE242" s="15"/>
      <c r="BF242" s="18"/>
      <c r="BG242" s="15"/>
      <c r="BH242" s="18"/>
      <c r="BI242" s="15"/>
      <c r="BJ242" s="18"/>
      <c r="BK242" s="15"/>
      <c r="BL242" s="18"/>
      <c r="BM242" s="15"/>
      <c r="BN242" s="18"/>
      <c r="BO242" s="15"/>
      <c r="BP242" s="18"/>
      <c r="BQ242" s="109">
        <f t="shared" si="391"/>
        <v>0</v>
      </c>
      <c r="BR242" s="568"/>
      <c r="BS242" s="573"/>
      <c r="BT242" s="574"/>
      <c r="BU242" s="559"/>
      <c r="BV242" s="562"/>
      <c r="BW242" s="565"/>
      <c r="BX242" s="617"/>
    </row>
    <row r="243" spans="1:76" ht="15.75" thickTop="1" x14ac:dyDescent="0.25">
      <c r="A243" s="585">
        <v>59</v>
      </c>
      <c r="B243" s="588"/>
      <c r="C243" s="589"/>
      <c r="D243" s="604"/>
      <c r="E243" s="515"/>
      <c r="F243" s="516"/>
      <c r="G243" s="521"/>
      <c r="H243" s="522"/>
      <c r="I243" s="527"/>
      <c r="J243" s="528"/>
      <c r="K243" s="512" t="e">
        <f t="shared" ref="K243" si="459">INT(YEARFRAC(I243,AA243))</f>
        <v>#VALUE!</v>
      </c>
      <c r="L243" s="533">
        <f t="shared" ref="L243" ca="1" si="460">INT(YEARFRAC(I243,TODAY()))</f>
        <v>121</v>
      </c>
      <c r="M243" s="536"/>
      <c r="N243" s="539"/>
      <c r="O243" s="540"/>
      <c r="P243" s="481"/>
      <c r="Q243" s="482"/>
      <c r="R243" s="515"/>
      <c r="S243" s="516"/>
      <c r="T243" s="487"/>
      <c r="U243" s="488"/>
      <c r="V243" s="491"/>
      <c r="W243" s="481"/>
      <c r="X243" s="494"/>
      <c r="Y243" s="482"/>
      <c r="Z243" s="497"/>
      <c r="AA243" s="500" t="s">
        <v>300</v>
      </c>
      <c r="AB243" s="501"/>
      <c r="AC243" s="506" t="s">
        <v>257</v>
      </c>
      <c r="AD243" s="507"/>
      <c r="AE243" s="507"/>
      <c r="AF243" s="510"/>
      <c r="AG243" s="510"/>
      <c r="AH243" s="510"/>
      <c r="AI243" s="510"/>
      <c r="AJ243" s="510"/>
      <c r="AK243" s="510"/>
      <c r="AL243" s="510"/>
      <c r="AM243" s="510"/>
      <c r="AN243" s="510"/>
      <c r="AO243" s="510"/>
      <c r="AP243" s="510"/>
      <c r="AQ243" s="465"/>
      <c r="AR243" s="467">
        <f t="shared" ref="AR243" si="461">SUM(AF243:AQ244)</f>
        <v>0</v>
      </c>
      <c r="AS243" s="119" t="s">
        <v>257</v>
      </c>
      <c r="AT243" s="120"/>
      <c r="AU243" s="120"/>
      <c r="AV243" s="120"/>
      <c r="AW243" s="121"/>
      <c r="AX243" s="125">
        <f t="shared" ref="AX243:AX245" si="462">SUM(AT243:AW243)</f>
        <v>0</v>
      </c>
      <c r="AY243" s="141" t="s">
        <v>257</v>
      </c>
      <c r="AZ243" s="137"/>
      <c r="BA243" s="137"/>
      <c r="BB243" s="134">
        <f t="shared" ref="BB243:BB245" si="463">AZ243-BA243</f>
        <v>0</v>
      </c>
      <c r="BC243" s="469" t="s">
        <v>258</v>
      </c>
      <c r="BD243" s="470"/>
      <c r="BE243" s="13"/>
      <c r="BF243" s="16"/>
      <c r="BG243" s="13"/>
      <c r="BH243" s="16"/>
      <c r="BI243" s="13"/>
      <c r="BJ243" s="16"/>
      <c r="BK243" s="13"/>
      <c r="BL243" s="16"/>
      <c r="BM243" s="13"/>
      <c r="BN243" s="16"/>
      <c r="BO243" s="13"/>
      <c r="BP243" s="16"/>
      <c r="BQ243" s="106">
        <f t="shared" si="391"/>
        <v>0</v>
      </c>
      <c r="BR243" s="566"/>
      <c r="BS243" s="569"/>
      <c r="BT243" s="570"/>
      <c r="BU243" s="557"/>
      <c r="BV243" s="560"/>
      <c r="BW243" s="563"/>
      <c r="BX243" s="615"/>
    </row>
    <row r="244" spans="1:76" x14ac:dyDescent="0.25">
      <c r="A244" s="586"/>
      <c r="B244" s="590"/>
      <c r="C244" s="591"/>
      <c r="D244" s="605"/>
      <c r="E244" s="517"/>
      <c r="F244" s="518"/>
      <c r="G244" s="523"/>
      <c r="H244" s="524"/>
      <c r="I244" s="529"/>
      <c r="J244" s="530"/>
      <c r="K244" s="513"/>
      <c r="L244" s="534"/>
      <c r="M244" s="537"/>
      <c r="N244" s="541"/>
      <c r="O244" s="542"/>
      <c r="P244" s="483"/>
      <c r="Q244" s="484"/>
      <c r="R244" s="517"/>
      <c r="S244" s="518"/>
      <c r="T244" s="487"/>
      <c r="U244" s="488"/>
      <c r="V244" s="492"/>
      <c r="W244" s="483"/>
      <c r="X244" s="495"/>
      <c r="Y244" s="484"/>
      <c r="Z244" s="498"/>
      <c r="AA244" s="502"/>
      <c r="AB244" s="503"/>
      <c r="AC244" s="508"/>
      <c r="AD244" s="509"/>
      <c r="AE244" s="509"/>
      <c r="AF244" s="511"/>
      <c r="AG244" s="511"/>
      <c r="AH244" s="511"/>
      <c r="AI244" s="511"/>
      <c r="AJ244" s="511"/>
      <c r="AK244" s="511"/>
      <c r="AL244" s="511"/>
      <c r="AM244" s="511"/>
      <c r="AN244" s="511"/>
      <c r="AO244" s="511"/>
      <c r="AP244" s="511"/>
      <c r="AQ244" s="466"/>
      <c r="AR244" s="468"/>
      <c r="AS244" s="122" t="s">
        <v>259</v>
      </c>
      <c r="AT244" s="123"/>
      <c r="AU244" s="123"/>
      <c r="AV244" s="123"/>
      <c r="AW244" s="124"/>
      <c r="AX244" s="126">
        <f t="shared" si="462"/>
        <v>0</v>
      </c>
      <c r="AY244" s="142" t="s">
        <v>259</v>
      </c>
      <c r="AZ244" s="138"/>
      <c r="BA244" s="138"/>
      <c r="BB244" s="135">
        <f t="shared" si="463"/>
        <v>0</v>
      </c>
      <c r="BC244" s="474" t="s">
        <v>260</v>
      </c>
      <c r="BD244" s="475"/>
      <c r="BE244" s="14"/>
      <c r="BF244" s="17"/>
      <c r="BG244" s="14"/>
      <c r="BH244" s="17"/>
      <c r="BI244" s="14"/>
      <c r="BJ244" s="17"/>
      <c r="BK244" s="14"/>
      <c r="BL244" s="17"/>
      <c r="BM244" s="14"/>
      <c r="BN244" s="17"/>
      <c r="BO244" s="14"/>
      <c r="BP244" s="17"/>
      <c r="BQ244" s="107">
        <f t="shared" si="391"/>
        <v>0</v>
      </c>
      <c r="BR244" s="567"/>
      <c r="BS244" s="571"/>
      <c r="BT244" s="572"/>
      <c r="BU244" s="558"/>
      <c r="BV244" s="561"/>
      <c r="BW244" s="564"/>
      <c r="BX244" s="616"/>
    </row>
    <row r="245" spans="1:76" ht="15.75" thickBot="1" x14ac:dyDescent="0.3">
      <c r="A245" s="586"/>
      <c r="B245" s="590"/>
      <c r="C245" s="591"/>
      <c r="D245" s="605"/>
      <c r="E245" s="517"/>
      <c r="F245" s="518"/>
      <c r="G245" s="523"/>
      <c r="H245" s="524"/>
      <c r="I245" s="529"/>
      <c r="J245" s="530"/>
      <c r="K245" s="513"/>
      <c r="L245" s="534"/>
      <c r="M245" s="537"/>
      <c r="N245" s="541"/>
      <c r="O245" s="542"/>
      <c r="P245" s="483"/>
      <c r="Q245" s="484"/>
      <c r="R245" s="517"/>
      <c r="S245" s="518"/>
      <c r="T245" s="487"/>
      <c r="U245" s="488"/>
      <c r="V245" s="492"/>
      <c r="W245" s="483"/>
      <c r="X245" s="495"/>
      <c r="Y245" s="484"/>
      <c r="Z245" s="498"/>
      <c r="AA245" s="502"/>
      <c r="AB245" s="503"/>
      <c r="AC245" s="471" t="s">
        <v>259</v>
      </c>
      <c r="AD245" s="472"/>
      <c r="AE245" s="473"/>
      <c r="AF245" s="100"/>
      <c r="AG245" s="100"/>
      <c r="AH245" s="100"/>
      <c r="AI245" s="100"/>
      <c r="AJ245" s="100"/>
      <c r="AK245" s="100"/>
      <c r="AL245" s="100"/>
      <c r="AM245" s="100"/>
      <c r="AN245" s="100"/>
      <c r="AO245" s="100"/>
      <c r="AP245" s="100"/>
      <c r="AQ245" s="101"/>
      <c r="AR245" s="104">
        <f t="shared" ref="AR245:AR246" si="464">SUM(AF245:AQ245)</f>
        <v>0</v>
      </c>
      <c r="AS245" s="128" t="s">
        <v>261</v>
      </c>
      <c r="AT245" s="129"/>
      <c r="AU245" s="129"/>
      <c r="AV245" s="129"/>
      <c r="AW245" s="130"/>
      <c r="AX245" s="126">
        <f t="shared" si="462"/>
        <v>0</v>
      </c>
      <c r="AY245" s="143" t="s">
        <v>261</v>
      </c>
      <c r="AZ245" s="139"/>
      <c r="BA245" s="139"/>
      <c r="BB245" s="136">
        <f t="shared" si="463"/>
        <v>0</v>
      </c>
      <c r="BC245" s="474" t="s">
        <v>262</v>
      </c>
      <c r="BD245" s="475"/>
      <c r="BE245" s="14"/>
      <c r="BF245" s="17"/>
      <c r="BG245" s="14"/>
      <c r="BH245" s="17"/>
      <c r="BI245" s="14"/>
      <c r="BJ245" s="17"/>
      <c r="BK245" s="14"/>
      <c r="BL245" s="17"/>
      <c r="BM245" s="14"/>
      <c r="BN245" s="17"/>
      <c r="BO245" s="14"/>
      <c r="BP245" s="17"/>
      <c r="BQ245" s="108">
        <f t="shared" si="391"/>
        <v>0</v>
      </c>
      <c r="BR245" s="567"/>
      <c r="BS245" s="571"/>
      <c r="BT245" s="572"/>
      <c r="BU245" s="558"/>
      <c r="BV245" s="561"/>
      <c r="BW245" s="564"/>
      <c r="BX245" s="616"/>
    </row>
    <row r="246" spans="1:76" ht="15.75" thickBot="1" x14ac:dyDescent="0.3">
      <c r="A246" s="587"/>
      <c r="B246" s="592"/>
      <c r="C246" s="593"/>
      <c r="D246" s="606"/>
      <c r="E246" s="519"/>
      <c r="F246" s="520"/>
      <c r="G246" s="525"/>
      <c r="H246" s="526"/>
      <c r="I246" s="531"/>
      <c r="J246" s="532"/>
      <c r="K246" s="514"/>
      <c r="L246" s="535"/>
      <c r="M246" s="538"/>
      <c r="N246" s="543"/>
      <c r="O246" s="544"/>
      <c r="P246" s="485"/>
      <c r="Q246" s="486"/>
      <c r="R246" s="519"/>
      <c r="S246" s="520"/>
      <c r="T246" s="489"/>
      <c r="U246" s="490"/>
      <c r="V246" s="493"/>
      <c r="W246" s="485"/>
      <c r="X246" s="496"/>
      <c r="Y246" s="486"/>
      <c r="Z246" s="499"/>
      <c r="AA246" s="504"/>
      <c r="AB246" s="505"/>
      <c r="AC246" s="476" t="s">
        <v>261</v>
      </c>
      <c r="AD246" s="477"/>
      <c r="AE246" s="478"/>
      <c r="AF246" s="102"/>
      <c r="AG246" s="102"/>
      <c r="AH246" s="102"/>
      <c r="AI246" s="102"/>
      <c r="AJ246" s="102"/>
      <c r="AK246" s="102"/>
      <c r="AL246" s="102"/>
      <c r="AM246" s="102"/>
      <c r="AN246" s="102"/>
      <c r="AO246" s="102"/>
      <c r="AP246" s="102"/>
      <c r="AQ246" s="103"/>
      <c r="AR246" s="105">
        <f t="shared" si="464"/>
        <v>0</v>
      </c>
      <c r="AS246" s="131" t="s">
        <v>161</v>
      </c>
      <c r="AT246" s="132">
        <f t="shared" ref="AT246:AX246" si="465">SUM(AT243:AT245)</f>
        <v>0</v>
      </c>
      <c r="AU246" s="132">
        <f t="shared" si="465"/>
        <v>0</v>
      </c>
      <c r="AV246" s="132">
        <f t="shared" si="465"/>
        <v>0</v>
      </c>
      <c r="AW246" s="133">
        <f t="shared" si="465"/>
        <v>0</v>
      </c>
      <c r="AX246" s="127">
        <f t="shared" si="465"/>
        <v>0</v>
      </c>
      <c r="AY246" s="144" t="s">
        <v>161</v>
      </c>
      <c r="AZ246" s="140">
        <f t="shared" ref="AZ246:BB246" si="466">SUM(AZ243:AZ245)</f>
        <v>0</v>
      </c>
      <c r="BA246" s="140">
        <f t="shared" si="466"/>
        <v>0</v>
      </c>
      <c r="BB246" s="140">
        <f t="shared" si="466"/>
        <v>0</v>
      </c>
      <c r="BC246" s="479" t="s">
        <v>263</v>
      </c>
      <c r="BD246" s="480"/>
      <c r="BE246" s="15"/>
      <c r="BF246" s="18"/>
      <c r="BG246" s="15"/>
      <c r="BH246" s="18"/>
      <c r="BI246" s="15"/>
      <c r="BJ246" s="18"/>
      <c r="BK246" s="15"/>
      <c r="BL246" s="18"/>
      <c r="BM246" s="15"/>
      <c r="BN246" s="18"/>
      <c r="BO246" s="15"/>
      <c r="BP246" s="18"/>
      <c r="BQ246" s="109">
        <f t="shared" si="391"/>
        <v>0</v>
      </c>
      <c r="BR246" s="568"/>
      <c r="BS246" s="573"/>
      <c r="BT246" s="574"/>
      <c r="BU246" s="559"/>
      <c r="BV246" s="562"/>
      <c r="BW246" s="565"/>
      <c r="BX246" s="617"/>
    </row>
    <row r="247" spans="1:76" ht="15.75" thickTop="1" x14ac:dyDescent="0.25">
      <c r="A247" s="585">
        <v>60</v>
      </c>
      <c r="B247" s="588"/>
      <c r="C247" s="589"/>
      <c r="D247" s="604"/>
      <c r="E247" s="515"/>
      <c r="F247" s="516"/>
      <c r="G247" s="521"/>
      <c r="H247" s="522"/>
      <c r="I247" s="527"/>
      <c r="J247" s="528"/>
      <c r="K247" s="512" t="e">
        <f t="shared" ref="K247" si="467">INT(YEARFRAC(I247,AA247))</f>
        <v>#VALUE!</v>
      </c>
      <c r="L247" s="533">
        <f t="shared" ref="L247" ca="1" si="468">INT(YEARFRAC(I247,TODAY()))</f>
        <v>121</v>
      </c>
      <c r="M247" s="536"/>
      <c r="N247" s="539"/>
      <c r="O247" s="540"/>
      <c r="P247" s="481"/>
      <c r="Q247" s="482"/>
      <c r="R247" s="515"/>
      <c r="S247" s="516"/>
      <c r="T247" s="487"/>
      <c r="U247" s="488"/>
      <c r="V247" s="491"/>
      <c r="W247" s="481"/>
      <c r="X247" s="494"/>
      <c r="Y247" s="482"/>
      <c r="Z247" s="497"/>
      <c r="AA247" s="500" t="s">
        <v>301</v>
      </c>
      <c r="AB247" s="501"/>
      <c r="AC247" s="506" t="s">
        <v>257</v>
      </c>
      <c r="AD247" s="507"/>
      <c r="AE247" s="507"/>
      <c r="AF247" s="510"/>
      <c r="AG247" s="510"/>
      <c r="AH247" s="510"/>
      <c r="AI247" s="510"/>
      <c r="AJ247" s="510"/>
      <c r="AK247" s="510"/>
      <c r="AL247" s="510"/>
      <c r="AM247" s="510"/>
      <c r="AN247" s="510"/>
      <c r="AO247" s="510"/>
      <c r="AP247" s="510"/>
      <c r="AQ247" s="465"/>
      <c r="AR247" s="467">
        <f t="shared" ref="AR247" si="469">SUM(AF247:AQ248)</f>
        <v>0</v>
      </c>
      <c r="AS247" s="119" t="s">
        <v>257</v>
      </c>
      <c r="AT247" s="120"/>
      <c r="AU247" s="120"/>
      <c r="AV247" s="120"/>
      <c r="AW247" s="121"/>
      <c r="AX247" s="125">
        <f t="shared" ref="AX247:AX249" si="470">SUM(AT247:AW247)</f>
        <v>0</v>
      </c>
      <c r="AY247" s="141" t="s">
        <v>257</v>
      </c>
      <c r="AZ247" s="137"/>
      <c r="BA247" s="137"/>
      <c r="BB247" s="134">
        <f t="shared" ref="BB247:BB249" si="471">AZ247-BA247</f>
        <v>0</v>
      </c>
      <c r="BC247" s="469" t="s">
        <v>258</v>
      </c>
      <c r="BD247" s="470"/>
      <c r="BE247" s="13"/>
      <c r="BF247" s="16"/>
      <c r="BG247" s="13"/>
      <c r="BH247" s="16"/>
      <c r="BI247" s="13"/>
      <c r="BJ247" s="16"/>
      <c r="BK247" s="13"/>
      <c r="BL247" s="16"/>
      <c r="BM247" s="13"/>
      <c r="BN247" s="16"/>
      <c r="BO247" s="13"/>
      <c r="BP247" s="16"/>
      <c r="BQ247" s="106">
        <f t="shared" si="391"/>
        <v>0</v>
      </c>
      <c r="BR247" s="566"/>
      <c r="BS247" s="569"/>
      <c r="BT247" s="570"/>
      <c r="BU247" s="557"/>
      <c r="BV247" s="560"/>
      <c r="BW247" s="563"/>
      <c r="BX247" s="615"/>
    </row>
    <row r="248" spans="1:76" x14ac:dyDescent="0.25">
      <c r="A248" s="586"/>
      <c r="B248" s="590"/>
      <c r="C248" s="591"/>
      <c r="D248" s="605"/>
      <c r="E248" s="517"/>
      <c r="F248" s="518"/>
      <c r="G248" s="523"/>
      <c r="H248" s="524"/>
      <c r="I248" s="529"/>
      <c r="J248" s="530"/>
      <c r="K248" s="513"/>
      <c r="L248" s="534"/>
      <c r="M248" s="537"/>
      <c r="N248" s="541"/>
      <c r="O248" s="542"/>
      <c r="P248" s="483"/>
      <c r="Q248" s="484"/>
      <c r="R248" s="517"/>
      <c r="S248" s="518"/>
      <c r="T248" s="487"/>
      <c r="U248" s="488"/>
      <c r="V248" s="492"/>
      <c r="W248" s="483"/>
      <c r="X248" s="495"/>
      <c r="Y248" s="484"/>
      <c r="Z248" s="498"/>
      <c r="AA248" s="502"/>
      <c r="AB248" s="503"/>
      <c r="AC248" s="508"/>
      <c r="AD248" s="509"/>
      <c r="AE248" s="509"/>
      <c r="AF248" s="511"/>
      <c r="AG248" s="511"/>
      <c r="AH248" s="511"/>
      <c r="AI248" s="511"/>
      <c r="AJ248" s="511"/>
      <c r="AK248" s="511"/>
      <c r="AL248" s="511"/>
      <c r="AM248" s="511"/>
      <c r="AN248" s="511"/>
      <c r="AO248" s="511"/>
      <c r="AP248" s="511"/>
      <c r="AQ248" s="466"/>
      <c r="AR248" s="468"/>
      <c r="AS248" s="122" t="s">
        <v>259</v>
      </c>
      <c r="AT248" s="123"/>
      <c r="AU248" s="123"/>
      <c r="AV248" s="123"/>
      <c r="AW248" s="124"/>
      <c r="AX248" s="126">
        <f t="shared" si="470"/>
        <v>0</v>
      </c>
      <c r="AY248" s="142" t="s">
        <v>259</v>
      </c>
      <c r="AZ248" s="138"/>
      <c r="BA248" s="138"/>
      <c r="BB248" s="135">
        <f t="shared" si="471"/>
        <v>0</v>
      </c>
      <c r="BC248" s="474" t="s">
        <v>260</v>
      </c>
      <c r="BD248" s="475"/>
      <c r="BE248" s="14"/>
      <c r="BF248" s="17"/>
      <c r="BG248" s="14"/>
      <c r="BH248" s="17"/>
      <c r="BI248" s="14"/>
      <c r="BJ248" s="17"/>
      <c r="BK248" s="14"/>
      <c r="BL248" s="17"/>
      <c r="BM248" s="14"/>
      <c r="BN248" s="17"/>
      <c r="BO248" s="14"/>
      <c r="BP248" s="17"/>
      <c r="BQ248" s="107">
        <f t="shared" si="391"/>
        <v>0</v>
      </c>
      <c r="BR248" s="567"/>
      <c r="BS248" s="571"/>
      <c r="BT248" s="572"/>
      <c r="BU248" s="558"/>
      <c r="BV248" s="561"/>
      <c r="BW248" s="564"/>
      <c r="BX248" s="616"/>
    </row>
    <row r="249" spans="1:76" ht="15.75" thickBot="1" x14ac:dyDescent="0.3">
      <c r="A249" s="586"/>
      <c r="B249" s="590"/>
      <c r="C249" s="591"/>
      <c r="D249" s="605"/>
      <c r="E249" s="517"/>
      <c r="F249" s="518"/>
      <c r="G249" s="523"/>
      <c r="H249" s="524"/>
      <c r="I249" s="529"/>
      <c r="J249" s="530"/>
      <c r="K249" s="513"/>
      <c r="L249" s="534"/>
      <c r="M249" s="537"/>
      <c r="N249" s="541"/>
      <c r="O249" s="542"/>
      <c r="P249" s="483"/>
      <c r="Q249" s="484"/>
      <c r="R249" s="517"/>
      <c r="S249" s="518"/>
      <c r="T249" s="487"/>
      <c r="U249" s="488"/>
      <c r="V249" s="492"/>
      <c r="W249" s="483"/>
      <c r="X249" s="495"/>
      <c r="Y249" s="484"/>
      <c r="Z249" s="498"/>
      <c r="AA249" s="502"/>
      <c r="AB249" s="503"/>
      <c r="AC249" s="471" t="s">
        <v>259</v>
      </c>
      <c r="AD249" s="472"/>
      <c r="AE249" s="473"/>
      <c r="AF249" s="100"/>
      <c r="AG249" s="100"/>
      <c r="AH249" s="100"/>
      <c r="AI249" s="100"/>
      <c r="AJ249" s="100"/>
      <c r="AK249" s="100"/>
      <c r="AL249" s="100"/>
      <c r="AM249" s="100"/>
      <c r="AN249" s="100"/>
      <c r="AO249" s="100"/>
      <c r="AP249" s="100"/>
      <c r="AQ249" s="101"/>
      <c r="AR249" s="104">
        <f t="shared" ref="AR249:AR250" si="472">SUM(AF249:AQ249)</f>
        <v>0</v>
      </c>
      <c r="AS249" s="128" t="s">
        <v>261</v>
      </c>
      <c r="AT249" s="129"/>
      <c r="AU249" s="129"/>
      <c r="AV249" s="129"/>
      <c r="AW249" s="130"/>
      <c r="AX249" s="126">
        <f t="shared" si="470"/>
        <v>0</v>
      </c>
      <c r="AY249" s="143" t="s">
        <v>261</v>
      </c>
      <c r="AZ249" s="139"/>
      <c r="BA249" s="139"/>
      <c r="BB249" s="136">
        <f t="shared" si="471"/>
        <v>0</v>
      </c>
      <c r="BC249" s="474" t="s">
        <v>262</v>
      </c>
      <c r="BD249" s="475"/>
      <c r="BE249" s="14"/>
      <c r="BF249" s="17"/>
      <c r="BG249" s="14"/>
      <c r="BH249" s="17"/>
      <c r="BI249" s="14"/>
      <c r="BJ249" s="17"/>
      <c r="BK249" s="14"/>
      <c r="BL249" s="17"/>
      <c r="BM249" s="14"/>
      <c r="BN249" s="17"/>
      <c r="BO249" s="14"/>
      <c r="BP249" s="17"/>
      <c r="BQ249" s="108">
        <f t="shared" si="391"/>
        <v>0</v>
      </c>
      <c r="BR249" s="567"/>
      <c r="BS249" s="571"/>
      <c r="BT249" s="572"/>
      <c r="BU249" s="558"/>
      <c r="BV249" s="561"/>
      <c r="BW249" s="564"/>
      <c r="BX249" s="616"/>
    </row>
    <row r="250" spans="1:76" ht="15.75" thickBot="1" x14ac:dyDescent="0.3">
      <c r="A250" s="587"/>
      <c r="B250" s="592"/>
      <c r="C250" s="593"/>
      <c r="D250" s="606"/>
      <c r="E250" s="519"/>
      <c r="F250" s="520"/>
      <c r="G250" s="525"/>
      <c r="H250" s="526"/>
      <c r="I250" s="531"/>
      <c r="J250" s="532"/>
      <c r="K250" s="514"/>
      <c r="L250" s="535"/>
      <c r="M250" s="538"/>
      <c r="N250" s="543"/>
      <c r="O250" s="544"/>
      <c r="P250" s="485"/>
      <c r="Q250" s="486"/>
      <c r="R250" s="519"/>
      <c r="S250" s="520"/>
      <c r="T250" s="489"/>
      <c r="U250" s="490"/>
      <c r="V250" s="493"/>
      <c r="W250" s="485"/>
      <c r="X250" s="496"/>
      <c r="Y250" s="486"/>
      <c r="Z250" s="499"/>
      <c r="AA250" s="504"/>
      <c r="AB250" s="505"/>
      <c r="AC250" s="476" t="s">
        <v>261</v>
      </c>
      <c r="AD250" s="477"/>
      <c r="AE250" s="478"/>
      <c r="AF250" s="102"/>
      <c r="AG250" s="102"/>
      <c r="AH250" s="102"/>
      <c r="AI250" s="102"/>
      <c r="AJ250" s="102"/>
      <c r="AK250" s="102"/>
      <c r="AL250" s="102"/>
      <c r="AM250" s="102"/>
      <c r="AN250" s="102"/>
      <c r="AO250" s="102"/>
      <c r="AP250" s="102"/>
      <c r="AQ250" s="103"/>
      <c r="AR250" s="105">
        <f t="shared" si="472"/>
        <v>0</v>
      </c>
      <c r="AS250" s="131" t="s">
        <v>161</v>
      </c>
      <c r="AT250" s="132">
        <f t="shared" ref="AT250:AX250" si="473">SUM(AT247:AT249)</f>
        <v>0</v>
      </c>
      <c r="AU250" s="132">
        <f t="shared" si="473"/>
        <v>0</v>
      </c>
      <c r="AV250" s="132">
        <f t="shared" si="473"/>
        <v>0</v>
      </c>
      <c r="AW250" s="133">
        <f t="shared" si="473"/>
        <v>0</v>
      </c>
      <c r="AX250" s="127">
        <f t="shared" si="473"/>
        <v>0</v>
      </c>
      <c r="AY250" s="144" t="s">
        <v>161</v>
      </c>
      <c r="AZ250" s="140">
        <f t="shared" ref="AZ250:BB250" si="474">SUM(AZ247:AZ249)</f>
        <v>0</v>
      </c>
      <c r="BA250" s="140">
        <f t="shared" si="474"/>
        <v>0</v>
      </c>
      <c r="BB250" s="140">
        <f t="shared" si="474"/>
        <v>0</v>
      </c>
      <c r="BC250" s="479" t="s">
        <v>263</v>
      </c>
      <c r="BD250" s="480"/>
      <c r="BE250" s="15"/>
      <c r="BF250" s="18"/>
      <c r="BG250" s="15"/>
      <c r="BH250" s="18"/>
      <c r="BI250" s="15"/>
      <c r="BJ250" s="18"/>
      <c r="BK250" s="15"/>
      <c r="BL250" s="18"/>
      <c r="BM250" s="15"/>
      <c r="BN250" s="18"/>
      <c r="BO250" s="15"/>
      <c r="BP250" s="18"/>
      <c r="BQ250" s="109">
        <f t="shared" si="391"/>
        <v>0</v>
      </c>
      <c r="BR250" s="568"/>
      <c r="BS250" s="573"/>
      <c r="BT250" s="574"/>
      <c r="BU250" s="559"/>
      <c r="BV250" s="562"/>
      <c r="BW250" s="565"/>
      <c r="BX250" s="617"/>
    </row>
    <row r="251" spans="1:76" ht="15.75" thickTop="1" x14ac:dyDescent="0.25">
      <c r="A251" s="585">
        <v>61</v>
      </c>
      <c r="B251" s="588"/>
      <c r="C251" s="589"/>
      <c r="D251" s="604"/>
      <c r="E251" s="515"/>
      <c r="F251" s="516"/>
      <c r="G251" s="521"/>
      <c r="H251" s="522"/>
      <c r="I251" s="527"/>
      <c r="J251" s="528"/>
      <c r="K251" s="512" t="e">
        <f t="shared" ref="K251" si="475">INT(YEARFRAC(I251,AA251))</f>
        <v>#VALUE!</v>
      </c>
      <c r="L251" s="533">
        <f t="shared" ref="L251" ca="1" si="476">INT(YEARFRAC(I251,TODAY()))</f>
        <v>121</v>
      </c>
      <c r="M251" s="536"/>
      <c r="N251" s="539"/>
      <c r="O251" s="540"/>
      <c r="P251" s="481"/>
      <c r="Q251" s="482"/>
      <c r="R251" s="515"/>
      <c r="S251" s="516"/>
      <c r="T251" s="487"/>
      <c r="U251" s="488"/>
      <c r="V251" s="491"/>
      <c r="W251" s="481"/>
      <c r="X251" s="494"/>
      <c r="Y251" s="482"/>
      <c r="Z251" s="497"/>
      <c r="AA251" s="500" t="s">
        <v>302</v>
      </c>
      <c r="AB251" s="501"/>
      <c r="AC251" s="506" t="s">
        <v>257</v>
      </c>
      <c r="AD251" s="507"/>
      <c r="AE251" s="507"/>
      <c r="AF251" s="510"/>
      <c r="AG251" s="510"/>
      <c r="AH251" s="510"/>
      <c r="AI251" s="510"/>
      <c r="AJ251" s="510"/>
      <c r="AK251" s="510"/>
      <c r="AL251" s="510"/>
      <c r="AM251" s="510"/>
      <c r="AN251" s="510"/>
      <c r="AO251" s="510"/>
      <c r="AP251" s="510"/>
      <c r="AQ251" s="465"/>
      <c r="AR251" s="467">
        <f t="shared" ref="AR251" si="477">SUM(AF251:AQ252)</f>
        <v>0</v>
      </c>
      <c r="AS251" s="119" t="s">
        <v>257</v>
      </c>
      <c r="AT251" s="120"/>
      <c r="AU251" s="120"/>
      <c r="AV251" s="120"/>
      <c r="AW251" s="121"/>
      <c r="AX251" s="125">
        <f t="shared" ref="AX251:AX253" si="478">SUM(AT251:AW251)</f>
        <v>0</v>
      </c>
      <c r="AY251" s="141" t="s">
        <v>257</v>
      </c>
      <c r="AZ251" s="137"/>
      <c r="BA251" s="137"/>
      <c r="BB251" s="134">
        <f t="shared" ref="BB251:BB253" si="479">AZ251-BA251</f>
        <v>0</v>
      </c>
      <c r="BC251" s="469" t="s">
        <v>258</v>
      </c>
      <c r="BD251" s="470"/>
      <c r="BE251" s="13"/>
      <c r="BF251" s="16"/>
      <c r="BG251" s="13"/>
      <c r="BH251" s="16"/>
      <c r="BI251" s="13"/>
      <c r="BJ251" s="16"/>
      <c r="BK251" s="13"/>
      <c r="BL251" s="16"/>
      <c r="BM251" s="13"/>
      <c r="BN251" s="16"/>
      <c r="BO251" s="13"/>
      <c r="BP251" s="16"/>
      <c r="BQ251" s="106">
        <f t="shared" si="391"/>
        <v>0</v>
      </c>
      <c r="BR251" s="566"/>
      <c r="BS251" s="569"/>
      <c r="BT251" s="570"/>
      <c r="BU251" s="557"/>
      <c r="BV251" s="560"/>
      <c r="BW251" s="563"/>
      <c r="BX251" s="615"/>
    </row>
    <row r="252" spans="1:76" x14ac:dyDescent="0.25">
      <c r="A252" s="586"/>
      <c r="B252" s="590"/>
      <c r="C252" s="591"/>
      <c r="D252" s="605"/>
      <c r="E252" s="517"/>
      <c r="F252" s="518"/>
      <c r="G252" s="523"/>
      <c r="H252" s="524"/>
      <c r="I252" s="529"/>
      <c r="J252" s="530"/>
      <c r="K252" s="513"/>
      <c r="L252" s="534"/>
      <c r="M252" s="537"/>
      <c r="N252" s="541"/>
      <c r="O252" s="542"/>
      <c r="P252" s="483"/>
      <c r="Q252" s="484"/>
      <c r="R252" s="517"/>
      <c r="S252" s="518"/>
      <c r="T252" s="487"/>
      <c r="U252" s="488"/>
      <c r="V252" s="492"/>
      <c r="W252" s="483"/>
      <c r="X252" s="495"/>
      <c r="Y252" s="484"/>
      <c r="Z252" s="498"/>
      <c r="AA252" s="502"/>
      <c r="AB252" s="503"/>
      <c r="AC252" s="508"/>
      <c r="AD252" s="509"/>
      <c r="AE252" s="509"/>
      <c r="AF252" s="511"/>
      <c r="AG252" s="511"/>
      <c r="AH252" s="511"/>
      <c r="AI252" s="511"/>
      <c r="AJ252" s="511"/>
      <c r="AK252" s="511"/>
      <c r="AL252" s="511"/>
      <c r="AM252" s="511"/>
      <c r="AN252" s="511"/>
      <c r="AO252" s="511"/>
      <c r="AP252" s="511"/>
      <c r="AQ252" s="466"/>
      <c r="AR252" s="468"/>
      <c r="AS252" s="122" t="s">
        <v>259</v>
      </c>
      <c r="AT252" s="123"/>
      <c r="AU252" s="123"/>
      <c r="AV252" s="123"/>
      <c r="AW252" s="124"/>
      <c r="AX252" s="126">
        <f t="shared" si="478"/>
        <v>0</v>
      </c>
      <c r="AY252" s="142" t="s">
        <v>259</v>
      </c>
      <c r="AZ252" s="138"/>
      <c r="BA252" s="138"/>
      <c r="BB252" s="135">
        <f t="shared" si="479"/>
        <v>0</v>
      </c>
      <c r="BC252" s="474" t="s">
        <v>260</v>
      </c>
      <c r="BD252" s="475"/>
      <c r="BE252" s="14"/>
      <c r="BF252" s="17"/>
      <c r="BG252" s="14"/>
      <c r="BH252" s="17"/>
      <c r="BI252" s="14"/>
      <c r="BJ252" s="17"/>
      <c r="BK252" s="14"/>
      <c r="BL252" s="17"/>
      <c r="BM252" s="14"/>
      <c r="BN252" s="17"/>
      <c r="BO252" s="14"/>
      <c r="BP252" s="17"/>
      <c r="BQ252" s="107">
        <f t="shared" si="391"/>
        <v>0</v>
      </c>
      <c r="BR252" s="567"/>
      <c r="BS252" s="571"/>
      <c r="BT252" s="572"/>
      <c r="BU252" s="558"/>
      <c r="BV252" s="561"/>
      <c r="BW252" s="564"/>
      <c r="BX252" s="616"/>
    </row>
    <row r="253" spans="1:76" ht="15.75" thickBot="1" x14ac:dyDescent="0.3">
      <c r="A253" s="586"/>
      <c r="B253" s="590"/>
      <c r="C253" s="591"/>
      <c r="D253" s="605"/>
      <c r="E253" s="517"/>
      <c r="F253" s="518"/>
      <c r="G253" s="523"/>
      <c r="H253" s="524"/>
      <c r="I253" s="529"/>
      <c r="J253" s="530"/>
      <c r="K253" s="513"/>
      <c r="L253" s="534"/>
      <c r="M253" s="537"/>
      <c r="N253" s="541"/>
      <c r="O253" s="542"/>
      <c r="P253" s="483"/>
      <c r="Q253" s="484"/>
      <c r="R253" s="517"/>
      <c r="S253" s="518"/>
      <c r="T253" s="487"/>
      <c r="U253" s="488"/>
      <c r="V253" s="492"/>
      <c r="W253" s="483"/>
      <c r="X253" s="495"/>
      <c r="Y253" s="484"/>
      <c r="Z253" s="498"/>
      <c r="AA253" s="502"/>
      <c r="AB253" s="503"/>
      <c r="AC253" s="471" t="s">
        <v>259</v>
      </c>
      <c r="AD253" s="472"/>
      <c r="AE253" s="473"/>
      <c r="AF253" s="100"/>
      <c r="AG253" s="100"/>
      <c r="AH253" s="100"/>
      <c r="AI253" s="100"/>
      <c r="AJ253" s="100"/>
      <c r="AK253" s="100"/>
      <c r="AL253" s="100"/>
      <c r="AM253" s="100"/>
      <c r="AN253" s="100"/>
      <c r="AO253" s="100"/>
      <c r="AP253" s="100"/>
      <c r="AQ253" s="101"/>
      <c r="AR253" s="104">
        <f t="shared" ref="AR253:AR254" si="480">SUM(AF253:AQ253)</f>
        <v>0</v>
      </c>
      <c r="AS253" s="128" t="s">
        <v>261</v>
      </c>
      <c r="AT253" s="129"/>
      <c r="AU253" s="129"/>
      <c r="AV253" s="129"/>
      <c r="AW253" s="130"/>
      <c r="AX253" s="126">
        <f t="shared" si="478"/>
        <v>0</v>
      </c>
      <c r="AY253" s="143" t="s">
        <v>261</v>
      </c>
      <c r="AZ253" s="139"/>
      <c r="BA253" s="139"/>
      <c r="BB253" s="136">
        <f t="shared" si="479"/>
        <v>0</v>
      </c>
      <c r="BC253" s="474" t="s">
        <v>262</v>
      </c>
      <c r="BD253" s="475"/>
      <c r="BE253" s="14"/>
      <c r="BF253" s="17"/>
      <c r="BG253" s="14"/>
      <c r="BH253" s="17"/>
      <c r="BI253" s="14"/>
      <c r="BJ253" s="17"/>
      <c r="BK253" s="14"/>
      <c r="BL253" s="17"/>
      <c r="BM253" s="14"/>
      <c r="BN253" s="17"/>
      <c r="BO253" s="14"/>
      <c r="BP253" s="17"/>
      <c r="BQ253" s="108">
        <f t="shared" si="391"/>
        <v>0</v>
      </c>
      <c r="BR253" s="567"/>
      <c r="BS253" s="571"/>
      <c r="BT253" s="572"/>
      <c r="BU253" s="558"/>
      <c r="BV253" s="561"/>
      <c r="BW253" s="564"/>
      <c r="BX253" s="616"/>
    </row>
    <row r="254" spans="1:76" ht="15.75" thickBot="1" x14ac:dyDescent="0.3">
      <c r="A254" s="587"/>
      <c r="B254" s="592"/>
      <c r="C254" s="593"/>
      <c r="D254" s="606"/>
      <c r="E254" s="519"/>
      <c r="F254" s="520"/>
      <c r="G254" s="525"/>
      <c r="H254" s="526"/>
      <c r="I254" s="531"/>
      <c r="J254" s="532"/>
      <c r="K254" s="514"/>
      <c r="L254" s="535"/>
      <c r="M254" s="538"/>
      <c r="N254" s="543"/>
      <c r="O254" s="544"/>
      <c r="P254" s="485"/>
      <c r="Q254" s="486"/>
      <c r="R254" s="519"/>
      <c r="S254" s="520"/>
      <c r="T254" s="489"/>
      <c r="U254" s="490"/>
      <c r="V254" s="493"/>
      <c r="W254" s="485"/>
      <c r="X254" s="496"/>
      <c r="Y254" s="486"/>
      <c r="Z254" s="499"/>
      <c r="AA254" s="504"/>
      <c r="AB254" s="505"/>
      <c r="AC254" s="476" t="s">
        <v>261</v>
      </c>
      <c r="AD254" s="477"/>
      <c r="AE254" s="478"/>
      <c r="AF254" s="102"/>
      <c r="AG254" s="102"/>
      <c r="AH254" s="102"/>
      <c r="AI254" s="102"/>
      <c r="AJ254" s="102"/>
      <c r="AK254" s="102"/>
      <c r="AL254" s="102"/>
      <c r="AM254" s="102"/>
      <c r="AN254" s="102"/>
      <c r="AO254" s="102"/>
      <c r="AP254" s="102"/>
      <c r="AQ254" s="103"/>
      <c r="AR254" s="105">
        <f t="shared" si="480"/>
        <v>0</v>
      </c>
      <c r="AS254" s="131" t="s">
        <v>161</v>
      </c>
      <c r="AT254" s="132">
        <f t="shared" ref="AT254:AX254" si="481">SUM(AT251:AT253)</f>
        <v>0</v>
      </c>
      <c r="AU254" s="132">
        <f t="shared" si="481"/>
        <v>0</v>
      </c>
      <c r="AV254" s="132">
        <f t="shared" si="481"/>
        <v>0</v>
      </c>
      <c r="AW254" s="133">
        <f t="shared" si="481"/>
        <v>0</v>
      </c>
      <c r="AX254" s="127">
        <f t="shared" si="481"/>
        <v>0</v>
      </c>
      <c r="AY254" s="144" t="s">
        <v>161</v>
      </c>
      <c r="AZ254" s="140">
        <f t="shared" ref="AZ254:BB254" si="482">SUM(AZ251:AZ253)</f>
        <v>0</v>
      </c>
      <c r="BA254" s="140">
        <f t="shared" si="482"/>
        <v>0</v>
      </c>
      <c r="BB254" s="140">
        <f t="shared" si="482"/>
        <v>0</v>
      </c>
      <c r="BC254" s="479" t="s">
        <v>263</v>
      </c>
      <c r="BD254" s="480"/>
      <c r="BE254" s="15"/>
      <c r="BF254" s="18"/>
      <c r="BG254" s="15"/>
      <c r="BH254" s="18"/>
      <c r="BI254" s="15"/>
      <c r="BJ254" s="18"/>
      <c r="BK254" s="15"/>
      <c r="BL254" s="18"/>
      <c r="BM254" s="15"/>
      <c r="BN254" s="18"/>
      <c r="BO254" s="15"/>
      <c r="BP254" s="18"/>
      <c r="BQ254" s="109">
        <f t="shared" si="391"/>
        <v>0</v>
      </c>
      <c r="BR254" s="568"/>
      <c r="BS254" s="573"/>
      <c r="BT254" s="574"/>
      <c r="BU254" s="559"/>
      <c r="BV254" s="562"/>
      <c r="BW254" s="565"/>
      <c r="BX254" s="617"/>
    </row>
    <row r="255" spans="1:76" ht="15.75" thickTop="1" x14ac:dyDescent="0.25">
      <c r="A255" s="585">
        <v>62</v>
      </c>
      <c r="B255" s="588"/>
      <c r="C255" s="589"/>
      <c r="D255" s="604"/>
      <c r="E255" s="515"/>
      <c r="F255" s="516"/>
      <c r="G255" s="521"/>
      <c r="H255" s="522"/>
      <c r="I255" s="527"/>
      <c r="J255" s="528"/>
      <c r="K255" s="512" t="e">
        <f t="shared" ref="K255" si="483">INT(YEARFRAC(I255,AA255))</f>
        <v>#VALUE!</v>
      </c>
      <c r="L255" s="533">
        <f t="shared" ref="L255" ca="1" si="484">INT(YEARFRAC(I255,TODAY()))</f>
        <v>121</v>
      </c>
      <c r="M255" s="536"/>
      <c r="N255" s="539"/>
      <c r="O255" s="540"/>
      <c r="P255" s="481"/>
      <c r="Q255" s="482"/>
      <c r="R255" s="515"/>
      <c r="S255" s="516"/>
      <c r="T255" s="487"/>
      <c r="U255" s="488"/>
      <c r="V255" s="491"/>
      <c r="W255" s="481"/>
      <c r="X255" s="494"/>
      <c r="Y255" s="482"/>
      <c r="Z255" s="497"/>
      <c r="AA255" s="500" t="s">
        <v>303</v>
      </c>
      <c r="AB255" s="501"/>
      <c r="AC255" s="506" t="s">
        <v>257</v>
      </c>
      <c r="AD255" s="507"/>
      <c r="AE255" s="507"/>
      <c r="AF255" s="510"/>
      <c r="AG255" s="510"/>
      <c r="AH255" s="510"/>
      <c r="AI255" s="510"/>
      <c r="AJ255" s="510"/>
      <c r="AK255" s="510"/>
      <c r="AL255" s="510"/>
      <c r="AM255" s="510"/>
      <c r="AN255" s="510"/>
      <c r="AO255" s="510"/>
      <c r="AP255" s="510"/>
      <c r="AQ255" s="465"/>
      <c r="AR255" s="467">
        <f t="shared" ref="AR255" si="485">SUM(AF255:AQ256)</f>
        <v>0</v>
      </c>
      <c r="AS255" s="119" t="s">
        <v>257</v>
      </c>
      <c r="AT255" s="120"/>
      <c r="AU255" s="120"/>
      <c r="AV255" s="120"/>
      <c r="AW255" s="121"/>
      <c r="AX255" s="125">
        <f t="shared" ref="AX255:AX257" si="486">SUM(AT255:AW255)</f>
        <v>0</v>
      </c>
      <c r="AY255" s="141" t="s">
        <v>257</v>
      </c>
      <c r="AZ255" s="137"/>
      <c r="BA255" s="137"/>
      <c r="BB255" s="134">
        <f t="shared" ref="BB255:BB257" si="487">AZ255-BA255</f>
        <v>0</v>
      </c>
      <c r="BC255" s="469" t="s">
        <v>258</v>
      </c>
      <c r="BD255" s="470"/>
      <c r="BE255" s="13"/>
      <c r="BF255" s="16"/>
      <c r="BG255" s="13"/>
      <c r="BH255" s="16"/>
      <c r="BI255" s="13"/>
      <c r="BJ255" s="16"/>
      <c r="BK255" s="13"/>
      <c r="BL255" s="16"/>
      <c r="BM255" s="13"/>
      <c r="BN255" s="16"/>
      <c r="BO255" s="13"/>
      <c r="BP255" s="16"/>
      <c r="BQ255" s="106">
        <f t="shared" si="391"/>
        <v>0</v>
      </c>
      <c r="BR255" s="566"/>
      <c r="BS255" s="569"/>
      <c r="BT255" s="570"/>
      <c r="BU255" s="557"/>
      <c r="BV255" s="560"/>
      <c r="BW255" s="563"/>
      <c r="BX255" s="615"/>
    </row>
    <row r="256" spans="1:76" x14ac:dyDescent="0.25">
      <c r="A256" s="586"/>
      <c r="B256" s="590"/>
      <c r="C256" s="591"/>
      <c r="D256" s="605"/>
      <c r="E256" s="517"/>
      <c r="F256" s="518"/>
      <c r="G256" s="523"/>
      <c r="H256" s="524"/>
      <c r="I256" s="529"/>
      <c r="J256" s="530"/>
      <c r="K256" s="513"/>
      <c r="L256" s="534"/>
      <c r="M256" s="537"/>
      <c r="N256" s="541"/>
      <c r="O256" s="542"/>
      <c r="P256" s="483"/>
      <c r="Q256" s="484"/>
      <c r="R256" s="517"/>
      <c r="S256" s="518"/>
      <c r="T256" s="487"/>
      <c r="U256" s="488"/>
      <c r="V256" s="492"/>
      <c r="W256" s="483"/>
      <c r="X256" s="495"/>
      <c r="Y256" s="484"/>
      <c r="Z256" s="498"/>
      <c r="AA256" s="502"/>
      <c r="AB256" s="503"/>
      <c r="AC256" s="508"/>
      <c r="AD256" s="509"/>
      <c r="AE256" s="509"/>
      <c r="AF256" s="511"/>
      <c r="AG256" s="511"/>
      <c r="AH256" s="511"/>
      <c r="AI256" s="511"/>
      <c r="AJ256" s="511"/>
      <c r="AK256" s="511"/>
      <c r="AL256" s="511"/>
      <c r="AM256" s="511"/>
      <c r="AN256" s="511"/>
      <c r="AO256" s="511"/>
      <c r="AP256" s="511"/>
      <c r="AQ256" s="466"/>
      <c r="AR256" s="468"/>
      <c r="AS256" s="122" t="s">
        <v>259</v>
      </c>
      <c r="AT256" s="123"/>
      <c r="AU256" s="123"/>
      <c r="AV256" s="123"/>
      <c r="AW256" s="124"/>
      <c r="AX256" s="126">
        <f t="shared" si="486"/>
        <v>0</v>
      </c>
      <c r="AY256" s="142" t="s">
        <v>259</v>
      </c>
      <c r="AZ256" s="138"/>
      <c r="BA256" s="138"/>
      <c r="BB256" s="135">
        <f t="shared" si="487"/>
        <v>0</v>
      </c>
      <c r="BC256" s="474" t="s">
        <v>260</v>
      </c>
      <c r="BD256" s="475"/>
      <c r="BE256" s="14"/>
      <c r="BF256" s="17"/>
      <c r="BG256" s="14"/>
      <c r="BH256" s="17"/>
      <c r="BI256" s="14"/>
      <c r="BJ256" s="17"/>
      <c r="BK256" s="14"/>
      <c r="BL256" s="17"/>
      <c r="BM256" s="14"/>
      <c r="BN256" s="17"/>
      <c r="BO256" s="14"/>
      <c r="BP256" s="17"/>
      <c r="BQ256" s="107">
        <f t="shared" si="391"/>
        <v>0</v>
      </c>
      <c r="BR256" s="567"/>
      <c r="BS256" s="571"/>
      <c r="BT256" s="572"/>
      <c r="BU256" s="558"/>
      <c r="BV256" s="561"/>
      <c r="BW256" s="564"/>
      <c r="BX256" s="616"/>
    </row>
    <row r="257" spans="1:76" ht="15.75" thickBot="1" x14ac:dyDescent="0.3">
      <c r="A257" s="586"/>
      <c r="B257" s="590"/>
      <c r="C257" s="591"/>
      <c r="D257" s="605"/>
      <c r="E257" s="517"/>
      <c r="F257" s="518"/>
      <c r="G257" s="523"/>
      <c r="H257" s="524"/>
      <c r="I257" s="529"/>
      <c r="J257" s="530"/>
      <c r="K257" s="513"/>
      <c r="L257" s="534"/>
      <c r="M257" s="537"/>
      <c r="N257" s="541"/>
      <c r="O257" s="542"/>
      <c r="P257" s="483"/>
      <c r="Q257" s="484"/>
      <c r="R257" s="517"/>
      <c r="S257" s="518"/>
      <c r="T257" s="487"/>
      <c r="U257" s="488"/>
      <c r="V257" s="492"/>
      <c r="W257" s="483"/>
      <c r="X257" s="495"/>
      <c r="Y257" s="484"/>
      <c r="Z257" s="498"/>
      <c r="AA257" s="502"/>
      <c r="AB257" s="503"/>
      <c r="AC257" s="471" t="s">
        <v>259</v>
      </c>
      <c r="AD257" s="472"/>
      <c r="AE257" s="473"/>
      <c r="AF257" s="100"/>
      <c r="AG257" s="100"/>
      <c r="AH257" s="100"/>
      <c r="AI257" s="100"/>
      <c r="AJ257" s="100"/>
      <c r="AK257" s="100"/>
      <c r="AL257" s="100"/>
      <c r="AM257" s="100"/>
      <c r="AN257" s="100"/>
      <c r="AO257" s="100"/>
      <c r="AP257" s="100"/>
      <c r="AQ257" s="101"/>
      <c r="AR257" s="104">
        <f t="shared" ref="AR257:AR258" si="488">SUM(AF257:AQ257)</f>
        <v>0</v>
      </c>
      <c r="AS257" s="128" t="s">
        <v>261</v>
      </c>
      <c r="AT257" s="129"/>
      <c r="AU257" s="129"/>
      <c r="AV257" s="129"/>
      <c r="AW257" s="130"/>
      <c r="AX257" s="126">
        <f t="shared" si="486"/>
        <v>0</v>
      </c>
      <c r="AY257" s="143" t="s">
        <v>261</v>
      </c>
      <c r="AZ257" s="139"/>
      <c r="BA257" s="139"/>
      <c r="BB257" s="136">
        <f t="shared" si="487"/>
        <v>0</v>
      </c>
      <c r="BC257" s="474" t="s">
        <v>262</v>
      </c>
      <c r="BD257" s="475"/>
      <c r="BE257" s="14"/>
      <c r="BF257" s="17"/>
      <c r="BG257" s="14"/>
      <c r="BH257" s="17"/>
      <c r="BI257" s="14"/>
      <c r="BJ257" s="17"/>
      <c r="BK257" s="14"/>
      <c r="BL257" s="17"/>
      <c r="BM257" s="14"/>
      <c r="BN257" s="17"/>
      <c r="BO257" s="14"/>
      <c r="BP257" s="17"/>
      <c r="BQ257" s="108">
        <f t="shared" si="391"/>
        <v>0</v>
      </c>
      <c r="BR257" s="567"/>
      <c r="BS257" s="571"/>
      <c r="BT257" s="572"/>
      <c r="BU257" s="558"/>
      <c r="BV257" s="561"/>
      <c r="BW257" s="564"/>
      <c r="BX257" s="616"/>
    </row>
    <row r="258" spans="1:76" ht="15.75" thickBot="1" x14ac:dyDescent="0.3">
      <c r="A258" s="587"/>
      <c r="B258" s="592"/>
      <c r="C258" s="593"/>
      <c r="D258" s="606"/>
      <c r="E258" s="519"/>
      <c r="F258" s="520"/>
      <c r="G258" s="525"/>
      <c r="H258" s="526"/>
      <c r="I258" s="531"/>
      <c r="J258" s="532"/>
      <c r="K258" s="514"/>
      <c r="L258" s="535"/>
      <c r="M258" s="538"/>
      <c r="N258" s="543"/>
      <c r="O258" s="544"/>
      <c r="P258" s="485"/>
      <c r="Q258" s="486"/>
      <c r="R258" s="519"/>
      <c r="S258" s="520"/>
      <c r="T258" s="489"/>
      <c r="U258" s="490"/>
      <c r="V258" s="493"/>
      <c r="W258" s="485"/>
      <c r="X258" s="496"/>
      <c r="Y258" s="486"/>
      <c r="Z258" s="499"/>
      <c r="AA258" s="504"/>
      <c r="AB258" s="505"/>
      <c r="AC258" s="476" t="s">
        <v>261</v>
      </c>
      <c r="AD258" s="477"/>
      <c r="AE258" s="478"/>
      <c r="AF258" s="102"/>
      <c r="AG258" s="102"/>
      <c r="AH258" s="102"/>
      <c r="AI258" s="102"/>
      <c r="AJ258" s="102"/>
      <c r="AK258" s="102"/>
      <c r="AL258" s="102"/>
      <c r="AM258" s="102"/>
      <c r="AN258" s="102"/>
      <c r="AO258" s="102"/>
      <c r="AP258" s="102"/>
      <c r="AQ258" s="103"/>
      <c r="AR258" s="105">
        <f t="shared" si="488"/>
        <v>0</v>
      </c>
      <c r="AS258" s="131" t="s">
        <v>161</v>
      </c>
      <c r="AT258" s="132">
        <f t="shared" ref="AT258:AX258" si="489">SUM(AT255:AT257)</f>
        <v>0</v>
      </c>
      <c r="AU258" s="132">
        <f t="shared" si="489"/>
        <v>0</v>
      </c>
      <c r="AV258" s="132">
        <f t="shared" si="489"/>
        <v>0</v>
      </c>
      <c r="AW258" s="133">
        <f t="shared" si="489"/>
        <v>0</v>
      </c>
      <c r="AX258" s="127">
        <f t="shared" si="489"/>
        <v>0</v>
      </c>
      <c r="AY258" s="144" t="s">
        <v>161</v>
      </c>
      <c r="AZ258" s="140">
        <f t="shared" ref="AZ258:BB258" si="490">SUM(AZ255:AZ257)</f>
        <v>0</v>
      </c>
      <c r="BA258" s="140">
        <f t="shared" si="490"/>
        <v>0</v>
      </c>
      <c r="BB258" s="140">
        <f t="shared" si="490"/>
        <v>0</v>
      </c>
      <c r="BC258" s="479" t="s">
        <v>263</v>
      </c>
      <c r="BD258" s="480"/>
      <c r="BE258" s="15"/>
      <c r="BF258" s="18"/>
      <c r="BG258" s="15"/>
      <c r="BH258" s="18"/>
      <c r="BI258" s="15"/>
      <c r="BJ258" s="18"/>
      <c r="BK258" s="15"/>
      <c r="BL258" s="18"/>
      <c r="BM258" s="15"/>
      <c r="BN258" s="18"/>
      <c r="BO258" s="15"/>
      <c r="BP258" s="18"/>
      <c r="BQ258" s="109">
        <f t="shared" si="391"/>
        <v>0</v>
      </c>
      <c r="BR258" s="568"/>
      <c r="BS258" s="573"/>
      <c r="BT258" s="574"/>
      <c r="BU258" s="559"/>
      <c r="BV258" s="562"/>
      <c r="BW258" s="565"/>
      <c r="BX258" s="617"/>
    </row>
    <row r="259" spans="1:76" ht="15.75" thickTop="1" x14ac:dyDescent="0.25">
      <c r="A259" s="585">
        <v>63</v>
      </c>
      <c r="B259" s="588"/>
      <c r="C259" s="589"/>
      <c r="D259" s="604"/>
      <c r="E259" s="515"/>
      <c r="F259" s="516"/>
      <c r="G259" s="521"/>
      <c r="H259" s="522"/>
      <c r="I259" s="527"/>
      <c r="J259" s="528"/>
      <c r="K259" s="512" t="e">
        <f t="shared" ref="K259" si="491">INT(YEARFRAC(I259,AA259))</f>
        <v>#VALUE!</v>
      </c>
      <c r="L259" s="533">
        <f t="shared" ref="L259" ca="1" si="492">INT(YEARFRAC(I259,TODAY()))</f>
        <v>121</v>
      </c>
      <c r="M259" s="536"/>
      <c r="N259" s="539"/>
      <c r="O259" s="540"/>
      <c r="P259" s="481"/>
      <c r="Q259" s="482"/>
      <c r="R259" s="515"/>
      <c r="S259" s="516"/>
      <c r="T259" s="487"/>
      <c r="U259" s="488"/>
      <c r="V259" s="491"/>
      <c r="W259" s="481"/>
      <c r="X259" s="494"/>
      <c r="Y259" s="482"/>
      <c r="Z259" s="497"/>
      <c r="AA259" s="500" t="s">
        <v>304</v>
      </c>
      <c r="AB259" s="501"/>
      <c r="AC259" s="506" t="s">
        <v>257</v>
      </c>
      <c r="AD259" s="507"/>
      <c r="AE259" s="507"/>
      <c r="AF259" s="510"/>
      <c r="AG259" s="510"/>
      <c r="AH259" s="510"/>
      <c r="AI259" s="510"/>
      <c r="AJ259" s="510"/>
      <c r="AK259" s="510"/>
      <c r="AL259" s="510"/>
      <c r="AM259" s="510"/>
      <c r="AN259" s="510"/>
      <c r="AO259" s="510"/>
      <c r="AP259" s="510"/>
      <c r="AQ259" s="465"/>
      <c r="AR259" s="467">
        <f t="shared" ref="AR259" si="493">SUM(AF259:AQ260)</f>
        <v>0</v>
      </c>
      <c r="AS259" s="119" t="s">
        <v>257</v>
      </c>
      <c r="AT259" s="120"/>
      <c r="AU259" s="120"/>
      <c r="AV259" s="120"/>
      <c r="AW259" s="121"/>
      <c r="AX259" s="125">
        <f t="shared" ref="AX259:AX261" si="494">SUM(AT259:AW259)</f>
        <v>0</v>
      </c>
      <c r="AY259" s="141" t="s">
        <v>257</v>
      </c>
      <c r="AZ259" s="137"/>
      <c r="BA259" s="137"/>
      <c r="BB259" s="134">
        <f t="shared" ref="BB259:BB261" si="495">AZ259-BA259</f>
        <v>0</v>
      </c>
      <c r="BC259" s="469" t="s">
        <v>258</v>
      </c>
      <c r="BD259" s="470"/>
      <c r="BE259" s="13"/>
      <c r="BF259" s="16"/>
      <c r="BG259" s="13"/>
      <c r="BH259" s="16"/>
      <c r="BI259" s="13"/>
      <c r="BJ259" s="16"/>
      <c r="BK259" s="13"/>
      <c r="BL259" s="16"/>
      <c r="BM259" s="13"/>
      <c r="BN259" s="16"/>
      <c r="BO259" s="13"/>
      <c r="BP259" s="16"/>
      <c r="BQ259" s="106">
        <f t="shared" si="391"/>
        <v>0</v>
      </c>
      <c r="BR259" s="566"/>
      <c r="BS259" s="569"/>
      <c r="BT259" s="570"/>
      <c r="BU259" s="557"/>
      <c r="BV259" s="560"/>
      <c r="BW259" s="563"/>
      <c r="BX259" s="615"/>
    </row>
    <row r="260" spans="1:76" x14ac:dyDescent="0.25">
      <c r="A260" s="586"/>
      <c r="B260" s="590"/>
      <c r="C260" s="591"/>
      <c r="D260" s="605"/>
      <c r="E260" s="517"/>
      <c r="F260" s="518"/>
      <c r="G260" s="523"/>
      <c r="H260" s="524"/>
      <c r="I260" s="529"/>
      <c r="J260" s="530"/>
      <c r="K260" s="513"/>
      <c r="L260" s="534"/>
      <c r="M260" s="537"/>
      <c r="N260" s="541"/>
      <c r="O260" s="542"/>
      <c r="P260" s="483"/>
      <c r="Q260" s="484"/>
      <c r="R260" s="517"/>
      <c r="S260" s="518"/>
      <c r="T260" s="487"/>
      <c r="U260" s="488"/>
      <c r="V260" s="492"/>
      <c r="W260" s="483"/>
      <c r="X260" s="495"/>
      <c r="Y260" s="484"/>
      <c r="Z260" s="498"/>
      <c r="AA260" s="502"/>
      <c r="AB260" s="503"/>
      <c r="AC260" s="508"/>
      <c r="AD260" s="509"/>
      <c r="AE260" s="509"/>
      <c r="AF260" s="511"/>
      <c r="AG260" s="511"/>
      <c r="AH260" s="511"/>
      <c r="AI260" s="511"/>
      <c r="AJ260" s="511"/>
      <c r="AK260" s="511"/>
      <c r="AL260" s="511"/>
      <c r="AM260" s="511"/>
      <c r="AN260" s="511"/>
      <c r="AO260" s="511"/>
      <c r="AP260" s="511"/>
      <c r="AQ260" s="466"/>
      <c r="AR260" s="468"/>
      <c r="AS260" s="122" t="s">
        <v>259</v>
      </c>
      <c r="AT260" s="123"/>
      <c r="AU260" s="123"/>
      <c r="AV260" s="123"/>
      <c r="AW260" s="124"/>
      <c r="AX260" s="126">
        <f t="shared" si="494"/>
        <v>0</v>
      </c>
      <c r="AY260" s="142" t="s">
        <v>259</v>
      </c>
      <c r="AZ260" s="138"/>
      <c r="BA260" s="138"/>
      <c r="BB260" s="135">
        <f t="shared" si="495"/>
        <v>0</v>
      </c>
      <c r="BC260" s="474" t="s">
        <v>260</v>
      </c>
      <c r="BD260" s="475"/>
      <c r="BE260" s="14"/>
      <c r="BF260" s="17"/>
      <c r="BG260" s="14"/>
      <c r="BH260" s="17"/>
      <c r="BI260" s="14"/>
      <c r="BJ260" s="17"/>
      <c r="BK260" s="14"/>
      <c r="BL260" s="17"/>
      <c r="BM260" s="14"/>
      <c r="BN260" s="17"/>
      <c r="BO260" s="14"/>
      <c r="BP260" s="17"/>
      <c r="BQ260" s="107">
        <f t="shared" si="391"/>
        <v>0</v>
      </c>
      <c r="BR260" s="567"/>
      <c r="BS260" s="571"/>
      <c r="BT260" s="572"/>
      <c r="BU260" s="558"/>
      <c r="BV260" s="561"/>
      <c r="BW260" s="564"/>
      <c r="BX260" s="616"/>
    </row>
    <row r="261" spans="1:76" ht="15.75" thickBot="1" x14ac:dyDescent="0.3">
      <c r="A261" s="586"/>
      <c r="B261" s="590"/>
      <c r="C261" s="591"/>
      <c r="D261" s="605"/>
      <c r="E261" s="517"/>
      <c r="F261" s="518"/>
      <c r="G261" s="523"/>
      <c r="H261" s="524"/>
      <c r="I261" s="529"/>
      <c r="J261" s="530"/>
      <c r="K261" s="513"/>
      <c r="L261" s="534"/>
      <c r="M261" s="537"/>
      <c r="N261" s="541"/>
      <c r="O261" s="542"/>
      <c r="P261" s="483"/>
      <c r="Q261" s="484"/>
      <c r="R261" s="517"/>
      <c r="S261" s="518"/>
      <c r="T261" s="487"/>
      <c r="U261" s="488"/>
      <c r="V261" s="492"/>
      <c r="W261" s="483"/>
      <c r="X261" s="495"/>
      <c r="Y261" s="484"/>
      <c r="Z261" s="498"/>
      <c r="AA261" s="502"/>
      <c r="AB261" s="503"/>
      <c r="AC261" s="471" t="s">
        <v>259</v>
      </c>
      <c r="AD261" s="472"/>
      <c r="AE261" s="473"/>
      <c r="AF261" s="100"/>
      <c r="AG261" s="100"/>
      <c r="AH261" s="100"/>
      <c r="AI261" s="100"/>
      <c r="AJ261" s="100"/>
      <c r="AK261" s="100"/>
      <c r="AL261" s="100"/>
      <c r="AM261" s="100"/>
      <c r="AN261" s="100"/>
      <c r="AO261" s="100"/>
      <c r="AP261" s="100"/>
      <c r="AQ261" s="101"/>
      <c r="AR261" s="104">
        <f t="shared" ref="AR261:AR262" si="496">SUM(AF261:AQ261)</f>
        <v>0</v>
      </c>
      <c r="AS261" s="128" t="s">
        <v>261</v>
      </c>
      <c r="AT261" s="129"/>
      <c r="AU261" s="129"/>
      <c r="AV261" s="129"/>
      <c r="AW261" s="130"/>
      <c r="AX261" s="126">
        <f t="shared" si="494"/>
        <v>0</v>
      </c>
      <c r="AY261" s="143" t="s">
        <v>261</v>
      </c>
      <c r="AZ261" s="139"/>
      <c r="BA261" s="139"/>
      <c r="BB261" s="136">
        <f t="shared" si="495"/>
        <v>0</v>
      </c>
      <c r="BC261" s="474" t="s">
        <v>262</v>
      </c>
      <c r="BD261" s="475"/>
      <c r="BE261" s="14"/>
      <c r="BF261" s="17"/>
      <c r="BG261" s="14"/>
      <c r="BH261" s="17"/>
      <c r="BI261" s="14"/>
      <c r="BJ261" s="17"/>
      <c r="BK261" s="14"/>
      <c r="BL261" s="17"/>
      <c r="BM261" s="14"/>
      <c r="BN261" s="17"/>
      <c r="BO261" s="14"/>
      <c r="BP261" s="17"/>
      <c r="BQ261" s="108">
        <f t="shared" si="391"/>
        <v>0</v>
      </c>
      <c r="BR261" s="567"/>
      <c r="BS261" s="571"/>
      <c r="BT261" s="572"/>
      <c r="BU261" s="558"/>
      <c r="BV261" s="561"/>
      <c r="BW261" s="564"/>
      <c r="BX261" s="616"/>
    </row>
    <row r="262" spans="1:76" ht="15.75" thickBot="1" x14ac:dyDescent="0.3">
      <c r="A262" s="587"/>
      <c r="B262" s="592"/>
      <c r="C262" s="593"/>
      <c r="D262" s="606"/>
      <c r="E262" s="519"/>
      <c r="F262" s="520"/>
      <c r="G262" s="525"/>
      <c r="H262" s="526"/>
      <c r="I262" s="531"/>
      <c r="J262" s="532"/>
      <c r="K262" s="514"/>
      <c r="L262" s="535"/>
      <c r="M262" s="538"/>
      <c r="N262" s="543"/>
      <c r="O262" s="544"/>
      <c r="P262" s="485"/>
      <c r="Q262" s="486"/>
      <c r="R262" s="519"/>
      <c r="S262" s="520"/>
      <c r="T262" s="489"/>
      <c r="U262" s="490"/>
      <c r="V262" s="493"/>
      <c r="W262" s="485"/>
      <c r="X262" s="496"/>
      <c r="Y262" s="486"/>
      <c r="Z262" s="499"/>
      <c r="AA262" s="504"/>
      <c r="AB262" s="505"/>
      <c r="AC262" s="476" t="s">
        <v>261</v>
      </c>
      <c r="AD262" s="477"/>
      <c r="AE262" s="478"/>
      <c r="AF262" s="102"/>
      <c r="AG262" s="102"/>
      <c r="AH262" s="102"/>
      <c r="AI262" s="102"/>
      <c r="AJ262" s="102"/>
      <c r="AK262" s="102"/>
      <c r="AL262" s="102"/>
      <c r="AM262" s="102"/>
      <c r="AN262" s="102"/>
      <c r="AO262" s="102"/>
      <c r="AP262" s="102"/>
      <c r="AQ262" s="103"/>
      <c r="AR262" s="105">
        <f t="shared" si="496"/>
        <v>0</v>
      </c>
      <c r="AS262" s="131" t="s">
        <v>161</v>
      </c>
      <c r="AT262" s="132">
        <f t="shared" ref="AT262:AX262" si="497">SUM(AT259:AT261)</f>
        <v>0</v>
      </c>
      <c r="AU262" s="132">
        <f t="shared" si="497"/>
        <v>0</v>
      </c>
      <c r="AV262" s="132">
        <f t="shared" si="497"/>
        <v>0</v>
      </c>
      <c r="AW262" s="133">
        <f t="shared" si="497"/>
        <v>0</v>
      </c>
      <c r="AX262" s="127">
        <f t="shared" si="497"/>
        <v>0</v>
      </c>
      <c r="AY262" s="144" t="s">
        <v>161</v>
      </c>
      <c r="AZ262" s="140">
        <f t="shared" ref="AZ262:BB262" si="498">SUM(AZ259:AZ261)</f>
        <v>0</v>
      </c>
      <c r="BA262" s="140">
        <f t="shared" si="498"/>
        <v>0</v>
      </c>
      <c r="BB262" s="140">
        <f t="shared" si="498"/>
        <v>0</v>
      </c>
      <c r="BC262" s="479" t="s">
        <v>263</v>
      </c>
      <c r="BD262" s="480"/>
      <c r="BE262" s="15"/>
      <c r="BF262" s="18"/>
      <c r="BG262" s="15"/>
      <c r="BH262" s="18"/>
      <c r="BI262" s="15"/>
      <c r="BJ262" s="18"/>
      <c r="BK262" s="15"/>
      <c r="BL262" s="18"/>
      <c r="BM262" s="15"/>
      <c r="BN262" s="18"/>
      <c r="BO262" s="15"/>
      <c r="BP262" s="18"/>
      <c r="BQ262" s="109">
        <f t="shared" si="391"/>
        <v>0</v>
      </c>
      <c r="BR262" s="568"/>
      <c r="BS262" s="573"/>
      <c r="BT262" s="574"/>
      <c r="BU262" s="559"/>
      <c r="BV262" s="562"/>
      <c r="BW262" s="565"/>
      <c r="BX262" s="617"/>
    </row>
    <row r="263" spans="1:76" ht="15.75" thickTop="1" x14ac:dyDescent="0.25">
      <c r="A263" s="585">
        <v>64</v>
      </c>
      <c r="B263" s="588"/>
      <c r="C263" s="589"/>
      <c r="D263" s="604"/>
      <c r="E263" s="515"/>
      <c r="F263" s="516"/>
      <c r="G263" s="521"/>
      <c r="H263" s="522"/>
      <c r="I263" s="527"/>
      <c r="J263" s="528"/>
      <c r="K263" s="512" t="e">
        <f t="shared" ref="K263" si="499">INT(YEARFRAC(I263,AA263))</f>
        <v>#VALUE!</v>
      </c>
      <c r="L263" s="533">
        <f t="shared" ref="L263" ca="1" si="500">INT(YEARFRAC(I263,TODAY()))</f>
        <v>121</v>
      </c>
      <c r="M263" s="536"/>
      <c r="N263" s="539"/>
      <c r="O263" s="540"/>
      <c r="P263" s="481"/>
      <c r="Q263" s="482"/>
      <c r="R263" s="515"/>
      <c r="S263" s="516"/>
      <c r="T263" s="487"/>
      <c r="U263" s="488"/>
      <c r="V263" s="491"/>
      <c r="W263" s="481"/>
      <c r="X263" s="494"/>
      <c r="Y263" s="482"/>
      <c r="Z263" s="497"/>
      <c r="AA263" s="500" t="s">
        <v>305</v>
      </c>
      <c r="AB263" s="501"/>
      <c r="AC263" s="506" t="s">
        <v>257</v>
      </c>
      <c r="AD263" s="507"/>
      <c r="AE263" s="507"/>
      <c r="AF263" s="510"/>
      <c r="AG263" s="510"/>
      <c r="AH263" s="510"/>
      <c r="AI263" s="510"/>
      <c r="AJ263" s="510"/>
      <c r="AK263" s="510"/>
      <c r="AL263" s="510"/>
      <c r="AM263" s="510"/>
      <c r="AN263" s="510"/>
      <c r="AO263" s="510"/>
      <c r="AP263" s="510"/>
      <c r="AQ263" s="465"/>
      <c r="AR263" s="467">
        <f t="shared" ref="AR263" si="501">SUM(AF263:AQ264)</f>
        <v>0</v>
      </c>
      <c r="AS263" s="119" t="s">
        <v>257</v>
      </c>
      <c r="AT263" s="120"/>
      <c r="AU263" s="120"/>
      <c r="AV263" s="120"/>
      <c r="AW263" s="121"/>
      <c r="AX263" s="125">
        <f t="shared" ref="AX263:AX265" si="502">SUM(AT263:AW263)</f>
        <v>0</v>
      </c>
      <c r="AY263" s="141" t="s">
        <v>257</v>
      </c>
      <c r="AZ263" s="137"/>
      <c r="BA263" s="137"/>
      <c r="BB263" s="134">
        <f t="shared" ref="BB263:BB265" si="503">AZ263-BA263</f>
        <v>0</v>
      </c>
      <c r="BC263" s="469" t="s">
        <v>258</v>
      </c>
      <c r="BD263" s="470"/>
      <c r="BE263" s="13"/>
      <c r="BF263" s="16"/>
      <c r="BG263" s="13"/>
      <c r="BH263" s="16"/>
      <c r="BI263" s="13"/>
      <c r="BJ263" s="16"/>
      <c r="BK263" s="13"/>
      <c r="BL263" s="16"/>
      <c r="BM263" s="13"/>
      <c r="BN263" s="16"/>
      <c r="BO263" s="13"/>
      <c r="BP263" s="16"/>
      <c r="BQ263" s="106">
        <f t="shared" si="391"/>
        <v>0</v>
      </c>
      <c r="BR263" s="566"/>
      <c r="BS263" s="569"/>
      <c r="BT263" s="570"/>
      <c r="BU263" s="557"/>
      <c r="BV263" s="560"/>
      <c r="BW263" s="563"/>
      <c r="BX263" s="615"/>
    </row>
    <row r="264" spans="1:76" x14ac:dyDescent="0.25">
      <c r="A264" s="586"/>
      <c r="B264" s="590"/>
      <c r="C264" s="591"/>
      <c r="D264" s="605"/>
      <c r="E264" s="517"/>
      <c r="F264" s="518"/>
      <c r="G264" s="523"/>
      <c r="H264" s="524"/>
      <c r="I264" s="529"/>
      <c r="J264" s="530"/>
      <c r="K264" s="513"/>
      <c r="L264" s="534"/>
      <c r="M264" s="537"/>
      <c r="N264" s="541"/>
      <c r="O264" s="542"/>
      <c r="P264" s="483"/>
      <c r="Q264" s="484"/>
      <c r="R264" s="517"/>
      <c r="S264" s="518"/>
      <c r="T264" s="487"/>
      <c r="U264" s="488"/>
      <c r="V264" s="492"/>
      <c r="W264" s="483"/>
      <c r="X264" s="495"/>
      <c r="Y264" s="484"/>
      <c r="Z264" s="498"/>
      <c r="AA264" s="502"/>
      <c r="AB264" s="503"/>
      <c r="AC264" s="508"/>
      <c r="AD264" s="509"/>
      <c r="AE264" s="509"/>
      <c r="AF264" s="511"/>
      <c r="AG264" s="511"/>
      <c r="AH264" s="511"/>
      <c r="AI264" s="511"/>
      <c r="AJ264" s="511"/>
      <c r="AK264" s="511"/>
      <c r="AL264" s="511"/>
      <c r="AM264" s="511"/>
      <c r="AN264" s="511"/>
      <c r="AO264" s="511"/>
      <c r="AP264" s="511"/>
      <c r="AQ264" s="466"/>
      <c r="AR264" s="468"/>
      <c r="AS264" s="122" t="s">
        <v>259</v>
      </c>
      <c r="AT264" s="123"/>
      <c r="AU264" s="123"/>
      <c r="AV264" s="123"/>
      <c r="AW264" s="124"/>
      <c r="AX264" s="126">
        <f t="shared" si="502"/>
        <v>0</v>
      </c>
      <c r="AY264" s="142" t="s">
        <v>259</v>
      </c>
      <c r="AZ264" s="138"/>
      <c r="BA264" s="138"/>
      <c r="BB264" s="135">
        <f t="shared" si="503"/>
        <v>0</v>
      </c>
      <c r="BC264" s="474" t="s">
        <v>260</v>
      </c>
      <c r="BD264" s="475"/>
      <c r="BE264" s="14"/>
      <c r="BF264" s="17"/>
      <c r="BG264" s="14"/>
      <c r="BH264" s="17"/>
      <c r="BI264" s="14"/>
      <c r="BJ264" s="17"/>
      <c r="BK264" s="14"/>
      <c r="BL264" s="17"/>
      <c r="BM264" s="14"/>
      <c r="BN264" s="17"/>
      <c r="BO264" s="14"/>
      <c r="BP264" s="17"/>
      <c r="BQ264" s="107">
        <f t="shared" si="391"/>
        <v>0</v>
      </c>
      <c r="BR264" s="567"/>
      <c r="BS264" s="571"/>
      <c r="BT264" s="572"/>
      <c r="BU264" s="558"/>
      <c r="BV264" s="561"/>
      <c r="BW264" s="564"/>
      <c r="BX264" s="616"/>
    </row>
    <row r="265" spans="1:76" ht="15.75" thickBot="1" x14ac:dyDescent="0.3">
      <c r="A265" s="586"/>
      <c r="B265" s="590"/>
      <c r="C265" s="591"/>
      <c r="D265" s="605"/>
      <c r="E265" s="517"/>
      <c r="F265" s="518"/>
      <c r="G265" s="523"/>
      <c r="H265" s="524"/>
      <c r="I265" s="529"/>
      <c r="J265" s="530"/>
      <c r="K265" s="513"/>
      <c r="L265" s="534"/>
      <c r="M265" s="537"/>
      <c r="N265" s="541"/>
      <c r="O265" s="542"/>
      <c r="P265" s="483"/>
      <c r="Q265" s="484"/>
      <c r="R265" s="517"/>
      <c r="S265" s="518"/>
      <c r="T265" s="487"/>
      <c r="U265" s="488"/>
      <c r="V265" s="492"/>
      <c r="W265" s="483"/>
      <c r="X265" s="495"/>
      <c r="Y265" s="484"/>
      <c r="Z265" s="498"/>
      <c r="AA265" s="502"/>
      <c r="AB265" s="503"/>
      <c r="AC265" s="471" t="s">
        <v>259</v>
      </c>
      <c r="AD265" s="472"/>
      <c r="AE265" s="473"/>
      <c r="AF265" s="100"/>
      <c r="AG265" s="100"/>
      <c r="AH265" s="100"/>
      <c r="AI265" s="100"/>
      <c r="AJ265" s="100"/>
      <c r="AK265" s="100"/>
      <c r="AL265" s="100"/>
      <c r="AM265" s="100"/>
      <c r="AN265" s="100"/>
      <c r="AO265" s="100"/>
      <c r="AP265" s="100"/>
      <c r="AQ265" s="101"/>
      <c r="AR265" s="104">
        <f t="shared" ref="AR265:AR266" si="504">SUM(AF265:AQ265)</f>
        <v>0</v>
      </c>
      <c r="AS265" s="128" t="s">
        <v>261</v>
      </c>
      <c r="AT265" s="129"/>
      <c r="AU265" s="129"/>
      <c r="AV265" s="129"/>
      <c r="AW265" s="130"/>
      <c r="AX265" s="126">
        <f t="shared" si="502"/>
        <v>0</v>
      </c>
      <c r="AY265" s="143" t="s">
        <v>261</v>
      </c>
      <c r="AZ265" s="139"/>
      <c r="BA265" s="139"/>
      <c r="BB265" s="136">
        <f t="shared" si="503"/>
        <v>0</v>
      </c>
      <c r="BC265" s="474" t="s">
        <v>262</v>
      </c>
      <c r="BD265" s="475"/>
      <c r="BE265" s="14"/>
      <c r="BF265" s="17"/>
      <c r="BG265" s="14"/>
      <c r="BH265" s="17"/>
      <c r="BI265" s="14"/>
      <c r="BJ265" s="17"/>
      <c r="BK265" s="14"/>
      <c r="BL265" s="17"/>
      <c r="BM265" s="14"/>
      <c r="BN265" s="17"/>
      <c r="BO265" s="14"/>
      <c r="BP265" s="17"/>
      <c r="BQ265" s="108">
        <f t="shared" si="391"/>
        <v>0</v>
      </c>
      <c r="BR265" s="567"/>
      <c r="BS265" s="571"/>
      <c r="BT265" s="572"/>
      <c r="BU265" s="558"/>
      <c r="BV265" s="561"/>
      <c r="BW265" s="564"/>
      <c r="BX265" s="616"/>
    </row>
    <row r="266" spans="1:76" ht="15.75" thickBot="1" x14ac:dyDescent="0.3">
      <c r="A266" s="587"/>
      <c r="B266" s="592"/>
      <c r="C266" s="593"/>
      <c r="D266" s="606"/>
      <c r="E266" s="519"/>
      <c r="F266" s="520"/>
      <c r="G266" s="525"/>
      <c r="H266" s="526"/>
      <c r="I266" s="531"/>
      <c r="J266" s="532"/>
      <c r="K266" s="514"/>
      <c r="L266" s="535"/>
      <c r="M266" s="538"/>
      <c r="N266" s="543"/>
      <c r="O266" s="544"/>
      <c r="P266" s="485"/>
      <c r="Q266" s="486"/>
      <c r="R266" s="519"/>
      <c r="S266" s="520"/>
      <c r="T266" s="489"/>
      <c r="U266" s="490"/>
      <c r="V266" s="493"/>
      <c r="W266" s="485"/>
      <c r="X266" s="496"/>
      <c r="Y266" s="486"/>
      <c r="Z266" s="499"/>
      <c r="AA266" s="504"/>
      <c r="AB266" s="505"/>
      <c r="AC266" s="476" t="s">
        <v>261</v>
      </c>
      <c r="AD266" s="477"/>
      <c r="AE266" s="478"/>
      <c r="AF266" s="102"/>
      <c r="AG266" s="102"/>
      <c r="AH266" s="102"/>
      <c r="AI266" s="102"/>
      <c r="AJ266" s="102"/>
      <c r="AK266" s="102"/>
      <c r="AL266" s="102"/>
      <c r="AM266" s="102"/>
      <c r="AN266" s="102"/>
      <c r="AO266" s="102"/>
      <c r="AP266" s="102"/>
      <c r="AQ266" s="103"/>
      <c r="AR266" s="105">
        <f t="shared" si="504"/>
        <v>0</v>
      </c>
      <c r="AS266" s="131" t="s">
        <v>161</v>
      </c>
      <c r="AT266" s="132">
        <f t="shared" ref="AT266:AX266" si="505">SUM(AT263:AT265)</f>
        <v>0</v>
      </c>
      <c r="AU266" s="132">
        <f t="shared" si="505"/>
        <v>0</v>
      </c>
      <c r="AV266" s="132">
        <f t="shared" si="505"/>
        <v>0</v>
      </c>
      <c r="AW266" s="133">
        <f t="shared" si="505"/>
        <v>0</v>
      </c>
      <c r="AX266" s="127">
        <f t="shared" si="505"/>
        <v>0</v>
      </c>
      <c r="AY266" s="144" t="s">
        <v>161</v>
      </c>
      <c r="AZ266" s="140">
        <f t="shared" ref="AZ266:BB266" si="506">SUM(AZ263:AZ265)</f>
        <v>0</v>
      </c>
      <c r="BA266" s="140">
        <f t="shared" si="506"/>
        <v>0</v>
      </c>
      <c r="BB266" s="140">
        <f t="shared" si="506"/>
        <v>0</v>
      </c>
      <c r="BC266" s="479" t="s">
        <v>263</v>
      </c>
      <c r="BD266" s="480"/>
      <c r="BE266" s="15"/>
      <c r="BF266" s="18"/>
      <c r="BG266" s="15"/>
      <c r="BH266" s="18"/>
      <c r="BI266" s="15"/>
      <c r="BJ266" s="18"/>
      <c r="BK266" s="15"/>
      <c r="BL266" s="18"/>
      <c r="BM266" s="15"/>
      <c r="BN266" s="18"/>
      <c r="BO266" s="15"/>
      <c r="BP266" s="18"/>
      <c r="BQ266" s="109">
        <f t="shared" si="391"/>
        <v>0</v>
      </c>
      <c r="BR266" s="568"/>
      <c r="BS266" s="573"/>
      <c r="BT266" s="574"/>
      <c r="BU266" s="559"/>
      <c r="BV266" s="562"/>
      <c r="BW266" s="565"/>
      <c r="BX266" s="617"/>
    </row>
    <row r="267" spans="1:76" ht="15.75" thickTop="1" x14ac:dyDescent="0.25">
      <c r="A267" s="585">
        <v>65</v>
      </c>
      <c r="B267" s="588"/>
      <c r="C267" s="589"/>
      <c r="D267" s="604"/>
      <c r="E267" s="515"/>
      <c r="F267" s="516"/>
      <c r="G267" s="521"/>
      <c r="H267" s="522"/>
      <c r="I267" s="527"/>
      <c r="J267" s="528"/>
      <c r="K267" s="512" t="e">
        <f t="shared" ref="K267" si="507">INT(YEARFRAC(I267,AA267))</f>
        <v>#VALUE!</v>
      </c>
      <c r="L267" s="533">
        <f t="shared" ref="L267" ca="1" si="508">INT(YEARFRAC(I267,TODAY()))</f>
        <v>121</v>
      </c>
      <c r="M267" s="536"/>
      <c r="N267" s="539"/>
      <c r="O267" s="540"/>
      <c r="P267" s="481"/>
      <c r="Q267" s="482"/>
      <c r="R267" s="515"/>
      <c r="S267" s="516"/>
      <c r="T267" s="487"/>
      <c r="U267" s="488"/>
      <c r="V267" s="491"/>
      <c r="W267" s="481"/>
      <c r="X267" s="494"/>
      <c r="Y267" s="482"/>
      <c r="Z267" s="497"/>
      <c r="AA267" s="500" t="s">
        <v>306</v>
      </c>
      <c r="AB267" s="501"/>
      <c r="AC267" s="506" t="s">
        <v>257</v>
      </c>
      <c r="AD267" s="507"/>
      <c r="AE267" s="507"/>
      <c r="AF267" s="510"/>
      <c r="AG267" s="510"/>
      <c r="AH267" s="510"/>
      <c r="AI267" s="510"/>
      <c r="AJ267" s="510"/>
      <c r="AK267" s="510"/>
      <c r="AL267" s="510"/>
      <c r="AM267" s="510"/>
      <c r="AN267" s="510"/>
      <c r="AO267" s="510"/>
      <c r="AP267" s="510"/>
      <c r="AQ267" s="465"/>
      <c r="AR267" s="467">
        <f t="shared" ref="AR267" si="509">SUM(AF267:AQ268)</f>
        <v>0</v>
      </c>
      <c r="AS267" s="119" t="s">
        <v>257</v>
      </c>
      <c r="AT267" s="120"/>
      <c r="AU267" s="120"/>
      <c r="AV267" s="120"/>
      <c r="AW267" s="121"/>
      <c r="AX267" s="125">
        <f t="shared" ref="AX267:AX269" si="510">SUM(AT267:AW267)</f>
        <v>0</v>
      </c>
      <c r="AY267" s="141" t="s">
        <v>257</v>
      </c>
      <c r="AZ267" s="137"/>
      <c r="BA267" s="137"/>
      <c r="BB267" s="134">
        <f t="shared" ref="BB267:BB269" si="511">AZ267-BA267</f>
        <v>0</v>
      </c>
      <c r="BC267" s="469" t="s">
        <v>258</v>
      </c>
      <c r="BD267" s="470"/>
      <c r="BE267" s="13"/>
      <c r="BF267" s="16"/>
      <c r="BG267" s="13"/>
      <c r="BH267" s="16"/>
      <c r="BI267" s="13"/>
      <c r="BJ267" s="16"/>
      <c r="BK267" s="13"/>
      <c r="BL267" s="16"/>
      <c r="BM267" s="13"/>
      <c r="BN267" s="16"/>
      <c r="BO267" s="13"/>
      <c r="BP267" s="16"/>
      <c r="BQ267" s="106">
        <f t="shared" si="391"/>
        <v>0</v>
      </c>
      <c r="BR267" s="566"/>
      <c r="BS267" s="569"/>
      <c r="BT267" s="570"/>
      <c r="BU267" s="557"/>
      <c r="BV267" s="560"/>
      <c r="BW267" s="563"/>
      <c r="BX267" s="615"/>
    </row>
    <row r="268" spans="1:76" x14ac:dyDescent="0.25">
      <c r="A268" s="586"/>
      <c r="B268" s="590"/>
      <c r="C268" s="591"/>
      <c r="D268" s="605"/>
      <c r="E268" s="517"/>
      <c r="F268" s="518"/>
      <c r="G268" s="523"/>
      <c r="H268" s="524"/>
      <c r="I268" s="529"/>
      <c r="J268" s="530"/>
      <c r="K268" s="513"/>
      <c r="L268" s="534"/>
      <c r="M268" s="537"/>
      <c r="N268" s="541"/>
      <c r="O268" s="542"/>
      <c r="P268" s="483"/>
      <c r="Q268" s="484"/>
      <c r="R268" s="517"/>
      <c r="S268" s="518"/>
      <c r="T268" s="487"/>
      <c r="U268" s="488"/>
      <c r="V268" s="492"/>
      <c r="W268" s="483"/>
      <c r="X268" s="495"/>
      <c r="Y268" s="484"/>
      <c r="Z268" s="498"/>
      <c r="AA268" s="502"/>
      <c r="AB268" s="503"/>
      <c r="AC268" s="508"/>
      <c r="AD268" s="509"/>
      <c r="AE268" s="509"/>
      <c r="AF268" s="511"/>
      <c r="AG268" s="511"/>
      <c r="AH268" s="511"/>
      <c r="AI268" s="511"/>
      <c r="AJ268" s="511"/>
      <c r="AK268" s="511"/>
      <c r="AL268" s="511"/>
      <c r="AM268" s="511"/>
      <c r="AN268" s="511"/>
      <c r="AO268" s="511"/>
      <c r="AP268" s="511"/>
      <c r="AQ268" s="466"/>
      <c r="AR268" s="468"/>
      <c r="AS268" s="122" t="s">
        <v>259</v>
      </c>
      <c r="AT268" s="123"/>
      <c r="AU268" s="123"/>
      <c r="AV268" s="123"/>
      <c r="AW268" s="124"/>
      <c r="AX268" s="126">
        <f t="shared" si="510"/>
        <v>0</v>
      </c>
      <c r="AY268" s="142" t="s">
        <v>259</v>
      </c>
      <c r="AZ268" s="138"/>
      <c r="BA268" s="138"/>
      <c r="BB268" s="135">
        <f t="shared" si="511"/>
        <v>0</v>
      </c>
      <c r="BC268" s="474" t="s">
        <v>260</v>
      </c>
      <c r="BD268" s="475"/>
      <c r="BE268" s="14"/>
      <c r="BF268" s="17"/>
      <c r="BG268" s="14"/>
      <c r="BH268" s="17"/>
      <c r="BI268" s="14"/>
      <c r="BJ268" s="17"/>
      <c r="BK268" s="14"/>
      <c r="BL268" s="17"/>
      <c r="BM268" s="14"/>
      <c r="BN268" s="17"/>
      <c r="BO268" s="14"/>
      <c r="BP268" s="17"/>
      <c r="BQ268" s="107">
        <f t="shared" si="391"/>
        <v>0</v>
      </c>
      <c r="BR268" s="567"/>
      <c r="BS268" s="571"/>
      <c r="BT268" s="572"/>
      <c r="BU268" s="558"/>
      <c r="BV268" s="561"/>
      <c r="BW268" s="564"/>
      <c r="BX268" s="616"/>
    </row>
    <row r="269" spans="1:76" ht="15.75" thickBot="1" x14ac:dyDescent="0.3">
      <c r="A269" s="586"/>
      <c r="B269" s="590"/>
      <c r="C269" s="591"/>
      <c r="D269" s="605"/>
      <c r="E269" s="517"/>
      <c r="F269" s="518"/>
      <c r="G269" s="523"/>
      <c r="H269" s="524"/>
      <c r="I269" s="529"/>
      <c r="J269" s="530"/>
      <c r="K269" s="513"/>
      <c r="L269" s="534"/>
      <c r="M269" s="537"/>
      <c r="N269" s="541"/>
      <c r="O269" s="542"/>
      <c r="P269" s="483"/>
      <c r="Q269" s="484"/>
      <c r="R269" s="517"/>
      <c r="S269" s="518"/>
      <c r="T269" s="487"/>
      <c r="U269" s="488"/>
      <c r="V269" s="492"/>
      <c r="W269" s="483"/>
      <c r="X269" s="495"/>
      <c r="Y269" s="484"/>
      <c r="Z269" s="498"/>
      <c r="AA269" s="502"/>
      <c r="AB269" s="503"/>
      <c r="AC269" s="471" t="s">
        <v>259</v>
      </c>
      <c r="AD269" s="472"/>
      <c r="AE269" s="473"/>
      <c r="AF269" s="100"/>
      <c r="AG269" s="100"/>
      <c r="AH269" s="100"/>
      <c r="AI269" s="100"/>
      <c r="AJ269" s="100"/>
      <c r="AK269" s="100"/>
      <c r="AL269" s="100"/>
      <c r="AM269" s="100"/>
      <c r="AN269" s="100"/>
      <c r="AO269" s="100"/>
      <c r="AP269" s="100"/>
      <c r="AQ269" s="101"/>
      <c r="AR269" s="104">
        <f t="shared" ref="AR269:AR270" si="512">SUM(AF269:AQ269)</f>
        <v>0</v>
      </c>
      <c r="AS269" s="128" t="s">
        <v>261</v>
      </c>
      <c r="AT269" s="129"/>
      <c r="AU269" s="129"/>
      <c r="AV269" s="129"/>
      <c r="AW269" s="130"/>
      <c r="AX269" s="126">
        <f t="shared" si="510"/>
        <v>0</v>
      </c>
      <c r="AY269" s="143" t="s">
        <v>261</v>
      </c>
      <c r="AZ269" s="139"/>
      <c r="BA269" s="139"/>
      <c r="BB269" s="136">
        <f t="shared" si="511"/>
        <v>0</v>
      </c>
      <c r="BC269" s="474" t="s">
        <v>262</v>
      </c>
      <c r="BD269" s="475"/>
      <c r="BE269" s="14"/>
      <c r="BF269" s="17"/>
      <c r="BG269" s="14"/>
      <c r="BH269" s="17"/>
      <c r="BI269" s="14"/>
      <c r="BJ269" s="17"/>
      <c r="BK269" s="14"/>
      <c r="BL269" s="17"/>
      <c r="BM269" s="14"/>
      <c r="BN269" s="17"/>
      <c r="BO269" s="14"/>
      <c r="BP269" s="17"/>
      <c r="BQ269" s="108">
        <f t="shared" si="391"/>
        <v>0</v>
      </c>
      <c r="BR269" s="567"/>
      <c r="BS269" s="571"/>
      <c r="BT269" s="572"/>
      <c r="BU269" s="558"/>
      <c r="BV269" s="561"/>
      <c r="BW269" s="564"/>
      <c r="BX269" s="616"/>
    </row>
    <row r="270" spans="1:76" ht="15.75" thickBot="1" x14ac:dyDescent="0.3">
      <c r="A270" s="587"/>
      <c r="B270" s="592"/>
      <c r="C270" s="593"/>
      <c r="D270" s="606"/>
      <c r="E270" s="519"/>
      <c r="F270" s="520"/>
      <c r="G270" s="525"/>
      <c r="H270" s="526"/>
      <c r="I270" s="531"/>
      <c r="J270" s="532"/>
      <c r="K270" s="514"/>
      <c r="L270" s="535"/>
      <c r="M270" s="538"/>
      <c r="N270" s="543"/>
      <c r="O270" s="544"/>
      <c r="P270" s="485"/>
      <c r="Q270" s="486"/>
      <c r="R270" s="519"/>
      <c r="S270" s="520"/>
      <c r="T270" s="489"/>
      <c r="U270" s="490"/>
      <c r="V270" s="493"/>
      <c r="W270" s="485"/>
      <c r="X270" s="496"/>
      <c r="Y270" s="486"/>
      <c r="Z270" s="499"/>
      <c r="AA270" s="504"/>
      <c r="AB270" s="505"/>
      <c r="AC270" s="476" t="s">
        <v>261</v>
      </c>
      <c r="AD270" s="477"/>
      <c r="AE270" s="478"/>
      <c r="AF270" s="102"/>
      <c r="AG270" s="102"/>
      <c r="AH270" s="102"/>
      <c r="AI270" s="102"/>
      <c r="AJ270" s="102"/>
      <c r="AK270" s="102"/>
      <c r="AL270" s="102"/>
      <c r="AM270" s="102"/>
      <c r="AN270" s="102"/>
      <c r="AO270" s="102"/>
      <c r="AP270" s="102"/>
      <c r="AQ270" s="103"/>
      <c r="AR270" s="105">
        <f t="shared" si="512"/>
        <v>0</v>
      </c>
      <c r="AS270" s="131" t="s">
        <v>161</v>
      </c>
      <c r="AT270" s="132">
        <f t="shared" ref="AT270:AX270" si="513">SUM(AT267:AT269)</f>
        <v>0</v>
      </c>
      <c r="AU270" s="132">
        <f t="shared" si="513"/>
        <v>0</v>
      </c>
      <c r="AV270" s="132">
        <f t="shared" si="513"/>
        <v>0</v>
      </c>
      <c r="AW270" s="133">
        <f t="shared" si="513"/>
        <v>0</v>
      </c>
      <c r="AX270" s="127">
        <f t="shared" si="513"/>
        <v>0</v>
      </c>
      <c r="AY270" s="144" t="s">
        <v>161</v>
      </c>
      <c r="AZ270" s="140">
        <f t="shared" ref="AZ270:BB270" si="514">SUM(AZ267:AZ269)</f>
        <v>0</v>
      </c>
      <c r="BA270" s="140">
        <f t="shared" si="514"/>
        <v>0</v>
      </c>
      <c r="BB270" s="140">
        <f t="shared" si="514"/>
        <v>0</v>
      </c>
      <c r="BC270" s="479" t="s">
        <v>263</v>
      </c>
      <c r="BD270" s="480"/>
      <c r="BE270" s="15"/>
      <c r="BF270" s="18"/>
      <c r="BG270" s="15"/>
      <c r="BH270" s="18"/>
      <c r="BI270" s="15"/>
      <c r="BJ270" s="18"/>
      <c r="BK270" s="15"/>
      <c r="BL270" s="18"/>
      <c r="BM270" s="15"/>
      <c r="BN270" s="18"/>
      <c r="BO270" s="15"/>
      <c r="BP270" s="18"/>
      <c r="BQ270" s="109">
        <f t="shared" si="391"/>
        <v>0</v>
      </c>
      <c r="BR270" s="568"/>
      <c r="BS270" s="573"/>
      <c r="BT270" s="574"/>
      <c r="BU270" s="559"/>
      <c r="BV270" s="562"/>
      <c r="BW270" s="565"/>
      <c r="BX270" s="617"/>
    </row>
    <row r="271" spans="1:76" ht="15.75" thickTop="1" x14ac:dyDescent="0.25">
      <c r="A271" s="585">
        <v>66</v>
      </c>
      <c r="B271" s="588"/>
      <c r="C271" s="589"/>
      <c r="D271" s="604"/>
      <c r="E271" s="515"/>
      <c r="F271" s="516"/>
      <c r="G271" s="521"/>
      <c r="H271" s="522"/>
      <c r="I271" s="527"/>
      <c r="J271" s="528"/>
      <c r="K271" s="512" t="e">
        <f t="shared" ref="K271" si="515">INT(YEARFRAC(I271,AA271))</f>
        <v>#VALUE!</v>
      </c>
      <c r="L271" s="533">
        <f t="shared" ref="L271" ca="1" si="516">INT(YEARFRAC(I271,TODAY()))</f>
        <v>121</v>
      </c>
      <c r="M271" s="536"/>
      <c r="N271" s="539"/>
      <c r="O271" s="540"/>
      <c r="P271" s="481"/>
      <c r="Q271" s="482"/>
      <c r="R271" s="515"/>
      <c r="S271" s="516"/>
      <c r="T271" s="487"/>
      <c r="U271" s="488"/>
      <c r="V271" s="491"/>
      <c r="W271" s="481"/>
      <c r="X271" s="494"/>
      <c r="Y271" s="482"/>
      <c r="Z271" s="497"/>
      <c r="AA271" s="500" t="s">
        <v>307</v>
      </c>
      <c r="AB271" s="501"/>
      <c r="AC271" s="506" t="s">
        <v>257</v>
      </c>
      <c r="AD271" s="507"/>
      <c r="AE271" s="507"/>
      <c r="AF271" s="510"/>
      <c r="AG271" s="510"/>
      <c r="AH271" s="510"/>
      <c r="AI271" s="510"/>
      <c r="AJ271" s="510"/>
      <c r="AK271" s="510"/>
      <c r="AL271" s="510"/>
      <c r="AM271" s="510"/>
      <c r="AN271" s="510"/>
      <c r="AO271" s="510"/>
      <c r="AP271" s="510"/>
      <c r="AQ271" s="465"/>
      <c r="AR271" s="467">
        <f t="shared" ref="AR271" si="517">SUM(AF271:AQ272)</f>
        <v>0</v>
      </c>
      <c r="AS271" s="119" t="s">
        <v>257</v>
      </c>
      <c r="AT271" s="120"/>
      <c r="AU271" s="120"/>
      <c r="AV271" s="120"/>
      <c r="AW271" s="121"/>
      <c r="AX271" s="125">
        <f t="shared" ref="AX271:AX273" si="518">SUM(AT271:AW271)</f>
        <v>0</v>
      </c>
      <c r="AY271" s="141" t="s">
        <v>257</v>
      </c>
      <c r="AZ271" s="137"/>
      <c r="BA271" s="137"/>
      <c r="BB271" s="134">
        <f t="shared" ref="BB271:BB273" si="519">AZ271-BA271</f>
        <v>0</v>
      </c>
      <c r="BC271" s="469" t="s">
        <v>258</v>
      </c>
      <c r="BD271" s="470"/>
      <c r="BE271" s="13"/>
      <c r="BF271" s="16"/>
      <c r="BG271" s="13"/>
      <c r="BH271" s="16"/>
      <c r="BI271" s="13"/>
      <c r="BJ271" s="16"/>
      <c r="BK271" s="13"/>
      <c r="BL271" s="16"/>
      <c r="BM271" s="13"/>
      <c r="BN271" s="16"/>
      <c r="BO271" s="13"/>
      <c r="BP271" s="16"/>
      <c r="BQ271" s="106">
        <f t="shared" ref="BQ271:BQ334" si="520">SUM(BE271:BP271)</f>
        <v>0</v>
      </c>
      <c r="BR271" s="566"/>
      <c r="BS271" s="569"/>
      <c r="BT271" s="570"/>
      <c r="BU271" s="557"/>
      <c r="BV271" s="560"/>
      <c r="BW271" s="563"/>
      <c r="BX271" s="615"/>
    </row>
    <row r="272" spans="1:76" x14ac:dyDescent="0.25">
      <c r="A272" s="586"/>
      <c r="B272" s="590"/>
      <c r="C272" s="591"/>
      <c r="D272" s="605"/>
      <c r="E272" s="517"/>
      <c r="F272" s="518"/>
      <c r="G272" s="523"/>
      <c r="H272" s="524"/>
      <c r="I272" s="529"/>
      <c r="J272" s="530"/>
      <c r="K272" s="513"/>
      <c r="L272" s="534"/>
      <c r="M272" s="537"/>
      <c r="N272" s="541"/>
      <c r="O272" s="542"/>
      <c r="P272" s="483"/>
      <c r="Q272" s="484"/>
      <c r="R272" s="517"/>
      <c r="S272" s="518"/>
      <c r="T272" s="487"/>
      <c r="U272" s="488"/>
      <c r="V272" s="492"/>
      <c r="W272" s="483"/>
      <c r="X272" s="495"/>
      <c r="Y272" s="484"/>
      <c r="Z272" s="498"/>
      <c r="AA272" s="502"/>
      <c r="AB272" s="503"/>
      <c r="AC272" s="508"/>
      <c r="AD272" s="509"/>
      <c r="AE272" s="509"/>
      <c r="AF272" s="511"/>
      <c r="AG272" s="511"/>
      <c r="AH272" s="511"/>
      <c r="AI272" s="511"/>
      <c r="AJ272" s="511"/>
      <c r="AK272" s="511"/>
      <c r="AL272" s="511"/>
      <c r="AM272" s="511"/>
      <c r="AN272" s="511"/>
      <c r="AO272" s="511"/>
      <c r="AP272" s="511"/>
      <c r="AQ272" s="466"/>
      <c r="AR272" s="468"/>
      <c r="AS272" s="122" t="s">
        <v>259</v>
      </c>
      <c r="AT272" s="123"/>
      <c r="AU272" s="123"/>
      <c r="AV272" s="123"/>
      <c r="AW272" s="124"/>
      <c r="AX272" s="126">
        <f t="shared" si="518"/>
        <v>0</v>
      </c>
      <c r="AY272" s="142" t="s">
        <v>259</v>
      </c>
      <c r="AZ272" s="138"/>
      <c r="BA272" s="138"/>
      <c r="BB272" s="135">
        <f t="shared" si="519"/>
        <v>0</v>
      </c>
      <c r="BC272" s="474" t="s">
        <v>260</v>
      </c>
      <c r="BD272" s="475"/>
      <c r="BE272" s="14"/>
      <c r="BF272" s="17"/>
      <c r="BG272" s="14"/>
      <c r="BH272" s="17"/>
      <c r="BI272" s="14"/>
      <c r="BJ272" s="17"/>
      <c r="BK272" s="14"/>
      <c r="BL272" s="17"/>
      <c r="BM272" s="14"/>
      <c r="BN272" s="17"/>
      <c r="BO272" s="14"/>
      <c r="BP272" s="17"/>
      <c r="BQ272" s="107">
        <f t="shared" si="520"/>
        <v>0</v>
      </c>
      <c r="BR272" s="567"/>
      <c r="BS272" s="571"/>
      <c r="BT272" s="572"/>
      <c r="BU272" s="558"/>
      <c r="BV272" s="561"/>
      <c r="BW272" s="564"/>
      <c r="BX272" s="616"/>
    </row>
    <row r="273" spans="1:76" ht="15.75" thickBot="1" x14ac:dyDescent="0.3">
      <c r="A273" s="586"/>
      <c r="B273" s="590"/>
      <c r="C273" s="591"/>
      <c r="D273" s="605"/>
      <c r="E273" s="517"/>
      <c r="F273" s="518"/>
      <c r="G273" s="523"/>
      <c r="H273" s="524"/>
      <c r="I273" s="529"/>
      <c r="J273" s="530"/>
      <c r="K273" s="513"/>
      <c r="L273" s="534"/>
      <c r="M273" s="537"/>
      <c r="N273" s="541"/>
      <c r="O273" s="542"/>
      <c r="P273" s="483"/>
      <c r="Q273" s="484"/>
      <c r="R273" s="517"/>
      <c r="S273" s="518"/>
      <c r="T273" s="487"/>
      <c r="U273" s="488"/>
      <c r="V273" s="492"/>
      <c r="W273" s="483"/>
      <c r="X273" s="495"/>
      <c r="Y273" s="484"/>
      <c r="Z273" s="498"/>
      <c r="AA273" s="502"/>
      <c r="AB273" s="503"/>
      <c r="AC273" s="471" t="s">
        <v>259</v>
      </c>
      <c r="AD273" s="472"/>
      <c r="AE273" s="473"/>
      <c r="AF273" s="100"/>
      <c r="AG273" s="100"/>
      <c r="AH273" s="100"/>
      <c r="AI273" s="100"/>
      <c r="AJ273" s="100"/>
      <c r="AK273" s="100"/>
      <c r="AL273" s="100"/>
      <c r="AM273" s="100"/>
      <c r="AN273" s="100"/>
      <c r="AO273" s="100"/>
      <c r="AP273" s="100"/>
      <c r="AQ273" s="101"/>
      <c r="AR273" s="104">
        <f t="shared" ref="AR273:AR274" si="521">SUM(AF273:AQ273)</f>
        <v>0</v>
      </c>
      <c r="AS273" s="128" t="s">
        <v>261</v>
      </c>
      <c r="AT273" s="129"/>
      <c r="AU273" s="129"/>
      <c r="AV273" s="129"/>
      <c r="AW273" s="130"/>
      <c r="AX273" s="126">
        <f t="shared" si="518"/>
        <v>0</v>
      </c>
      <c r="AY273" s="143" t="s">
        <v>261</v>
      </c>
      <c r="AZ273" s="139"/>
      <c r="BA273" s="139"/>
      <c r="BB273" s="136">
        <f t="shared" si="519"/>
        <v>0</v>
      </c>
      <c r="BC273" s="474" t="s">
        <v>262</v>
      </c>
      <c r="BD273" s="475"/>
      <c r="BE273" s="14"/>
      <c r="BF273" s="17"/>
      <c r="BG273" s="14"/>
      <c r="BH273" s="17"/>
      <c r="BI273" s="14"/>
      <c r="BJ273" s="17"/>
      <c r="BK273" s="14"/>
      <c r="BL273" s="17"/>
      <c r="BM273" s="14"/>
      <c r="BN273" s="17"/>
      <c r="BO273" s="14"/>
      <c r="BP273" s="17"/>
      <c r="BQ273" s="108">
        <f t="shared" si="520"/>
        <v>0</v>
      </c>
      <c r="BR273" s="567"/>
      <c r="BS273" s="571"/>
      <c r="BT273" s="572"/>
      <c r="BU273" s="558"/>
      <c r="BV273" s="561"/>
      <c r="BW273" s="564"/>
      <c r="BX273" s="616"/>
    </row>
    <row r="274" spans="1:76" ht="15.75" thickBot="1" x14ac:dyDescent="0.3">
      <c r="A274" s="587"/>
      <c r="B274" s="592"/>
      <c r="C274" s="593"/>
      <c r="D274" s="606"/>
      <c r="E274" s="519"/>
      <c r="F274" s="520"/>
      <c r="G274" s="525"/>
      <c r="H274" s="526"/>
      <c r="I274" s="531"/>
      <c r="J274" s="532"/>
      <c r="K274" s="514"/>
      <c r="L274" s="535"/>
      <c r="M274" s="538"/>
      <c r="N274" s="543"/>
      <c r="O274" s="544"/>
      <c r="P274" s="485"/>
      <c r="Q274" s="486"/>
      <c r="R274" s="519"/>
      <c r="S274" s="520"/>
      <c r="T274" s="489"/>
      <c r="U274" s="490"/>
      <c r="V274" s="493"/>
      <c r="W274" s="485"/>
      <c r="X274" s="496"/>
      <c r="Y274" s="486"/>
      <c r="Z274" s="499"/>
      <c r="AA274" s="504"/>
      <c r="AB274" s="505"/>
      <c r="AC274" s="476" t="s">
        <v>261</v>
      </c>
      <c r="AD274" s="477"/>
      <c r="AE274" s="478"/>
      <c r="AF274" s="102"/>
      <c r="AG274" s="102"/>
      <c r="AH274" s="102"/>
      <c r="AI274" s="102"/>
      <c r="AJ274" s="102"/>
      <c r="AK274" s="102"/>
      <c r="AL274" s="102"/>
      <c r="AM274" s="102"/>
      <c r="AN274" s="102"/>
      <c r="AO274" s="102"/>
      <c r="AP274" s="102"/>
      <c r="AQ274" s="103"/>
      <c r="AR274" s="105">
        <f t="shared" si="521"/>
        <v>0</v>
      </c>
      <c r="AS274" s="131" t="s">
        <v>161</v>
      </c>
      <c r="AT274" s="132">
        <f t="shared" ref="AT274:AX274" si="522">SUM(AT271:AT273)</f>
        <v>0</v>
      </c>
      <c r="AU274" s="132">
        <f t="shared" si="522"/>
        <v>0</v>
      </c>
      <c r="AV274" s="132">
        <f t="shared" si="522"/>
        <v>0</v>
      </c>
      <c r="AW274" s="133">
        <f t="shared" si="522"/>
        <v>0</v>
      </c>
      <c r="AX274" s="127">
        <f t="shared" si="522"/>
        <v>0</v>
      </c>
      <c r="AY274" s="144" t="s">
        <v>161</v>
      </c>
      <c r="AZ274" s="140">
        <f t="shared" ref="AZ274:BB274" si="523">SUM(AZ271:AZ273)</f>
        <v>0</v>
      </c>
      <c r="BA274" s="140">
        <f t="shared" si="523"/>
        <v>0</v>
      </c>
      <c r="BB274" s="140">
        <f t="shared" si="523"/>
        <v>0</v>
      </c>
      <c r="BC274" s="479" t="s">
        <v>263</v>
      </c>
      <c r="BD274" s="480"/>
      <c r="BE274" s="15"/>
      <c r="BF274" s="18"/>
      <c r="BG274" s="15"/>
      <c r="BH274" s="18"/>
      <c r="BI274" s="15"/>
      <c r="BJ274" s="18"/>
      <c r="BK274" s="15"/>
      <c r="BL274" s="18"/>
      <c r="BM274" s="15"/>
      <c r="BN274" s="18"/>
      <c r="BO274" s="15"/>
      <c r="BP274" s="18"/>
      <c r="BQ274" s="109">
        <f t="shared" si="520"/>
        <v>0</v>
      </c>
      <c r="BR274" s="568"/>
      <c r="BS274" s="573"/>
      <c r="BT274" s="574"/>
      <c r="BU274" s="559"/>
      <c r="BV274" s="562"/>
      <c r="BW274" s="565"/>
      <c r="BX274" s="617"/>
    </row>
    <row r="275" spans="1:76" ht="15.75" thickTop="1" x14ac:dyDescent="0.25">
      <c r="A275" s="585">
        <v>67</v>
      </c>
      <c r="B275" s="588"/>
      <c r="C275" s="589"/>
      <c r="D275" s="604"/>
      <c r="E275" s="515"/>
      <c r="F275" s="516"/>
      <c r="G275" s="521"/>
      <c r="H275" s="522"/>
      <c r="I275" s="527"/>
      <c r="J275" s="528"/>
      <c r="K275" s="512"/>
      <c r="L275" s="533"/>
      <c r="M275" s="536"/>
      <c r="N275" s="539"/>
      <c r="O275" s="540"/>
      <c r="P275" s="481"/>
      <c r="Q275" s="482"/>
      <c r="R275" s="515"/>
      <c r="S275" s="516"/>
      <c r="T275" s="487"/>
      <c r="U275" s="488"/>
      <c r="V275" s="491"/>
      <c r="W275" s="481"/>
      <c r="X275" s="494"/>
      <c r="Y275" s="482"/>
      <c r="Z275" s="497"/>
      <c r="AA275" s="500" t="s">
        <v>308</v>
      </c>
      <c r="AB275" s="501"/>
      <c r="AC275" s="506" t="s">
        <v>257</v>
      </c>
      <c r="AD275" s="507"/>
      <c r="AE275" s="507"/>
      <c r="AF275" s="510"/>
      <c r="AG275" s="510"/>
      <c r="AH275" s="510"/>
      <c r="AI275" s="510"/>
      <c r="AJ275" s="510"/>
      <c r="AK275" s="510"/>
      <c r="AL275" s="510"/>
      <c r="AM275" s="510"/>
      <c r="AN275" s="510"/>
      <c r="AO275" s="510"/>
      <c r="AP275" s="510"/>
      <c r="AQ275" s="465"/>
      <c r="AR275" s="467">
        <f t="shared" ref="AR275" si="524">SUM(AF275:AQ276)</f>
        <v>0</v>
      </c>
      <c r="AS275" s="119" t="s">
        <v>257</v>
      </c>
      <c r="AT275" s="120"/>
      <c r="AU275" s="120"/>
      <c r="AV275" s="120"/>
      <c r="AW275" s="121"/>
      <c r="AX275" s="125">
        <f t="shared" ref="AX275:AX277" si="525">SUM(AT275:AW275)</f>
        <v>0</v>
      </c>
      <c r="AY275" s="141" t="s">
        <v>257</v>
      </c>
      <c r="AZ275" s="137"/>
      <c r="BA275" s="137"/>
      <c r="BB275" s="134">
        <f t="shared" ref="BB275:BB277" si="526">AZ275-BA275</f>
        <v>0</v>
      </c>
      <c r="BC275" s="469" t="s">
        <v>258</v>
      </c>
      <c r="BD275" s="470"/>
      <c r="BE275" s="13"/>
      <c r="BF275" s="16"/>
      <c r="BG275" s="13"/>
      <c r="BH275" s="16"/>
      <c r="BI275" s="13"/>
      <c r="BJ275" s="16"/>
      <c r="BK275" s="13"/>
      <c r="BL275" s="16"/>
      <c r="BM275" s="13"/>
      <c r="BN275" s="16"/>
      <c r="BO275" s="13"/>
      <c r="BP275" s="16"/>
      <c r="BQ275" s="106">
        <f t="shared" si="520"/>
        <v>0</v>
      </c>
      <c r="BR275" s="566"/>
      <c r="BS275" s="569"/>
      <c r="BT275" s="570"/>
      <c r="BU275" s="557"/>
      <c r="BV275" s="560"/>
      <c r="BW275" s="563"/>
      <c r="BX275" s="615"/>
    </row>
    <row r="276" spans="1:76" x14ac:dyDescent="0.25">
      <c r="A276" s="586"/>
      <c r="B276" s="590"/>
      <c r="C276" s="591"/>
      <c r="D276" s="605"/>
      <c r="E276" s="517"/>
      <c r="F276" s="518"/>
      <c r="G276" s="523"/>
      <c r="H276" s="524"/>
      <c r="I276" s="529"/>
      <c r="J276" s="530"/>
      <c r="K276" s="513"/>
      <c r="L276" s="534"/>
      <c r="M276" s="537"/>
      <c r="N276" s="541"/>
      <c r="O276" s="542"/>
      <c r="P276" s="483"/>
      <c r="Q276" s="484"/>
      <c r="R276" s="517"/>
      <c r="S276" s="518"/>
      <c r="T276" s="487"/>
      <c r="U276" s="488"/>
      <c r="V276" s="492"/>
      <c r="W276" s="483"/>
      <c r="X276" s="495"/>
      <c r="Y276" s="484"/>
      <c r="Z276" s="498"/>
      <c r="AA276" s="502"/>
      <c r="AB276" s="503"/>
      <c r="AC276" s="508"/>
      <c r="AD276" s="509"/>
      <c r="AE276" s="509"/>
      <c r="AF276" s="511"/>
      <c r="AG276" s="511"/>
      <c r="AH276" s="511"/>
      <c r="AI276" s="511"/>
      <c r="AJ276" s="511"/>
      <c r="AK276" s="511"/>
      <c r="AL276" s="511"/>
      <c r="AM276" s="511"/>
      <c r="AN276" s="511"/>
      <c r="AO276" s="511"/>
      <c r="AP276" s="511"/>
      <c r="AQ276" s="466"/>
      <c r="AR276" s="468"/>
      <c r="AS276" s="122" t="s">
        <v>259</v>
      </c>
      <c r="AT276" s="123"/>
      <c r="AU276" s="123"/>
      <c r="AV276" s="123"/>
      <c r="AW276" s="124"/>
      <c r="AX276" s="126">
        <f t="shared" si="525"/>
        <v>0</v>
      </c>
      <c r="AY276" s="142" t="s">
        <v>259</v>
      </c>
      <c r="AZ276" s="138"/>
      <c r="BA276" s="138"/>
      <c r="BB276" s="135">
        <f t="shared" si="526"/>
        <v>0</v>
      </c>
      <c r="BC276" s="474" t="s">
        <v>260</v>
      </c>
      <c r="BD276" s="475"/>
      <c r="BE276" s="14"/>
      <c r="BF276" s="17"/>
      <c r="BG276" s="14"/>
      <c r="BH276" s="17"/>
      <c r="BI276" s="14"/>
      <c r="BJ276" s="17"/>
      <c r="BK276" s="14"/>
      <c r="BL276" s="17"/>
      <c r="BM276" s="14"/>
      <c r="BN276" s="17"/>
      <c r="BO276" s="14"/>
      <c r="BP276" s="17"/>
      <c r="BQ276" s="107">
        <f t="shared" si="520"/>
        <v>0</v>
      </c>
      <c r="BR276" s="567"/>
      <c r="BS276" s="571"/>
      <c r="BT276" s="572"/>
      <c r="BU276" s="558"/>
      <c r="BV276" s="561"/>
      <c r="BW276" s="564"/>
      <c r="BX276" s="616"/>
    </row>
    <row r="277" spans="1:76" ht="15.75" thickBot="1" x14ac:dyDescent="0.3">
      <c r="A277" s="586"/>
      <c r="B277" s="590"/>
      <c r="C277" s="591"/>
      <c r="D277" s="605"/>
      <c r="E277" s="517"/>
      <c r="F277" s="518"/>
      <c r="G277" s="523"/>
      <c r="H277" s="524"/>
      <c r="I277" s="529"/>
      <c r="J277" s="530"/>
      <c r="K277" s="513"/>
      <c r="L277" s="534"/>
      <c r="M277" s="537"/>
      <c r="N277" s="541"/>
      <c r="O277" s="542"/>
      <c r="P277" s="483"/>
      <c r="Q277" s="484"/>
      <c r="R277" s="517"/>
      <c r="S277" s="518"/>
      <c r="T277" s="487"/>
      <c r="U277" s="488"/>
      <c r="V277" s="492"/>
      <c r="W277" s="483"/>
      <c r="X277" s="495"/>
      <c r="Y277" s="484"/>
      <c r="Z277" s="498"/>
      <c r="AA277" s="502"/>
      <c r="AB277" s="503"/>
      <c r="AC277" s="471" t="s">
        <v>259</v>
      </c>
      <c r="AD277" s="472"/>
      <c r="AE277" s="473"/>
      <c r="AF277" s="100"/>
      <c r="AG277" s="100"/>
      <c r="AH277" s="100"/>
      <c r="AI277" s="100"/>
      <c r="AJ277" s="100"/>
      <c r="AK277" s="100"/>
      <c r="AL277" s="100"/>
      <c r="AM277" s="100"/>
      <c r="AN277" s="100"/>
      <c r="AO277" s="100"/>
      <c r="AP277" s="100"/>
      <c r="AQ277" s="101"/>
      <c r="AR277" s="104">
        <f t="shared" ref="AR277:AR278" si="527">SUM(AF277:AQ277)</f>
        <v>0</v>
      </c>
      <c r="AS277" s="128" t="s">
        <v>261</v>
      </c>
      <c r="AT277" s="129"/>
      <c r="AU277" s="129"/>
      <c r="AV277" s="129"/>
      <c r="AW277" s="130"/>
      <c r="AX277" s="126">
        <f t="shared" si="525"/>
        <v>0</v>
      </c>
      <c r="AY277" s="143" t="s">
        <v>261</v>
      </c>
      <c r="AZ277" s="139"/>
      <c r="BA277" s="139"/>
      <c r="BB277" s="136">
        <f t="shared" si="526"/>
        <v>0</v>
      </c>
      <c r="BC277" s="474" t="s">
        <v>262</v>
      </c>
      <c r="BD277" s="475"/>
      <c r="BE277" s="14"/>
      <c r="BF277" s="17"/>
      <c r="BG277" s="14"/>
      <c r="BH277" s="17"/>
      <c r="BI277" s="14"/>
      <c r="BJ277" s="17"/>
      <c r="BK277" s="14"/>
      <c r="BL277" s="17"/>
      <c r="BM277" s="14"/>
      <c r="BN277" s="17"/>
      <c r="BO277" s="14"/>
      <c r="BP277" s="17"/>
      <c r="BQ277" s="108">
        <f t="shared" si="520"/>
        <v>0</v>
      </c>
      <c r="BR277" s="567"/>
      <c r="BS277" s="571"/>
      <c r="BT277" s="572"/>
      <c r="BU277" s="558"/>
      <c r="BV277" s="561"/>
      <c r="BW277" s="564"/>
      <c r="BX277" s="616"/>
    </row>
    <row r="278" spans="1:76" ht="15.75" thickBot="1" x14ac:dyDescent="0.3">
      <c r="A278" s="587"/>
      <c r="B278" s="592"/>
      <c r="C278" s="593"/>
      <c r="D278" s="606"/>
      <c r="E278" s="519"/>
      <c r="F278" s="520"/>
      <c r="G278" s="525"/>
      <c r="H278" s="526"/>
      <c r="I278" s="531"/>
      <c r="J278" s="532"/>
      <c r="K278" s="514"/>
      <c r="L278" s="535"/>
      <c r="M278" s="538"/>
      <c r="N278" s="543"/>
      <c r="O278" s="544"/>
      <c r="P278" s="485"/>
      <c r="Q278" s="486"/>
      <c r="R278" s="519"/>
      <c r="S278" s="520"/>
      <c r="T278" s="489"/>
      <c r="U278" s="490"/>
      <c r="V278" s="493"/>
      <c r="W278" s="485"/>
      <c r="X278" s="496"/>
      <c r="Y278" s="486"/>
      <c r="Z278" s="499"/>
      <c r="AA278" s="504"/>
      <c r="AB278" s="505"/>
      <c r="AC278" s="476" t="s">
        <v>261</v>
      </c>
      <c r="AD278" s="477"/>
      <c r="AE278" s="478"/>
      <c r="AF278" s="102"/>
      <c r="AG278" s="102"/>
      <c r="AH278" s="102"/>
      <c r="AI278" s="102"/>
      <c r="AJ278" s="102"/>
      <c r="AK278" s="102"/>
      <c r="AL278" s="102"/>
      <c r="AM278" s="102"/>
      <c r="AN278" s="102"/>
      <c r="AO278" s="102"/>
      <c r="AP278" s="102"/>
      <c r="AQ278" s="103"/>
      <c r="AR278" s="105">
        <f t="shared" si="527"/>
        <v>0</v>
      </c>
      <c r="AS278" s="131" t="s">
        <v>161</v>
      </c>
      <c r="AT278" s="132">
        <f t="shared" ref="AT278:AX278" si="528">SUM(AT275:AT277)</f>
        <v>0</v>
      </c>
      <c r="AU278" s="132">
        <f t="shared" si="528"/>
        <v>0</v>
      </c>
      <c r="AV278" s="132">
        <f t="shared" si="528"/>
        <v>0</v>
      </c>
      <c r="AW278" s="133">
        <f t="shared" si="528"/>
        <v>0</v>
      </c>
      <c r="AX278" s="127">
        <f t="shared" si="528"/>
        <v>0</v>
      </c>
      <c r="AY278" s="144" t="s">
        <v>161</v>
      </c>
      <c r="AZ278" s="140">
        <f t="shared" ref="AZ278:BB278" si="529">SUM(AZ275:AZ277)</f>
        <v>0</v>
      </c>
      <c r="BA278" s="140">
        <f t="shared" si="529"/>
        <v>0</v>
      </c>
      <c r="BB278" s="140">
        <f t="shared" si="529"/>
        <v>0</v>
      </c>
      <c r="BC278" s="479" t="s">
        <v>263</v>
      </c>
      <c r="BD278" s="480"/>
      <c r="BE278" s="15"/>
      <c r="BF278" s="18"/>
      <c r="BG278" s="15"/>
      <c r="BH278" s="18"/>
      <c r="BI278" s="15"/>
      <c r="BJ278" s="18"/>
      <c r="BK278" s="15"/>
      <c r="BL278" s="18"/>
      <c r="BM278" s="15"/>
      <c r="BN278" s="18"/>
      <c r="BO278" s="15"/>
      <c r="BP278" s="18"/>
      <c r="BQ278" s="109">
        <f t="shared" si="520"/>
        <v>0</v>
      </c>
      <c r="BR278" s="568"/>
      <c r="BS278" s="573"/>
      <c r="BT278" s="574"/>
      <c r="BU278" s="559"/>
      <c r="BV278" s="562"/>
      <c r="BW278" s="565"/>
      <c r="BX278" s="617"/>
    </row>
    <row r="279" spans="1:76" ht="15.75" thickTop="1" x14ac:dyDescent="0.25">
      <c r="A279" s="585">
        <v>68</v>
      </c>
      <c r="B279" s="588"/>
      <c r="C279" s="589"/>
      <c r="D279" s="604"/>
      <c r="E279" s="515"/>
      <c r="F279" s="516"/>
      <c r="G279" s="521"/>
      <c r="H279" s="522"/>
      <c r="I279" s="527"/>
      <c r="J279" s="528"/>
      <c r="K279" s="512"/>
      <c r="L279" s="533"/>
      <c r="M279" s="536"/>
      <c r="N279" s="539"/>
      <c r="O279" s="540"/>
      <c r="P279" s="481"/>
      <c r="Q279" s="482"/>
      <c r="R279" s="515"/>
      <c r="S279" s="516"/>
      <c r="T279" s="487"/>
      <c r="U279" s="488"/>
      <c r="V279" s="491"/>
      <c r="W279" s="481"/>
      <c r="X279" s="494"/>
      <c r="Y279" s="482"/>
      <c r="Z279" s="497"/>
      <c r="AA279" s="500" t="s">
        <v>309</v>
      </c>
      <c r="AB279" s="501"/>
      <c r="AC279" s="506" t="s">
        <v>257</v>
      </c>
      <c r="AD279" s="507"/>
      <c r="AE279" s="507"/>
      <c r="AF279" s="510"/>
      <c r="AG279" s="510"/>
      <c r="AH279" s="510"/>
      <c r="AI279" s="510"/>
      <c r="AJ279" s="510"/>
      <c r="AK279" s="510"/>
      <c r="AL279" s="510"/>
      <c r="AM279" s="510"/>
      <c r="AN279" s="510"/>
      <c r="AO279" s="510"/>
      <c r="AP279" s="510"/>
      <c r="AQ279" s="465"/>
      <c r="AR279" s="467">
        <f t="shared" ref="AR279" si="530">SUM(AF279:AQ280)</f>
        <v>0</v>
      </c>
      <c r="AS279" s="119" t="s">
        <v>257</v>
      </c>
      <c r="AT279" s="120"/>
      <c r="AU279" s="120"/>
      <c r="AV279" s="120"/>
      <c r="AW279" s="121"/>
      <c r="AX279" s="125">
        <f t="shared" ref="AX279:AX281" si="531">SUM(AT279:AW279)</f>
        <v>0</v>
      </c>
      <c r="AY279" s="141" t="s">
        <v>257</v>
      </c>
      <c r="AZ279" s="137"/>
      <c r="BA279" s="137"/>
      <c r="BB279" s="134">
        <f t="shared" ref="BB279:BB281" si="532">AZ279-BA279</f>
        <v>0</v>
      </c>
      <c r="BC279" s="469" t="s">
        <v>258</v>
      </c>
      <c r="BD279" s="470"/>
      <c r="BE279" s="13"/>
      <c r="BF279" s="16"/>
      <c r="BG279" s="13"/>
      <c r="BH279" s="16"/>
      <c r="BI279" s="13"/>
      <c r="BJ279" s="16"/>
      <c r="BK279" s="13"/>
      <c r="BL279" s="16"/>
      <c r="BM279" s="13"/>
      <c r="BN279" s="16"/>
      <c r="BO279" s="13"/>
      <c r="BP279" s="16"/>
      <c r="BQ279" s="106">
        <f t="shared" si="520"/>
        <v>0</v>
      </c>
      <c r="BR279" s="566"/>
      <c r="BS279" s="569"/>
      <c r="BT279" s="570"/>
      <c r="BU279" s="557"/>
      <c r="BV279" s="560"/>
      <c r="BW279" s="563"/>
      <c r="BX279" s="615"/>
    </row>
    <row r="280" spans="1:76" x14ac:dyDescent="0.25">
      <c r="A280" s="586"/>
      <c r="B280" s="590"/>
      <c r="C280" s="591"/>
      <c r="D280" s="605"/>
      <c r="E280" s="517"/>
      <c r="F280" s="518"/>
      <c r="G280" s="523"/>
      <c r="H280" s="524"/>
      <c r="I280" s="529"/>
      <c r="J280" s="530"/>
      <c r="K280" s="513"/>
      <c r="L280" s="534"/>
      <c r="M280" s="537"/>
      <c r="N280" s="541"/>
      <c r="O280" s="542"/>
      <c r="P280" s="483"/>
      <c r="Q280" s="484"/>
      <c r="R280" s="517"/>
      <c r="S280" s="518"/>
      <c r="T280" s="487"/>
      <c r="U280" s="488"/>
      <c r="V280" s="492"/>
      <c r="W280" s="483"/>
      <c r="X280" s="495"/>
      <c r="Y280" s="484"/>
      <c r="Z280" s="498"/>
      <c r="AA280" s="502"/>
      <c r="AB280" s="503"/>
      <c r="AC280" s="508"/>
      <c r="AD280" s="509"/>
      <c r="AE280" s="509"/>
      <c r="AF280" s="511"/>
      <c r="AG280" s="511"/>
      <c r="AH280" s="511"/>
      <c r="AI280" s="511"/>
      <c r="AJ280" s="511"/>
      <c r="AK280" s="511"/>
      <c r="AL280" s="511"/>
      <c r="AM280" s="511"/>
      <c r="AN280" s="511"/>
      <c r="AO280" s="511"/>
      <c r="AP280" s="511"/>
      <c r="AQ280" s="466"/>
      <c r="AR280" s="468"/>
      <c r="AS280" s="122" t="s">
        <v>259</v>
      </c>
      <c r="AT280" s="123"/>
      <c r="AU280" s="123"/>
      <c r="AV280" s="123"/>
      <c r="AW280" s="124"/>
      <c r="AX280" s="126">
        <f t="shared" si="531"/>
        <v>0</v>
      </c>
      <c r="AY280" s="142" t="s">
        <v>259</v>
      </c>
      <c r="AZ280" s="138"/>
      <c r="BA280" s="138"/>
      <c r="BB280" s="135">
        <f t="shared" si="532"/>
        <v>0</v>
      </c>
      <c r="BC280" s="474" t="s">
        <v>260</v>
      </c>
      <c r="BD280" s="475"/>
      <c r="BE280" s="14"/>
      <c r="BF280" s="17"/>
      <c r="BG280" s="14"/>
      <c r="BH280" s="17"/>
      <c r="BI280" s="14"/>
      <c r="BJ280" s="17"/>
      <c r="BK280" s="14"/>
      <c r="BL280" s="17"/>
      <c r="BM280" s="14"/>
      <c r="BN280" s="17"/>
      <c r="BO280" s="14"/>
      <c r="BP280" s="17"/>
      <c r="BQ280" s="107">
        <f t="shared" si="520"/>
        <v>0</v>
      </c>
      <c r="BR280" s="567"/>
      <c r="BS280" s="571"/>
      <c r="BT280" s="572"/>
      <c r="BU280" s="558"/>
      <c r="BV280" s="561"/>
      <c r="BW280" s="564"/>
      <c r="BX280" s="616"/>
    </row>
    <row r="281" spans="1:76" ht="15.75" thickBot="1" x14ac:dyDescent="0.3">
      <c r="A281" s="586"/>
      <c r="B281" s="590"/>
      <c r="C281" s="591"/>
      <c r="D281" s="605"/>
      <c r="E281" s="517"/>
      <c r="F281" s="518"/>
      <c r="G281" s="523"/>
      <c r="H281" s="524"/>
      <c r="I281" s="529"/>
      <c r="J281" s="530"/>
      <c r="K281" s="513"/>
      <c r="L281" s="534"/>
      <c r="M281" s="537"/>
      <c r="N281" s="541"/>
      <c r="O281" s="542"/>
      <c r="P281" s="483"/>
      <c r="Q281" s="484"/>
      <c r="R281" s="517"/>
      <c r="S281" s="518"/>
      <c r="T281" s="487"/>
      <c r="U281" s="488"/>
      <c r="V281" s="492"/>
      <c r="W281" s="483"/>
      <c r="X281" s="495"/>
      <c r="Y281" s="484"/>
      <c r="Z281" s="498"/>
      <c r="AA281" s="502"/>
      <c r="AB281" s="503"/>
      <c r="AC281" s="471" t="s">
        <v>259</v>
      </c>
      <c r="AD281" s="472"/>
      <c r="AE281" s="473"/>
      <c r="AF281" s="100"/>
      <c r="AG281" s="100"/>
      <c r="AH281" s="100"/>
      <c r="AI281" s="100"/>
      <c r="AJ281" s="100"/>
      <c r="AK281" s="100"/>
      <c r="AL281" s="100"/>
      <c r="AM281" s="100"/>
      <c r="AN281" s="100"/>
      <c r="AO281" s="100"/>
      <c r="AP281" s="100"/>
      <c r="AQ281" s="101"/>
      <c r="AR281" s="104">
        <f t="shared" ref="AR281:AR282" si="533">SUM(AF281:AQ281)</f>
        <v>0</v>
      </c>
      <c r="AS281" s="128" t="s">
        <v>261</v>
      </c>
      <c r="AT281" s="129"/>
      <c r="AU281" s="129"/>
      <c r="AV281" s="129"/>
      <c r="AW281" s="130"/>
      <c r="AX281" s="126">
        <f t="shared" si="531"/>
        <v>0</v>
      </c>
      <c r="AY281" s="143" t="s">
        <v>261</v>
      </c>
      <c r="AZ281" s="139"/>
      <c r="BA281" s="139"/>
      <c r="BB281" s="136">
        <f t="shared" si="532"/>
        <v>0</v>
      </c>
      <c r="BC281" s="474" t="s">
        <v>262</v>
      </c>
      <c r="BD281" s="475"/>
      <c r="BE281" s="14"/>
      <c r="BF281" s="17"/>
      <c r="BG281" s="14"/>
      <c r="BH281" s="17"/>
      <c r="BI281" s="14"/>
      <c r="BJ281" s="17"/>
      <c r="BK281" s="14"/>
      <c r="BL281" s="17"/>
      <c r="BM281" s="14"/>
      <c r="BN281" s="17"/>
      <c r="BO281" s="14"/>
      <c r="BP281" s="17"/>
      <c r="BQ281" s="108">
        <f t="shared" si="520"/>
        <v>0</v>
      </c>
      <c r="BR281" s="567"/>
      <c r="BS281" s="571"/>
      <c r="BT281" s="572"/>
      <c r="BU281" s="558"/>
      <c r="BV281" s="561"/>
      <c r="BW281" s="564"/>
      <c r="BX281" s="616"/>
    </row>
    <row r="282" spans="1:76" ht="15.75" thickBot="1" x14ac:dyDescent="0.3">
      <c r="A282" s="587"/>
      <c r="B282" s="592"/>
      <c r="C282" s="593"/>
      <c r="D282" s="606"/>
      <c r="E282" s="519"/>
      <c r="F282" s="520"/>
      <c r="G282" s="525"/>
      <c r="H282" s="526"/>
      <c r="I282" s="531"/>
      <c r="J282" s="532"/>
      <c r="K282" s="514"/>
      <c r="L282" s="535"/>
      <c r="M282" s="538"/>
      <c r="N282" s="543"/>
      <c r="O282" s="544"/>
      <c r="P282" s="485"/>
      <c r="Q282" s="486"/>
      <c r="R282" s="519"/>
      <c r="S282" s="520"/>
      <c r="T282" s="489"/>
      <c r="U282" s="490"/>
      <c r="V282" s="493"/>
      <c r="W282" s="485"/>
      <c r="X282" s="496"/>
      <c r="Y282" s="486"/>
      <c r="Z282" s="499"/>
      <c r="AA282" s="504"/>
      <c r="AB282" s="505"/>
      <c r="AC282" s="476" t="s">
        <v>261</v>
      </c>
      <c r="AD282" s="477"/>
      <c r="AE282" s="478"/>
      <c r="AF282" s="102"/>
      <c r="AG282" s="102"/>
      <c r="AH282" s="102"/>
      <c r="AI282" s="102"/>
      <c r="AJ282" s="102"/>
      <c r="AK282" s="102"/>
      <c r="AL282" s="102"/>
      <c r="AM282" s="102"/>
      <c r="AN282" s="102"/>
      <c r="AO282" s="102"/>
      <c r="AP282" s="102"/>
      <c r="AQ282" s="103"/>
      <c r="AR282" s="105">
        <f t="shared" si="533"/>
        <v>0</v>
      </c>
      <c r="AS282" s="131" t="s">
        <v>161</v>
      </c>
      <c r="AT282" s="132">
        <f t="shared" ref="AT282:AX282" si="534">SUM(AT279:AT281)</f>
        <v>0</v>
      </c>
      <c r="AU282" s="132">
        <f t="shared" si="534"/>
        <v>0</v>
      </c>
      <c r="AV282" s="132">
        <f t="shared" si="534"/>
        <v>0</v>
      </c>
      <c r="AW282" s="133">
        <f t="shared" si="534"/>
        <v>0</v>
      </c>
      <c r="AX282" s="127">
        <f t="shared" si="534"/>
        <v>0</v>
      </c>
      <c r="AY282" s="144" t="s">
        <v>161</v>
      </c>
      <c r="AZ282" s="140">
        <f t="shared" ref="AZ282:BB282" si="535">SUM(AZ279:AZ281)</f>
        <v>0</v>
      </c>
      <c r="BA282" s="140">
        <f t="shared" si="535"/>
        <v>0</v>
      </c>
      <c r="BB282" s="140">
        <f t="shared" si="535"/>
        <v>0</v>
      </c>
      <c r="BC282" s="479" t="s">
        <v>263</v>
      </c>
      <c r="BD282" s="480"/>
      <c r="BE282" s="15"/>
      <c r="BF282" s="18"/>
      <c r="BG282" s="15"/>
      <c r="BH282" s="18"/>
      <c r="BI282" s="15"/>
      <c r="BJ282" s="18"/>
      <c r="BK282" s="15"/>
      <c r="BL282" s="18"/>
      <c r="BM282" s="15"/>
      <c r="BN282" s="18"/>
      <c r="BO282" s="15"/>
      <c r="BP282" s="18"/>
      <c r="BQ282" s="109">
        <f t="shared" si="520"/>
        <v>0</v>
      </c>
      <c r="BR282" s="568"/>
      <c r="BS282" s="573"/>
      <c r="BT282" s="574"/>
      <c r="BU282" s="559"/>
      <c r="BV282" s="562"/>
      <c r="BW282" s="565"/>
      <c r="BX282" s="617"/>
    </row>
    <row r="283" spans="1:76" ht="15.75" thickTop="1" x14ac:dyDescent="0.25">
      <c r="A283" s="585">
        <v>69</v>
      </c>
      <c r="B283" s="588"/>
      <c r="C283" s="589"/>
      <c r="D283" s="604"/>
      <c r="E283" s="515"/>
      <c r="F283" s="516"/>
      <c r="G283" s="521"/>
      <c r="H283" s="522"/>
      <c r="I283" s="527"/>
      <c r="J283" s="528"/>
      <c r="K283" s="512"/>
      <c r="L283" s="533"/>
      <c r="M283" s="536"/>
      <c r="N283" s="539"/>
      <c r="O283" s="540"/>
      <c r="P283" s="481"/>
      <c r="Q283" s="482"/>
      <c r="R283" s="515"/>
      <c r="S283" s="516"/>
      <c r="T283" s="487"/>
      <c r="U283" s="488"/>
      <c r="V283" s="491"/>
      <c r="W283" s="481"/>
      <c r="X283" s="494"/>
      <c r="Y283" s="482"/>
      <c r="Z283" s="497"/>
      <c r="AA283" s="500" t="s">
        <v>310</v>
      </c>
      <c r="AB283" s="501"/>
      <c r="AC283" s="506" t="s">
        <v>257</v>
      </c>
      <c r="AD283" s="507"/>
      <c r="AE283" s="507"/>
      <c r="AF283" s="510"/>
      <c r="AG283" s="510"/>
      <c r="AH283" s="510"/>
      <c r="AI283" s="510"/>
      <c r="AJ283" s="510"/>
      <c r="AK283" s="510"/>
      <c r="AL283" s="510"/>
      <c r="AM283" s="510"/>
      <c r="AN283" s="510"/>
      <c r="AO283" s="510"/>
      <c r="AP283" s="510"/>
      <c r="AQ283" s="465"/>
      <c r="AR283" s="467">
        <f t="shared" ref="AR283" si="536">SUM(AF283:AQ284)</f>
        <v>0</v>
      </c>
      <c r="AS283" s="119" t="s">
        <v>257</v>
      </c>
      <c r="AT283" s="120"/>
      <c r="AU283" s="120"/>
      <c r="AV283" s="120"/>
      <c r="AW283" s="121"/>
      <c r="AX283" s="125">
        <f t="shared" ref="AX283:AX285" si="537">SUM(AT283:AW283)</f>
        <v>0</v>
      </c>
      <c r="AY283" s="141" t="s">
        <v>257</v>
      </c>
      <c r="AZ283" s="137"/>
      <c r="BA283" s="137"/>
      <c r="BB283" s="134">
        <f t="shared" ref="BB283:BB285" si="538">AZ283-BA283</f>
        <v>0</v>
      </c>
      <c r="BC283" s="469" t="s">
        <v>258</v>
      </c>
      <c r="BD283" s="470"/>
      <c r="BE283" s="13"/>
      <c r="BF283" s="16"/>
      <c r="BG283" s="13"/>
      <c r="BH283" s="16"/>
      <c r="BI283" s="13"/>
      <c r="BJ283" s="16"/>
      <c r="BK283" s="13"/>
      <c r="BL283" s="16"/>
      <c r="BM283" s="13"/>
      <c r="BN283" s="16"/>
      <c r="BO283" s="13"/>
      <c r="BP283" s="16"/>
      <c r="BQ283" s="106">
        <f t="shared" si="520"/>
        <v>0</v>
      </c>
      <c r="BR283" s="566"/>
      <c r="BS283" s="569"/>
      <c r="BT283" s="570"/>
      <c r="BU283" s="557"/>
      <c r="BV283" s="560"/>
      <c r="BW283" s="563"/>
      <c r="BX283" s="615"/>
    </row>
    <row r="284" spans="1:76" x14ac:dyDescent="0.25">
      <c r="A284" s="586"/>
      <c r="B284" s="590"/>
      <c r="C284" s="591"/>
      <c r="D284" s="605"/>
      <c r="E284" s="517"/>
      <c r="F284" s="518"/>
      <c r="G284" s="523"/>
      <c r="H284" s="524"/>
      <c r="I284" s="529"/>
      <c r="J284" s="530"/>
      <c r="K284" s="513"/>
      <c r="L284" s="534"/>
      <c r="M284" s="537"/>
      <c r="N284" s="541"/>
      <c r="O284" s="542"/>
      <c r="P284" s="483"/>
      <c r="Q284" s="484"/>
      <c r="R284" s="517"/>
      <c r="S284" s="518"/>
      <c r="T284" s="487"/>
      <c r="U284" s="488"/>
      <c r="V284" s="492"/>
      <c r="W284" s="483"/>
      <c r="X284" s="495"/>
      <c r="Y284" s="484"/>
      <c r="Z284" s="498"/>
      <c r="AA284" s="502"/>
      <c r="AB284" s="503"/>
      <c r="AC284" s="508"/>
      <c r="AD284" s="509"/>
      <c r="AE284" s="509"/>
      <c r="AF284" s="511"/>
      <c r="AG284" s="511"/>
      <c r="AH284" s="511"/>
      <c r="AI284" s="511"/>
      <c r="AJ284" s="511"/>
      <c r="AK284" s="511"/>
      <c r="AL284" s="511"/>
      <c r="AM284" s="511"/>
      <c r="AN284" s="511"/>
      <c r="AO284" s="511"/>
      <c r="AP284" s="511"/>
      <c r="AQ284" s="466"/>
      <c r="AR284" s="468"/>
      <c r="AS284" s="122" t="s">
        <v>259</v>
      </c>
      <c r="AT284" s="123"/>
      <c r="AU284" s="123"/>
      <c r="AV284" s="123"/>
      <c r="AW284" s="124"/>
      <c r="AX284" s="126">
        <f t="shared" si="537"/>
        <v>0</v>
      </c>
      <c r="AY284" s="142" t="s">
        <v>259</v>
      </c>
      <c r="AZ284" s="138"/>
      <c r="BA284" s="138"/>
      <c r="BB284" s="135">
        <f t="shared" si="538"/>
        <v>0</v>
      </c>
      <c r="BC284" s="474" t="s">
        <v>260</v>
      </c>
      <c r="BD284" s="475"/>
      <c r="BE284" s="14"/>
      <c r="BF284" s="17"/>
      <c r="BG284" s="14"/>
      <c r="BH284" s="17"/>
      <c r="BI284" s="14"/>
      <c r="BJ284" s="17"/>
      <c r="BK284" s="14"/>
      <c r="BL284" s="17"/>
      <c r="BM284" s="14"/>
      <c r="BN284" s="17"/>
      <c r="BO284" s="14"/>
      <c r="BP284" s="17"/>
      <c r="BQ284" s="107">
        <f t="shared" si="520"/>
        <v>0</v>
      </c>
      <c r="BR284" s="567"/>
      <c r="BS284" s="571"/>
      <c r="BT284" s="572"/>
      <c r="BU284" s="558"/>
      <c r="BV284" s="561"/>
      <c r="BW284" s="564"/>
      <c r="BX284" s="616"/>
    </row>
    <row r="285" spans="1:76" ht="15.75" thickBot="1" x14ac:dyDescent="0.3">
      <c r="A285" s="586"/>
      <c r="B285" s="590"/>
      <c r="C285" s="591"/>
      <c r="D285" s="605"/>
      <c r="E285" s="517"/>
      <c r="F285" s="518"/>
      <c r="G285" s="523"/>
      <c r="H285" s="524"/>
      <c r="I285" s="529"/>
      <c r="J285" s="530"/>
      <c r="K285" s="513"/>
      <c r="L285" s="534"/>
      <c r="M285" s="537"/>
      <c r="N285" s="541"/>
      <c r="O285" s="542"/>
      <c r="P285" s="483"/>
      <c r="Q285" s="484"/>
      <c r="R285" s="517"/>
      <c r="S285" s="518"/>
      <c r="T285" s="487"/>
      <c r="U285" s="488"/>
      <c r="V285" s="492"/>
      <c r="W285" s="483"/>
      <c r="X285" s="495"/>
      <c r="Y285" s="484"/>
      <c r="Z285" s="498"/>
      <c r="AA285" s="502"/>
      <c r="AB285" s="503"/>
      <c r="AC285" s="471" t="s">
        <v>259</v>
      </c>
      <c r="AD285" s="472"/>
      <c r="AE285" s="473"/>
      <c r="AF285" s="100"/>
      <c r="AG285" s="100"/>
      <c r="AH285" s="100"/>
      <c r="AI285" s="100"/>
      <c r="AJ285" s="100"/>
      <c r="AK285" s="100"/>
      <c r="AL285" s="100"/>
      <c r="AM285" s="100"/>
      <c r="AN285" s="100"/>
      <c r="AO285" s="100"/>
      <c r="AP285" s="100"/>
      <c r="AQ285" s="101"/>
      <c r="AR285" s="104">
        <f t="shared" ref="AR285:AR286" si="539">SUM(AF285:AQ285)</f>
        <v>0</v>
      </c>
      <c r="AS285" s="128" t="s">
        <v>261</v>
      </c>
      <c r="AT285" s="129"/>
      <c r="AU285" s="129"/>
      <c r="AV285" s="129"/>
      <c r="AW285" s="130"/>
      <c r="AX285" s="126">
        <f t="shared" si="537"/>
        <v>0</v>
      </c>
      <c r="AY285" s="143" t="s">
        <v>261</v>
      </c>
      <c r="AZ285" s="139"/>
      <c r="BA285" s="139"/>
      <c r="BB285" s="136">
        <f t="shared" si="538"/>
        <v>0</v>
      </c>
      <c r="BC285" s="474" t="s">
        <v>262</v>
      </c>
      <c r="BD285" s="475"/>
      <c r="BE285" s="14"/>
      <c r="BF285" s="17"/>
      <c r="BG285" s="14"/>
      <c r="BH285" s="17"/>
      <c r="BI285" s="14"/>
      <c r="BJ285" s="17"/>
      <c r="BK285" s="14"/>
      <c r="BL285" s="17"/>
      <c r="BM285" s="14"/>
      <c r="BN285" s="17"/>
      <c r="BO285" s="14"/>
      <c r="BP285" s="17"/>
      <c r="BQ285" s="108">
        <f t="shared" si="520"/>
        <v>0</v>
      </c>
      <c r="BR285" s="567"/>
      <c r="BS285" s="571"/>
      <c r="BT285" s="572"/>
      <c r="BU285" s="558"/>
      <c r="BV285" s="561"/>
      <c r="BW285" s="564"/>
      <c r="BX285" s="616"/>
    </row>
    <row r="286" spans="1:76" ht="15.75" thickBot="1" x14ac:dyDescent="0.3">
      <c r="A286" s="587"/>
      <c r="B286" s="592"/>
      <c r="C286" s="593"/>
      <c r="D286" s="606"/>
      <c r="E286" s="519"/>
      <c r="F286" s="520"/>
      <c r="G286" s="525"/>
      <c r="H286" s="526"/>
      <c r="I286" s="531"/>
      <c r="J286" s="532"/>
      <c r="K286" s="514"/>
      <c r="L286" s="535"/>
      <c r="M286" s="538"/>
      <c r="N286" s="543"/>
      <c r="O286" s="544"/>
      <c r="P286" s="485"/>
      <c r="Q286" s="486"/>
      <c r="R286" s="519"/>
      <c r="S286" s="520"/>
      <c r="T286" s="489"/>
      <c r="U286" s="490"/>
      <c r="V286" s="493"/>
      <c r="W286" s="485"/>
      <c r="X286" s="496"/>
      <c r="Y286" s="486"/>
      <c r="Z286" s="499"/>
      <c r="AA286" s="504"/>
      <c r="AB286" s="505"/>
      <c r="AC286" s="476" t="s">
        <v>261</v>
      </c>
      <c r="AD286" s="477"/>
      <c r="AE286" s="478"/>
      <c r="AF286" s="102"/>
      <c r="AG286" s="102"/>
      <c r="AH286" s="102"/>
      <c r="AI286" s="102"/>
      <c r="AJ286" s="102"/>
      <c r="AK286" s="102"/>
      <c r="AL286" s="102"/>
      <c r="AM286" s="102"/>
      <c r="AN286" s="102"/>
      <c r="AO286" s="102"/>
      <c r="AP286" s="102"/>
      <c r="AQ286" s="103"/>
      <c r="AR286" s="105">
        <f t="shared" si="539"/>
        <v>0</v>
      </c>
      <c r="AS286" s="131" t="s">
        <v>161</v>
      </c>
      <c r="AT286" s="132">
        <f t="shared" ref="AT286:AX286" si="540">SUM(AT283:AT285)</f>
        <v>0</v>
      </c>
      <c r="AU286" s="132">
        <f t="shared" si="540"/>
        <v>0</v>
      </c>
      <c r="AV286" s="132">
        <f t="shared" si="540"/>
        <v>0</v>
      </c>
      <c r="AW286" s="133">
        <f t="shared" si="540"/>
        <v>0</v>
      </c>
      <c r="AX286" s="127">
        <f t="shared" si="540"/>
        <v>0</v>
      </c>
      <c r="AY286" s="144" t="s">
        <v>161</v>
      </c>
      <c r="AZ286" s="140">
        <f t="shared" ref="AZ286:BB286" si="541">SUM(AZ283:AZ285)</f>
        <v>0</v>
      </c>
      <c r="BA286" s="140">
        <f t="shared" si="541"/>
        <v>0</v>
      </c>
      <c r="BB286" s="140">
        <f t="shared" si="541"/>
        <v>0</v>
      </c>
      <c r="BC286" s="479" t="s">
        <v>263</v>
      </c>
      <c r="BD286" s="480"/>
      <c r="BE286" s="15"/>
      <c r="BF286" s="18"/>
      <c r="BG286" s="15"/>
      <c r="BH286" s="18"/>
      <c r="BI286" s="15"/>
      <c r="BJ286" s="18"/>
      <c r="BK286" s="15"/>
      <c r="BL286" s="18"/>
      <c r="BM286" s="15"/>
      <c r="BN286" s="18"/>
      <c r="BO286" s="15"/>
      <c r="BP286" s="18"/>
      <c r="BQ286" s="109">
        <f t="shared" si="520"/>
        <v>0</v>
      </c>
      <c r="BR286" s="568"/>
      <c r="BS286" s="573"/>
      <c r="BT286" s="574"/>
      <c r="BU286" s="559"/>
      <c r="BV286" s="562"/>
      <c r="BW286" s="565"/>
      <c r="BX286" s="617"/>
    </row>
    <row r="287" spans="1:76" ht="15.75" thickTop="1" x14ac:dyDescent="0.25">
      <c r="A287" s="585">
        <v>70</v>
      </c>
      <c r="B287" s="588"/>
      <c r="C287" s="589"/>
      <c r="D287" s="604"/>
      <c r="E287" s="515"/>
      <c r="F287" s="516"/>
      <c r="G287" s="521"/>
      <c r="H287" s="522"/>
      <c r="I287" s="527"/>
      <c r="J287" s="528"/>
      <c r="K287" s="512"/>
      <c r="L287" s="533"/>
      <c r="M287" s="536"/>
      <c r="N287" s="539"/>
      <c r="O287" s="540"/>
      <c r="P287" s="481"/>
      <c r="Q287" s="482"/>
      <c r="R287" s="515"/>
      <c r="S287" s="516"/>
      <c r="T287" s="487"/>
      <c r="U287" s="488"/>
      <c r="V287" s="491"/>
      <c r="W287" s="481"/>
      <c r="X287" s="494"/>
      <c r="Y287" s="482"/>
      <c r="Z287" s="497"/>
      <c r="AA287" s="500" t="s">
        <v>311</v>
      </c>
      <c r="AB287" s="501"/>
      <c r="AC287" s="506" t="s">
        <v>257</v>
      </c>
      <c r="AD287" s="507"/>
      <c r="AE287" s="507"/>
      <c r="AF287" s="510"/>
      <c r="AG287" s="510"/>
      <c r="AH287" s="510"/>
      <c r="AI287" s="510"/>
      <c r="AJ287" s="510"/>
      <c r="AK287" s="510"/>
      <c r="AL287" s="510"/>
      <c r="AM287" s="510"/>
      <c r="AN287" s="510"/>
      <c r="AO287" s="510"/>
      <c r="AP287" s="510"/>
      <c r="AQ287" s="465"/>
      <c r="AR287" s="467">
        <f t="shared" ref="AR287" si="542">SUM(AF287:AQ288)</f>
        <v>0</v>
      </c>
      <c r="AS287" s="119" t="s">
        <v>257</v>
      </c>
      <c r="AT287" s="120"/>
      <c r="AU287" s="120"/>
      <c r="AV287" s="120"/>
      <c r="AW287" s="121"/>
      <c r="AX287" s="125">
        <f t="shared" ref="AX287:AX289" si="543">SUM(AT287:AW287)</f>
        <v>0</v>
      </c>
      <c r="AY287" s="141" t="s">
        <v>257</v>
      </c>
      <c r="AZ287" s="137"/>
      <c r="BA287" s="137"/>
      <c r="BB287" s="134">
        <f t="shared" ref="BB287:BB289" si="544">AZ287-BA287</f>
        <v>0</v>
      </c>
      <c r="BC287" s="469" t="s">
        <v>258</v>
      </c>
      <c r="BD287" s="470"/>
      <c r="BE287" s="13"/>
      <c r="BF287" s="16"/>
      <c r="BG287" s="13"/>
      <c r="BH287" s="16"/>
      <c r="BI287" s="13"/>
      <c r="BJ287" s="16"/>
      <c r="BK287" s="13"/>
      <c r="BL287" s="16"/>
      <c r="BM287" s="13"/>
      <c r="BN287" s="16"/>
      <c r="BO287" s="13"/>
      <c r="BP287" s="16"/>
      <c r="BQ287" s="106">
        <f t="shared" si="520"/>
        <v>0</v>
      </c>
      <c r="BR287" s="566"/>
      <c r="BS287" s="569"/>
      <c r="BT287" s="570"/>
      <c r="BU287" s="557"/>
      <c r="BV287" s="560"/>
      <c r="BW287" s="563"/>
      <c r="BX287" s="615"/>
    </row>
    <row r="288" spans="1:76" x14ac:dyDescent="0.25">
      <c r="A288" s="586"/>
      <c r="B288" s="590"/>
      <c r="C288" s="591"/>
      <c r="D288" s="605"/>
      <c r="E288" s="517"/>
      <c r="F288" s="518"/>
      <c r="G288" s="523"/>
      <c r="H288" s="524"/>
      <c r="I288" s="529"/>
      <c r="J288" s="530"/>
      <c r="K288" s="513"/>
      <c r="L288" s="534"/>
      <c r="M288" s="537"/>
      <c r="N288" s="541"/>
      <c r="O288" s="542"/>
      <c r="P288" s="483"/>
      <c r="Q288" s="484"/>
      <c r="R288" s="517"/>
      <c r="S288" s="518"/>
      <c r="T288" s="487"/>
      <c r="U288" s="488"/>
      <c r="V288" s="492"/>
      <c r="W288" s="483"/>
      <c r="X288" s="495"/>
      <c r="Y288" s="484"/>
      <c r="Z288" s="498"/>
      <c r="AA288" s="502"/>
      <c r="AB288" s="503"/>
      <c r="AC288" s="508"/>
      <c r="AD288" s="509"/>
      <c r="AE288" s="509"/>
      <c r="AF288" s="511"/>
      <c r="AG288" s="511"/>
      <c r="AH288" s="511"/>
      <c r="AI288" s="511"/>
      <c r="AJ288" s="511"/>
      <c r="AK288" s="511"/>
      <c r="AL288" s="511"/>
      <c r="AM288" s="511"/>
      <c r="AN288" s="511"/>
      <c r="AO288" s="511"/>
      <c r="AP288" s="511"/>
      <c r="AQ288" s="466"/>
      <c r="AR288" s="468"/>
      <c r="AS288" s="122" t="s">
        <v>259</v>
      </c>
      <c r="AT288" s="123"/>
      <c r="AU288" s="123"/>
      <c r="AV288" s="123"/>
      <c r="AW288" s="124"/>
      <c r="AX288" s="126">
        <f t="shared" si="543"/>
        <v>0</v>
      </c>
      <c r="AY288" s="142" t="s">
        <v>259</v>
      </c>
      <c r="AZ288" s="138"/>
      <c r="BA288" s="138"/>
      <c r="BB288" s="135">
        <f t="shared" si="544"/>
        <v>0</v>
      </c>
      <c r="BC288" s="474" t="s">
        <v>260</v>
      </c>
      <c r="BD288" s="475"/>
      <c r="BE288" s="14"/>
      <c r="BF288" s="17"/>
      <c r="BG288" s="14"/>
      <c r="BH288" s="17"/>
      <c r="BI288" s="14"/>
      <c r="BJ288" s="17"/>
      <c r="BK288" s="14"/>
      <c r="BL288" s="17"/>
      <c r="BM288" s="14"/>
      <c r="BN288" s="17"/>
      <c r="BO288" s="14"/>
      <c r="BP288" s="17"/>
      <c r="BQ288" s="107">
        <f t="shared" si="520"/>
        <v>0</v>
      </c>
      <c r="BR288" s="567"/>
      <c r="BS288" s="571"/>
      <c r="BT288" s="572"/>
      <c r="BU288" s="558"/>
      <c r="BV288" s="561"/>
      <c r="BW288" s="564"/>
      <c r="BX288" s="616"/>
    </row>
    <row r="289" spans="1:76" ht="15.75" thickBot="1" x14ac:dyDescent="0.3">
      <c r="A289" s="586"/>
      <c r="B289" s="590"/>
      <c r="C289" s="591"/>
      <c r="D289" s="605"/>
      <c r="E289" s="517"/>
      <c r="F289" s="518"/>
      <c r="G289" s="523"/>
      <c r="H289" s="524"/>
      <c r="I289" s="529"/>
      <c r="J289" s="530"/>
      <c r="K289" s="513"/>
      <c r="L289" s="534"/>
      <c r="M289" s="537"/>
      <c r="N289" s="541"/>
      <c r="O289" s="542"/>
      <c r="P289" s="483"/>
      <c r="Q289" s="484"/>
      <c r="R289" s="517"/>
      <c r="S289" s="518"/>
      <c r="T289" s="487"/>
      <c r="U289" s="488"/>
      <c r="V289" s="492"/>
      <c r="W289" s="483"/>
      <c r="X289" s="495"/>
      <c r="Y289" s="484"/>
      <c r="Z289" s="498"/>
      <c r="AA289" s="502"/>
      <c r="AB289" s="503"/>
      <c r="AC289" s="471" t="s">
        <v>259</v>
      </c>
      <c r="AD289" s="472"/>
      <c r="AE289" s="473"/>
      <c r="AF289" s="100"/>
      <c r="AG289" s="100"/>
      <c r="AH289" s="100"/>
      <c r="AI289" s="100"/>
      <c r="AJ289" s="100"/>
      <c r="AK289" s="100"/>
      <c r="AL289" s="100"/>
      <c r="AM289" s="100"/>
      <c r="AN289" s="100"/>
      <c r="AO289" s="100"/>
      <c r="AP289" s="100"/>
      <c r="AQ289" s="101"/>
      <c r="AR289" s="104">
        <f t="shared" ref="AR289:AR290" si="545">SUM(AF289:AQ289)</f>
        <v>0</v>
      </c>
      <c r="AS289" s="128" t="s">
        <v>261</v>
      </c>
      <c r="AT289" s="129"/>
      <c r="AU289" s="129"/>
      <c r="AV289" s="129"/>
      <c r="AW289" s="130"/>
      <c r="AX289" s="126">
        <f t="shared" si="543"/>
        <v>0</v>
      </c>
      <c r="AY289" s="143" t="s">
        <v>261</v>
      </c>
      <c r="AZ289" s="139"/>
      <c r="BA289" s="139"/>
      <c r="BB289" s="136">
        <f t="shared" si="544"/>
        <v>0</v>
      </c>
      <c r="BC289" s="474" t="s">
        <v>262</v>
      </c>
      <c r="BD289" s="475"/>
      <c r="BE289" s="14"/>
      <c r="BF289" s="17"/>
      <c r="BG289" s="14"/>
      <c r="BH289" s="17"/>
      <c r="BI289" s="14"/>
      <c r="BJ289" s="17"/>
      <c r="BK289" s="14"/>
      <c r="BL289" s="17"/>
      <c r="BM289" s="14"/>
      <c r="BN289" s="17"/>
      <c r="BO289" s="14"/>
      <c r="BP289" s="17"/>
      <c r="BQ289" s="108">
        <f t="shared" si="520"/>
        <v>0</v>
      </c>
      <c r="BR289" s="567"/>
      <c r="BS289" s="571"/>
      <c r="BT289" s="572"/>
      <c r="BU289" s="558"/>
      <c r="BV289" s="561"/>
      <c r="BW289" s="564"/>
      <c r="BX289" s="616"/>
    </row>
    <row r="290" spans="1:76" ht="15.75" thickBot="1" x14ac:dyDescent="0.3">
      <c r="A290" s="587"/>
      <c r="B290" s="592"/>
      <c r="C290" s="593"/>
      <c r="D290" s="606"/>
      <c r="E290" s="519"/>
      <c r="F290" s="520"/>
      <c r="G290" s="525"/>
      <c r="H290" s="526"/>
      <c r="I290" s="531"/>
      <c r="J290" s="532"/>
      <c r="K290" s="514"/>
      <c r="L290" s="535"/>
      <c r="M290" s="538"/>
      <c r="N290" s="543"/>
      <c r="O290" s="544"/>
      <c r="P290" s="485"/>
      <c r="Q290" s="486"/>
      <c r="R290" s="519"/>
      <c r="S290" s="520"/>
      <c r="T290" s="489"/>
      <c r="U290" s="490"/>
      <c r="V290" s="493"/>
      <c r="W290" s="485"/>
      <c r="X290" s="496"/>
      <c r="Y290" s="486"/>
      <c r="Z290" s="499"/>
      <c r="AA290" s="504"/>
      <c r="AB290" s="505"/>
      <c r="AC290" s="476" t="s">
        <v>261</v>
      </c>
      <c r="AD290" s="477"/>
      <c r="AE290" s="478"/>
      <c r="AF290" s="102"/>
      <c r="AG290" s="102"/>
      <c r="AH290" s="102"/>
      <c r="AI290" s="102"/>
      <c r="AJ290" s="102"/>
      <c r="AK290" s="102"/>
      <c r="AL290" s="102"/>
      <c r="AM290" s="102"/>
      <c r="AN290" s="102"/>
      <c r="AO290" s="102"/>
      <c r="AP290" s="102"/>
      <c r="AQ290" s="103"/>
      <c r="AR290" s="105">
        <f t="shared" si="545"/>
        <v>0</v>
      </c>
      <c r="AS290" s="131" t="s">
        <v>161</v>
      </c>
      <c r="AT290" s="132">
        <f t="shared" ref="AT290:AX290" si="546">SUM(AT287:AT289)</f>
        <v>0</v>
      </c>
      <c r="AU290" s="132">
        <f t="shared" si="546"/>
        <v>0</v>
      </c>
      <c r="AV290" s="132">
        <f t="shared" si="546"/>
        <v>0</v>
      </c>
      <c r="AW290" s="133">
        <f t="shared" si="546"/>
        <v>0</v>
      </c>
      <c r="AX290" s="127">
        <f t="shared" si="546"/>
        <v>0</v>
      </c>
      <c r="AY290" s="144" t="s">
        <v>161</v>
      </c>
      <c r="AZ290" s="140">
        <f t="shared" ref="AZ290:BB290" si="547">SUM(AZ287:AZ289)</f>
        <v>0</v>
      </c>
      <c r="BA290" s="140">
        <f t="shared" si="547"/>
        <v>0</v>
      </c>
      <c r="BB290" s="140">
        <f t="shared" si="547"/>
        <v>0</v>
      </c>
      <c r="BC290" s="479" t="s">
        <v>263</v>
      </c>
      <c r="BD290" s="480"/>
      <c r="BE290" s="15"/>
      <c r="BF290" s="18"/>
      <c r="BG290" s="15"/>
      <c r="BH290" s="18"/>
      <c r="BI290" s="15"/>
      <c r="BJ290" s="18"/>
      <c r="BK290" s="15"/>
      <c r="BL290" s="18"/>
      <c r="BM290" s="15"/>
      <c r="BN290" s="18"/>
      <c r="BO290" s="15"/>
      <c r="BP290" s="18"/>
      <c r="BQ290" s="109">
        <f t="shared" si="520"/>
        <v>0</v>
      </c>
      <c r="BR290" s="568"/>
      <c r="BS290" s="573"/>
      <c r="BT290" s="574"/>
      <c r="BU290" s="559"/>
      <c r="BV290" s="562"/>
      <c r="BW290" s="565"/>
      <c r="BX290" s="617"/>
    </row>
    <row r="291" spans="1:76" ht="15.75" thickTop="1" x14ac:dyDescent="0.25">
      <c r="A291" s="585">
        <v>71</v>
      </c>
      <c r="B291" s="588"/>
      <c r="C291" s="589"/>
      <c r="D291" s="604"/>
      <c r="E291" s="515"/>
      <c r="F291" s="516"/>
      <c r="G291" s="521"/>
      <c r="H291" s="522"/>
      <c r="I291" s="527"/>
      <c r="J291" s="528"/>
      <c r="K291" s="512"/>
      <c r="L291" s="533"/>
      <c r="M291" s="536"/>
      <c r="N291" s="539"/>
      <c r="O291" s="540"/>
      <c r="P291" s="481"/>
      <c r="Q291" s="482"/>
      <c r="R291" s="515"/>
      <c r="S291" s="516"/>
      <c r="T291" s="487"/>
      <c r="U291" s="488"/>
      <c r="V291" s="491"/>
      <c r="W291" s="481"/>
      <c r="X291" s="494"/>
      <c r="Y291" s="482"/>
      <c r="Z291" s="497"/>
      <c r="AA291" s="500" t="s">
        <v>312</v>
      </c>
      <c r="AB291" s="501"/>
      <c r="AC291" s="506" t="s">
        <v>257</v>
      </c>
      <c r="AD291" s="507"/>
      <c r="AE291" s="507"/>
      <c r="AF291" s="510"/>
      <c r="AG291" s="510"/>
      <c r="AH291" s="510"/>
      <c r="AI291" s="510"/>
      <c r="AJ291" s="510"/>
      <c r="AK291" s="510"/>
      <c r="AL291" s="510"/>
      <c r="AM291" s="510"/>
      <c r="AN291" s="510"/>
      <c r="AO291" s="510"/>
      <c r="AP291" s="510"/>
      <c r="AQ291" s="465"/>
      <c r="AR291" s="467">
        <f t="shared" ref="AR291" si="548">SUM(AF291:AQ292)</f>
        <v>0</v>
      </c>
      <c r="AS291" s="119" t="s">
        <v>257</v>
      </c>
      <c r="AT291" s="120"/>
      <c r="AU291" s="120"/>
      <c r="AV291" s="120"/>
      <c r="AW291" s="121"/>
      <c r="AX291" s="125">
        <f t="shared" ref="AX291:AX293" si="549">SUM(AT291:AW291)</f>
        <v>0</v>
      </c>
      <c r="AY291" s="141" t="s">
        <v>257</v>
      </c>
      <c r="AZ291" s="137"/>
      <c r="BA291" s="137"/>
      <c r="BB291" s="134">
        <f t="shared" ref="BB291:BB293" si="550">AZ291-BA291</f>
        <v>0</v>
      </c>
      <c r="BC291" s="469" t="s">
        <v>258</v>
      </c>
      <c r="BD291" s="470"/>
      <c r="BE291" s="13"/>
      <c r="BF291" s="16"/>
      <c r="BG291" s="13"/>
      <c r="BH291" s="16"/>
      <c r="BI291" s="13"/>
      <c r="BJ291" s="16"/>
      <c r="BK291" s="13"/>
      <c r="BL291" s="16"/>
      <c r="BM291" s="13"/>
      <c r="BN291" s="16"/>
      <c r="BO291" s="13"/>
      <c r="BP291" s="16"/>
      <c r="BQ291" s="106">
        <f t="shared" si="520"/>
        <v>0</v>
      </c>
      <c r="BR291" s="566"/>
      <c r="BS291" s="569"/>
      <c r="BT291" s="570"/>
      <c r="BU291" s="557"/>
      <c r="BV291" s="560"/>
      <c r="BW291" s="563"/>
      <c r="BX291" s="615"/>
    </row>
    <row r="292" spans="1:76" x14ac:dyDescent="0.25">
      <c r="A292" s="586"/>
      <c r="B292" s="590"/>
      <c r="C292" s="591"/>
      <c r="D292" s="605"/>
      <c r="E292" s="517"/>
      <c r="F292" s="518"/>
      <c r="G292" s="523"/>
      <c r="H292" s="524"/>
      <c r="I292" s="529"/>
      <c r="J292" s="530"/>
      <c r="K292" s="513"/>
      <c r="L292" s="534"/>
      <c r="M292" s="537"/>
      <c r="N292" s="541"/>
      <c r="O292" s="542"/>
      <c r="P292" s="483"/>
      <c r="Q292" s="484"/>
      <c r="R292" s="517"/>
      <c r="S292" s="518"/>
      <c r="T292" s="487"/>
      <c r="U292" s="488"/>
      <c r="V292" s="492"/>
      <c r="W292" s="483"/>
      <c r="X292" s="495"/>
      <c r="Y292" s="484"/>
      <c r="Z292" s="498"/>
      <c r="AA292" s="502"/>
      <c r="AB292" s="503"/>
      <c r="AC292" s="508"/>
      <c r="AD292" s="509"/>
      <c r="AE292" s="509"/>
      <c r="AF292" s="511"/>
      <c r="AG292" s="511"/>
      <c r="AH292" s="511"/>
      <c r="AI292" s="511"/>
      <c r="AJ292" s="511"/>
      <c r="AK292" s="511"/>
      <c r="AL292" s="511"/>
      <c r="AM292" s="511"/>
      <c r="AN292" s="511"/>
      <c r="AO292" s="511"/>
      <c r="AP292" s="511"/>
      <c r="AQ292" s="466"/>
      <c r="AR292" s="468"/>
      <c r="AS292" s="122" t="s">
        <v>259</v>
      </c>
      <c r="AT292" s="123"/>
      <c r="AU292" s="123"/>
      <c r="AV292" s="123"/>
      <c r="AW292" s="124"/>
      <c r="AX292" s="126">
        <f t="shared" si="549"/>
        <v>0</v>
      </c>
      <c r="AY292" s="142" t="s">
        <v>259</v>
      </c>
      <c r="AZ292" s="138"/>
      <c r="BA292" s="138"/>
      <c r="BB292" s="135">
        <f t="shared" si="550"/>
        <v>0</v>
      </c>
      <c r="BC292" s="474" t="s">
        <v>260</v>
      </c>
      <c r="BD292" s="475"/>
      <c r="BE292" s="14"/>
      <c r="BF292" s="17"/>
      <c r="BG292" s="14"/>
      <c r="BH292" s="17"/>
      <c r="BI292" s="14"/>
      <c r="BJ292" s="17"/>
      <c r="BK292" s="14"/>
      <c r="BL292" s="17"/>
      <c r="BM292" s="14"/>
      <c r="BN292" s="17"/>
      <c r="BO292" s="14"/>
      <c r="BP292" s="17"/>
      <c r="BQ292" s="107">
        <f t="shared" si="520"/>
        <v>0</v>
      </c>
      <c r="BR292" s="567"/>
      <c r="BS292" s="571"/>
      <c r="BT292" s="572"/>
      <c r="BU292" s="558"/>
      <c r="BV292" s="561"/>
      <c r="BW292" s="564"/>
      <c r="BX292" s="616"/>
    </row>
    <row r="293" spans="1:76" ht="15.75" thickBot="1" x14ac:dyDescent="0.3">
      <c r="A293" s="586"/>
      <c r="B293" s="590"/>
      <c r="C293" s="591"/>
      <c r="D293" s="605"/>
      <c r="E293" s="517"/>
      <c r="F293" s="518"/>
      <c r="G293" s="523"/>
      <c r="H293" s="524"/>
      <c r="I293" s="529"/>
      <c r="J293" s="530"/>
      <c r="K293" s="513"/>
      <c r="L293" s="534"/>
      <c r="M293" s="537"/>
      <c r="N293" s="541"/>
      <c r="O293" s="542"/>
      <c r="P293" s="483"/>
      <c r="Q293" s="484"/>
      <c r="R293" s="517"/>
      <c r="S293" s="518"/>
      <c r="T293" s="487"/>
      <c r="U293" s="488"/>
      <c r="V293" s="492"/>
      <c r="W293" s="483"/>
      <c r="X293" s="495"/>
      <c r="Y293" s="484"/>
      <c r="Z293" s="498"/>
      <c r="AA293" s="502"/>
      <c r="AB293" s="503"/>
      <c r="AC293" s="471" t="s">
        <v>259</v>
      </c>
      <c r="AD293" s="472"/>
      <c r="AE293" s="473"/>
      <c r="AF293" s="100"/>
      <c r="AG293" s="100"/>
      <c r="AH293" s="100"/>
      <c r="AI293" s="100"/>
      <c r="AJ293" s="100"/>
      <c r="AK293" s="100"/>
      <c r="AL293" s="100"/>
      <c r="AM293" s="100"/>
      <c r="AN293" s="100"/>
      <c r="AO293" s="100"/>
      <c r="AP293" s="100"/>
      <c r="AQ293" s="101"/>
      <c r="AR293" s="104">
        <f t="shared" ref="AR293:AR294" si="551">SUM(AF293:AQ293)</f>
        <v>0</v>
      </c>
      <c r="AS293" s="128" t="s">
        <v>261</v>
      </c>
      <c r="AT293" s="129"/>
      <c r="AU293" s="129"/>
      <c r="AV293" s="129"/>
      <c r="AW293" s="130"/>
      <c r="AX293" s="126">
        <f t="shared" si="549"/>
        <v>0</v>
      </c>
      <c r="AY293" s="143" t="s">
        <v>261</v>
      </c>
      <c r="AZ293" s="139"/>
      <c r="BA293" s="139"/>
      <c r="BB293" s="136">
        <f t="shared" si="550"/>
        <v>0</v>
      </c>
      <c r="BC293" s="474" t="s">
        <v>262</v>
      </c>
      <c r="BD293" s="475"/>
      <c r="BE293" s="14"/>
      <c r="BF293" s="17"/>
      <c r="BG293" s="14"/>
      <c r="BH293" s="17"/>
      <c r="BI293" s="14"/>
      <c r="BJ293" s="17"/>
      <c r="BK293" s="14"/>
      <c r="BL293" s="17"/>
      <c r="BM293" s="14"/>
      <c r="BN293" s="17"/>
      <c r="BO293" s="14"/>
      <c r="BP293" s="17"/>
      <c r="BQ293" s="108">
        <f t="shared" si="520"/>
        <v>0</v>
      </c>
      <c r="BR293" s="567"/>
      <c r="BS293" s="571"/>
      <c r="BT293" s="572"/>
      <c r="BU293" s="558"/>
      <c r="BV293" s="561"/>
      <c r="BW293" s="564"/>
      <c r="BX293" s="616"/>
    </row>
    <row r="294" spans="1:76" ht="15.75" thickBot="1" x14ac:dyDescent="0.3">
      <c r="A294" s="587"/>
      <c r="B294" s="592"/>
      <c r="C294" s="593"/>
      <c r="D294" s="606"/>
      <c r="E294" s="519"/>
      <c r="F294" s="520"/>
      <c r="G294" s="525"/>
      <c r="H294" s="526"/>
      <c r="I294" s="531"/>
      <c r="J294" s="532"/>
      <c r="K294" s="514"/>
      <c r="L294" s="535"/>
      <c r="M294" s="538"/>
      <c r="N294" s="543"/>
      <c r="O294" s="544"/>
      <c r="P294" s="485"/>
      <c r="Q294" s="486"/>
      <c r="R294" s="519"/>
      <c r="S294" s="520"/>
      <c r="T294" s="489"/>
      <c r="U294" s="490"/>
      <c r="V294" s="493"/>
      <c r="W294" s="485"/>
      <c r="X294" s="496"/>
      <c r="Y294" s="486"/>
      <c r="Z294" s="499"/>
      <c r="AA294" s="504"/>
      <c r="AB294" s="505"/>
      <c r="AC294" s="476" t="s">
        <v>261</v>
      </c>
      <c r="AD294" s="477"/>
      <c r="AE294" s="478"/>
      <c r="AF294" s="102"/>
      <c r="AG294" s="102"/>
      <c r="AH294" s="102"/>
      <c r="AI294" s="102"/>
      <c r="AJ294" s="102"/>
      <c r="AK294" s="102"/>
      <c r="AL294" s="102"/>
      <c r="AM294" s="102"/>
      <c r="AN294" s="102"/>
      <c r="AO294" s="102"/>
      <c r="AP294" s="102"/>
      <c r="AQ294" s="103"/>
      <c r="AR294" s="105">
        <f t="shared" si="551"/>
        <v>0</v>
      </c>
      <c r="AS294" s="131" t="s">
        <v>161</v>
      </c>
      <c r="AT294" s="132">
        <f t="shared" ref="AT294:AX294" si="552">SUM(AT291:AT293)</f>
        <v>0</v>
      </c>
      <c r="AU294" s="132">
        <f t="shared" si="552"/>
        <v>0</v>
      </c>
      <c r="AV294" s="132">
        <f t="shared" si="552"/>
        <v>0</v>
      </c>
      <c r="AW294" s="133">
        <f t="shared" si="552"/>
        <v>0</v>
      </c>
      <c r="AX294" s="127">
        <f t="shared" si="552"/>
        <v>0</v>
      </c>
      <c r="AY294" s="144" t="s">
        <v>161</v>
      </c>
      <c r="AZ294" s="140">
        <f t="shared" ref="AZ294:BB294" si="553">SUM(AZ291:AZ293)</f>
        <v>0</v>
      </c>
      <c r="BA294" s="140">
        <f t="shared" si="553"/>
        <v>0</v>
      </c>
      <c r="BB294" s="140">
        <f t="shared" si="553"/>
        <v>0</v>
      </c>
      <c r="BC294" s="479" t="s">
        <v>263</v>
      </c>
      <c r="BD294" s="480"/>
      <c r="BE294" s="15"/>
      <c r="BF294" s="18"/>
      <c r="BG294" s="15"/>
      <c r="BH294" s="18"/>
      <c r="BI294" s="15"/>
      <c r="BJ294" s="18"/>
      <c r="BK294" s="15"/>
      <c r="BL294" s="18"/>
      <c r="BM294" s="15"/>
      <c r="BN294" s="18"/>
      <c r="BO294" s="15"/>
      <c r="BP294" s="18"/>
      <c r="BQ294" s="109">
        <f t="shared" si="520"/>
        <v>0</v>
      </c>
      <c r="BR294" s="568"/>
      <c r="BS294" s="573"/>
      <c r="BT294" s="574"/>
      <c r="BU294" s="559"/>
      <c r="BV294" s="562"/>
      <c r="BW294" s="565"/>
      <c r="BX294" s="617"/>
    </row>
    <row r="295" spans="1:76" ht="15.75" thickTop="1" x14ac:dyDescent="0.25">
      <c r="A295" s="585">
        <v>72</v>
      </c>
      <c r="B295" s="588"/>
      <c r="C295" s="589"/>
      <c r="D295" s="604"/>
      <c r="E295" s="515"/>
      <c r="F295" s="516"/>
      <c r="G295" s="521"/>
      <c r="H295" s="522"/>
      <c r="I295" s="527"/>
      <c r="J295" s="528"/>
      <c r="K295" s="512"/>
      <c r="L295" s="533"/>
      <c r="M295" s="536"/>
      <c r="N295" s="539"/>
      <c r="O295" s="540"/>
      <c r="P295" s="481"/>
      <c r="Q295" s="482"/>
      <c r="R295" s="515"/>
      <c r="S295" s="516"/>
      <c r="T295" s="487"/>
      <c r="U295" s="488"/>
      <c r="V295" s="491"/>
      <c r="W295" s="481"/>
      <c r="X295" s="494"/>
      <c r="Y295" s="482"/>
      <c r="Z295" s="497"/>
      <c r="AA295" s="500" t="s">
        <v>313</v>
      </c>
      <c r="AB295" s="501"/>
      <c r="AC295" s="506" t="s">
        <v>257</v>
      </c>
      <c r="AD295" s="507"/>
      <c r="AE295" s="507"/>
      <c r="AF295" s="510"/>
      <c r="AG295" s="510"/>
      <c r="AH295" s="510"/>
      <c r="AI295" s="510"/>
      <c r="AJ295" s="510"/>
      <c r="AK295" s="510"/>
      <c r="AL295" s="510"/>
      <c r="AM295" s="510"/>
      <c r="AN295" s="510"/>
      <c r="AO295" s="510"/>
      <c r="AP295" s="510"/>
      <c r="AQ295" s="465"/>
      <c r="AR295" s="467">
        <f t="shared" ref="AR295" si="554">SUM(AF295:AQ296)</f>
        <v>0</v>
      </c>
      <c r="AS295" s="119" t="s">
        <v>257</v>
      </c>
      <c r="AT295" s="120"/>
      <c r="AU295" s="120"/>
      <c r="AV295" s="120"/>
      <c r="AW295" s="121"/>
      <c r="AX295" s="125">
        <f t="shared" ref="AX295:AX297" si="555">SUM(AT295:AW295)</f>
        <v>0</v>
      </c>
      <c r="AY295" s="141" t="s">
        <v>257</v>
      </c>
      <c r="AZ295" s="137"/>
      <c r="BA295" s="137"/>
      <c r="BB295" s="134">
        <f t="shared" ref="BB295:BB297" si="556">AZ295-BA295</f>
        <v>0</v>
      </c>
      <c r="BC295" s="469" t="s">
        <v>258</v>
      </c>
      <c r="BD295" s="470"/>
      <c r="BE295" s="13"/>
      <c r="BF295" s="16"/>
      <c r="BG295" s="13"/>
      <c r="BH295" s="16"/>
      <c r="BI295" s="13"/>
      <c r="BJ295" s="16"/>
      <c r="BK295" s="13"/>
      <c r="BL295" s="16"/>
      <c r="BM295" s="13"/>
      <c r="BN295" s="16"/>
      <c r="BO295" s="13"/>
      <c r="BP295" s="16"/>
      <c r="BQ295" s="106">
        <f t="shared" si="520"/>
        <v>0</v>
      </c>
      <c r="BR295" s="566"/>
      <c r="BS295" s="569"/>
      <c r="BT295" s="570"/>
      <c r="BU295" s="557"/>
      <c r="BV295" s="560"/>
      <c r="BW295" s="563"/>
      <c r="BX295" s="615"/>
    </row>
    <row r="296" spans="1:76" x14ac:dyDescent="0.25">
      <c r="A296" s="586"/>
      <c r="B296" s="590"/>
      <c r="C296" s="591"/>
      <c r="D296" s="605"/>
      <c r="E296" s="517"/>
      <c r="F296" s="518"/>
      <c r="G296" s="523"/>
      <c r="H296" s="524"/>
      <c r="I296" s="529"/>
      <c r="J296" s="530"/>
      <c r="K296" s="513"/>
      <c r="L296" s="534"/>
      <c r="M296" s="537"/>
      <c r="N296" s="541"/>
      <c r="O296" s="542"/>
      <c r="P296" s="483"/>
      <c r="Q296" s="484"/>
      <c r="R296" s="517"/>
      <c r="S296" s="518"/>
      <c r="T296" s="487"/>
      <c r="U296" s="488"/>
      <c r="V296" s="492"/>
      <c r="W296" s="483"/>
      <c r="X296" s="495"/>
      <c r="Y296" s="484"/>
      <c r="Z296" s="498"/>
      <c r="AA296" s="502"/>
      <c r="AB296" s="503"/>
      <c r="AC296" s="508"/>
      <c r="AD296" s="509"/>
      <c r="AE296" s="509"/>
      <c r="AF296" s="511"/>
      <c r="AG296" s="511"/>
      <c r="AH296" s="511"/>
      <c r="AI296" s="511"/>
      <c r="AJ296" s="511"/>
      <c r="AK296" s="511"/>
      <c r="AL296" s="511"/>
      <c r="AM296" s="511"/>
      <c r="AN296" s="511"/>
      <c r="AO296" s="511"/>
      <c r="AP296" s="511"/>
      <c r="AQ296" s="466"/>
      <c r="AR296" s="468"/>
      <c r="AS296" s="122" t="s">
        <v>259</v>
      </c>
      <c r="AT296" s="123"/>
      <c r="AU296" s="123"/>
      <c r="AV296" s="123"/>
      <c r="AW296" s="124"/>
      <c r="AX296" s="126">
        <f t="shared" si="555"/>
        <v>0</v>
      </c>
      <c r="AY296" s="142" t="s">
        <v>259</v>
      </c>
      <c r="AZ296" s="138"/>
      <c r="BA296" s="138"/>
      <c r="BB296" s="135">
        <f t="shared" si="556"/>
        <v>0</v>
      </c>
      <c r="BC296" s="474" t="s">
        <v>260</v>
      </c>
      <c r="BD296" s="475"/>
      <c r="BE296" s="14"/>
      <c r="BF296" s="17"/>
      <c r="BG296" s="14"/>
      <c r="BH296" s="17"/>
      <c r="BI296" s="14"/>
      <c r="BJ296" s="17"/>
      <c r="BK296" s="14"/>
      <c r="BL296" s="17"/>
      <c r="BM296" s="14"/>
      <c r="BN296" s="17"/>
      <c r="BO296" s="14"/>
      <c r="BP296" s="17"/>
      <c r="BQ296" s="107">
        <f t="shared" si="520"/>
        <v>0</v>
      </c>
      <c r="BR296" s="567"/>
      <c r="BS296" s="571"/>
      <c r="BT296" s="572"/>
      <c r="BU296" s="558"/>
      <c r="BV296" s="561"/>
      <c r="BW296" s="564"/>
      <c r="BX296" s="616"/>
    </row>
    <row r="297" spans="1:76" ht="15.75" thickBot="1" x14ac:dyDescent="0.3">
      <c r="A297" s="586"/>
      <c r="B297" s="590"/>
      <c r="C297" s="591"/>
      <c r="D297" s="605"/>
      <c r="E297" s="517"/>
      <c r="F297" s="518"/>
      <c r="G297" s="523"/>
      <c r="H297" s="524"/>
      <c r="I297" s="529"/>
      <c r="J297" s="530"/>
      <c r="K297" s="513"/>
      <c r="L297" s="534"/>
      <c r="M297" s="537"/>
      <c r="N297" s="541"/>
      <c r="O297" s="542"/>
      <c r="P297" s="483"/>
      <c r="Q297" s="484"/>
      <c r="R297" s="517"/>
      <c r="S297" s="518"/>
      <c r="T297" s="487"/>
      <c r="U297" s="488"/>
      <c r="V297" s="492"/>
      <c r="W297" s="483"/>
      <c r="X297" s="495"/>
      <c r="Y297" s="484"/>
      <c r="Z297" s="498"/>
      <c r="AA297" s="502"/>
      <c r="AB297" s="503"/>
      <c r="AC297" s="471" t="s">
        <v>259</v>
      </c>
      <c r="AD297" s="472"/>
      <c r="AE297" s="473"/>
      <c r="AF297" s="100"/>
      <c r="AG297" s="100"/>
      <c r="AH297" s="100"/>
      <c r="AI297" s="100"/>
      <c r="AJ297" s="100"/>
      <c r="AK297" s="100"/>
      <c r="AL297" s="100"/>
      <c r="AM297" s="100"/>
      <c r="AN297" s="100"/>
      <c r="AO297" s="100"/>
      <c r="AP297" s="100"/>
      <c r="AQ297" s="101"/>
      <c r="AR297" s="104">
        <f t="shared" ref="AR297:AR298" si="557">SUM(AF297:AQ297)</f>
        <v>0</v>
      </c>
      <c r="AS297" s="128" t="s">
        <v>261</v>
      </c>
      <c r="AT297" s="129"/>
      <c r="AU297" s="129"/>
      <c r="AV297" s="129"/>
      <c r="AW297" s="130"/>
      <c r="AX297" s="126">
        <f t="shared" si="555"/>
        <v>0</v>
      </c>
      <c r="AY297" s="143" t="s">
        <v>261</v>
      </c>
      <c r="AZ297" s="139"/>
      <c r="BA297" s="139"/>
      <c r="BB297" s="136">
        <f t="shared" si="556"/>
        <v>0</v>
      </c>
      <c r="BC297" s="474" t="s">
        <v>262</v>
      </c>
      <c r="BD297" s="475"/>
      <c r="BE297" s="14"/>
      <c r="BF297" s="17"/>
      <c r="BG297" s="14"/>
      <c r="BH297" s="17"/>
      <c r="BI297" s="14"/>
      <c r="BJ297" s="17"/>
      <c r="BK297" s="14"/>
      <c r="BL297" s="17"/>
      <c r="BM297" s="14"/>
      <c r="BN297" s="17"/>
      <c r="BO297" s="14"/>
      <c r="BP297" s="17"/>
      <c r="BQ297" s="108">
        <f t="shared" si="520"/>
        <v>0</v>
      </c>
      <c r="BR297" s="567"/>
      <c r="BS297" s="571"/>
      <c r="BT297" s="572"/>
      <c r="BU297" s="558"/>
      <c r="BV297" s="561"/>
      <c r="BW297" s="564"/>
      <c r="BX297" s="616"/>
    </row>
    <row r="298" spans="1:76" ht="15.75" thickBot="1" x14ac:dyDescent="0.3">
      <c r="A298" s="587"/>
      <c r="B298" s="592"/>
      <c r="C298" s="593"/>
      <c r="D298" s="606"/>
      <c r="E298" s="519"/>
      <c r="F298" s="520"/>
      <c r="G298" s="525"/>
      <c r="H298" s="526"/>
      <c r="I298" s="531"/>
      <c r="J298" s="532"/>
      <c r="K298" s="514"/>
      <c r="L298" s="535"/>
      <c r="M298" s="538"/>
      <c r="N298" s="543"/>
      <c r="O298" s="544"/>
      <c r="P298" s="485"/>
      <c r="Q298" s="486"/>
      <c r="R298" s="519"/>
      <c r="S298" s="520"/>
      <c r="T298" s="489"/>
      <c r="U298" s="490"/>
      <c r="V298" s="493"/>
      <c r="W298" s="485"/>
      <c r="X298" s="496"/>
      <c r="Y298" s="486"/>
      <c r="Z298" s="499"/>
      <c r="AA298" s="504"/>
      <c r="AB298" s="505"/>
      <c r="AC298" s="476" t="s">
        <v>261</v>
      </c>
      <c r="AD298" s="477"/>
      <c r="AE298" s="478"/>
      <c r="AF298" s="102"/>
      <c r="AG298" s="102"/>
      <c r="AH298" s="102"/>
      <c r="AI298" s="102"/>
      <c r="AJ298" s="102"/>
      <c r="AK298" s="102"/>
      <c r="AL298" s="102"/>
      <c r="AM298" s="102"/>
      <c r="AN298" s="102"/>
      <c r="AO298" s="102"/>
      <c r="AP298" s="102"/>
      <c r="AQ298" s="103"/>
      <c r="AR298" s="105">
        <f t="shared" si="557"/>
        <v>0</v>
      </c>
      <c r="AS298" s="131" t="s">
        <v>161</v>
      </c>
      <c r="AT298" s="132">
        <f t="shared" ref="AT298:AX298" si="558">SUM(AT295:AT297)</f>
        <v>0</v>
      </c>
      <c r="AU298" s="132">
        <f t="shared" si="558"/>
        <v>0</v>
      </c>
      <c r="AV298" s="132">
        <f t="shared" si="558"/>
        <v>0</v>
      </c>
      <c r="AW298" s="133">
        <f t="shared" si="558"/>
        <v>0</v>
      </c>
      <c r="AX298" s="127">
        <f t="shared" si="558"/>
        <v>0</v>
      </c>
      <c r="AY298" s="144" t="s">
        <v>161</v>
      </c>
      <c r="AZ298" s="140">
        <f t="shared" ref="AZ298:BB298" si="559">SUM(AZ295:AZ297)</f>
        <v>0</v>
      </c>
      <c r="BA298" s="140">
        <f t="shared" si="559"/>
        <v>0</v>
      </c>
      <c r="BB298" s="140">
        <f t="shared" si="559"/>
        <v>0</v>
      </c>
      <c r="BC298" s="479" t="s">
        <v>263</v>
      </c>
      <c r="BD298" s="480"/>
      <c r="BE298" s="15"/>
      <c r="BF298" s="18"/>
      <c r="BG298" s="15"/>
      <c r="BH298" s="18"/>
      <c r="BI298" s="15"/>
      <c r="BJ298" s="18"/>
      <c r="BK298" s="15"/>
      <c r="BL298" s="18"/>
      <c r="BM298" s="15"/>
      <c r="BN298" s="18"/>
      <c r="BO298" s="15"/>
      <c r="BP298" s="18"/>
      <c r="BQ298" s="109">
        <f t="shared" si="520"/>
        <v>0</v>
      </c>
      <c r="BR298" s="568"/>
      <c r="BS298" s="573"/>
      <c r="BT298" s="574"/>
      <c r="BU298" s="559"/>
      <c r="BV298" s="562"/>
      <c r="BW298" s="565"/>
      <c r="BX298" s="617"/>
    </row>
    <row r="299" spans="1:76" ht="15.75" thickTop="1" x14ac:dyDescent="0.25">
      <c r="A299" s="585">
        <v>73</v>
      </c>
      <c r="B299" s="588"/>
      <c r="C299" s="589"/>
      <c r="D299" s="604"/>
      <c r="E299" s="515"/>
      <c r="F299" s="516"/>
      <c r="G299" s="521"/>
      <c r="H299" s="522"/>
      <c r="I299" s="527"/>
      <c r="J299" s="528"/>
      <c r="K299" s="512"/>
      <c r="L299" s="533"/>
      <c r="M299" s="536"/>
      <c r="N299" s="539"/>
      <c r="O299" s="540"/>
      <c r="P299" s="481"/>
      <c r="Q299" s="482"/>
      <c r="R299" s="515"/>
      <c r="S299" s="516"/>
      <c r="T299" s="487"/>
      <c r="U299" s="488"/>
      <c r="V299" s="491"/>
      <c r="W299" s="481"/>
      <c r="X299" s="494"/>
      <c r="Y299" s="482"/>
      <c r="Z299" s="497"/>
      <c r="AA299" s="500" t="s">
        <v>314</v>
      </c>
      <c r="AB299" s="501"/>
      <c r="AC299" s="506" t="s">
        <v>257</v>
      </c>
      <c r="AD299" s="507"/>
      <c r="AE299" s="507"/>
      <c r="AF299" s="510"/>
      <c r="AG299" s="510"/>
      <c r="AH299" s="510"/>
      <c r="AI299" s="510"/>
      <c r="AJ299" s="510"/>
      <c r="AK299" s="510"/>
      <c r="AL299" s="510"/>
      <c r="AM299" s="510"/>
      <c r="AN299" s="510"/>
      <c r="AO299" s="510"/>
      <c r="AP299" s="510"/>
      <c r="AQ299" s="465"/>
      <c r="AR299" s="467">
        <f t="shared" ref="AR299" si="560">SUM(AF299:AQ300)</f>
        <v>0</v>
      </c>
      <c r="AS299" s="119" t="s">
        <v>257</v>
      </c>
      <c r="AT299" s="120"/>
      <c r="AU299" s="120"/>
      <c r="AV299" s="120"/>
      <c r="AW299" s="121"/>
      <c r="AX299" s="125">
        <f t="shared" ref="AX299:AX301" si="561">SUM(AT299:AW299)</f>
        <v>0</v>
      </c>
      <c r="AY299" s="141" t="s">
        <v>257</v>
      </c>
      <c r="AZ299" s="137"/>
      <c r="BA299" s="137"/>
      <c r="BB299" s="134">
        <f t="shared" ref="BB299:BB301" si="562">AZ299-BA299</f>
        <v>0</v>
      </c>
      <c r="BC299" s="469" t="s">
        <v>258</v>
      </c>
      <c r="BD299" s="470"/>
      <c r="BE299" s="13"/>
      <c r="BF299" s="16"/>
      <c r="BG299" s="13"/>
      <c r="BH299" s="16"/>
      <c r="BI299" s="13"/>
      <c r="BJ299" s="16"/>
      <c r="BK299" s="13"/>
      <c r="BL299" s="16"/>
      <c r="BM299" s="13"/>
      <c r="BN299" s="16"/>
      <c r="BO299" s="13"/>
      <c r="BP299" s="16"/>
      <c r="BQ299" s="106">
        <f t="shared" si="520"/>
        <v>0</v>
      </c>
      <c r="BR299" s="566"/>
      <c r="BS299" s="569"/>
      <c r="BT299" s="570"/>
      <c r="BU299" s="557"/>
      <c r="BV299" s="560"/>
      <c r="BW299" s="563"/>
      <c r="BX299" s="615"/>
    </row>
    <row r="300" spans="1:76" x14ac:dyDescent="0.25">
      <c r="A300" s="586"/>
      <c r="B300" s="590"/>
      <c r="C300" s="591"/>
      <c r="D300" s="605"/>
      <c r="E300" s="517"/>
      <c r="F300" s="518"/>
      <c r="G300" s="523"/>
      <c r="H300" s="524"/>
      <c r="I300" s="529"/>
      <c r="J300" s="530"/>
      <c r="K300" s="513"/>
      <c r="L300" s="534"/>
      <c r="M300" s="537"/>
      <c r="N300" s="541"/>
      <c r="O300" s="542"/>
      <c r="P300" s="483"/>
      <c r="Q300" s="484"/>
      <c r="R300" s="517"/>
      <c r="S300" s="518"/>
      <c r="T300" s="487"/>
      <c r="U300" s="488"/>
      <c r="V300" s="492"/>
      <c r="W300" s="483"/>
      <c r="X300" s="495"/>
      <c r="Y300" s="484"/>
      <c r="Z300" s="498"/>
      <c r="AA300" s="502"/>
      <c r="AB300" s="503"/>
      <c r="AC300" s="508"/>
      <c r="AD300" s="509"/>
      <c r="AE300" s="509"/>
      <c r="AF300" s="511"/>
      <c r="AG300" s="511"/>
      <c r="AH300" s="511"/>
      <c r="AI300" s="511"/>
      <c r="AJ300" s="511"/>
      <c r="AK300" s="511"/>
      <c r="AL300" s="511"/>
      <c r="AM300" s="511"/>
      <c r="AN300" s="511"/>
      <c r="AO300" s="511"/>
      <c r="AP300" s="511"/>
      <c r="AQ300" s="466"/>
      <c r="AR300" s="468"/>
      <c r="AS300" s="122" t="s">
        <v>259</v>
      </c>
      <c r="AT300" s="123"/>
      <c r="AU300" s="123"/>
      <c r="AV300" s="123"/>
      <c r="AW300" s="124"/>
      <c r="AX300" s="126">
        <f t="shared" si="561"/>
        <v>0</v>
      </c>
      <c r="AY300" s="142" t="s">
        <v>259</v>
      </c>
      <c r="AZ300" s="138"/>
      <c r="BA300" s="138"/>
      <c r="BB300" s="135">
        <f t="shared" si="562"/>
        <v>0</v>
      </c>
      <c r="BC300" s="474" t="s">
        <v>260</v>
      </c>
      <c r="BD300" s="475"/>
      <c r="BE300" s="14"/>
      <c r="BF300" s="17"/>
      <c r="BG300" s="14"/>
      <c r="BH300" s="17"/>
      <c r="BI300" s="14"/>
      <c r="BJ300" s="17"/>
      <c r="BK300" s="14"/>
      <c r="BL300" s="17"/>
      <c r="BM300" s="14"/>
      <c r="BN300" s="17"/>
      <c r="BO300" s="14"/>
      <c r="BP300" s="17"/>
      <c r="BQ300" s="107">
        <f t="shared" si="520"/>
        <v>0</v>
      </c>
      <c r="BR300" s="567"/>
      <c r="BS300" s="571"/>
      <c r="BT300" s="572"/>
      <c r="BU300" s="558"/>
      <c r="BV300" s="561"/>
      <c r="BW300" s="564"/>
      <c r="BX300" s="616"/>
    </row>
    <row r="301" spans="1:76" ht="15.75" thickBot="1" x14ac:dyDescent="0.3">
      <c r="A301" s="586"/>
      <c r="B301" s="590"/>
      <c r="C301" s="591"/>
      <c r="D301" s="605"/>
      <c r="E301" s="517"/>
      <c r="F301" s="518"/>
      <c r="G301" s="523"/>
      <c r="H301" s="524"/>
      <c r="I301" s="529"/>
      <c r="J301" s="530"/>
      <c r="K301" s="513"/>
      <c r="L301" s="534"/>
      <c r="M301" s="537"/>
      <c r="N301" s="541"/>
      <c r="O301" s="542"/>
      <c r="P301" s="483"/>
      <c r="Q301" s="484"/>
      <c r="R301" s="517"/>
      <c r="S301" s="518"/>
      <c r="T301" s="487"/>
      <c r="U301" s="488"/>
      <c r="V301" s="492"/>
      <c r="W301" s="483"/>
      <c r="X301" s="495"/>
      <c r="Y301" s="484"/>
      <c r="Z301" s="498"/>
      <c r="AA301" s="502"/>
      <c r="AB301" s="503"/>
      <c r="AC301" s="471" t="s">
        <v>259</v>
      </c>
      <c r="AD301" s="472"/>
      <c r="AE301" s="473"/>
      <c r="AF301" s="100"/>
      <c r="AG301" s="100"/>
      <c r="AH301" s="100"/>
      <c r="AI301" s="100"/>
      <c r="AJ301" s="100"/>
      <c r="AK301" s="100"/>
      <c r="AL301" s="100"/>
      <c r="AM301" s="100"/>
      <c r="AN301" s="100"/>
      <c r="AO301" s="100"/>
      <c r="AP301" s="100"/>
      <c r="AQ301" s="101"/>
      <c r="AR301" s="104">
        <f t="shared" ref="AR301:AR302" si="563">SUM(AF301:AQ301)</f>
        <v>0</v>
      </c>
      <c r="AS301" s="128" t="s">
        <v>261</v>
      </c>
      <c r="AT301" s="129"/>
      <c r="AU301" s="129"/>
      <c r="AV301" s="129"/>
      <c r="AW301" s="130"/>
      <c r="AX301" s="126">
        <f t="shared" si="561"/>
        <v>0</v>
      </c>
      <c r="AY301" s="143" t="s">
        <v>261</v>
      </c>
      <c r="AZ301" s="139"/>
      <c r="BA301" s="139"/>
      <c r="BB301" s="136">
        <f t="shared" si="562"/>
        <v>0</v>
      </c>
      <c r="BC301" s="474" t="s">
        <v>262</v>
      </c>
      <c r="BD301" s="475"/>
      <c r="BE301" s="14"/>
      <c r="BF301" s="17"/>
      <c r="BG301" s="14"/>
      <c r="BH301" s="17"/>
      <c r="BI301" s="14"/>
      <c r="BJ301" s="17"/>
      <c r="BK301" s="14"/>
      <c r="BL301" s="17"/>
      <c r="BM301" s="14"/>
      <c r="BN301" s="17"/>
      <c r="BO301" s="14"/>
      <c r="BP301" s="17"/>
      <c r="BQ301" s="108">
        <f t="shared" si="520"/>
        <v>0</v>
      </c>
      <c r="BR301" s="567"/>
      <c r="BS301" s="571"/>
      <c r="BT301" s="572"/>
      <c r="BU301" s="558"/>
      <c r="BV301" s="561"/>
      <c r="BW301" s="564"/>
      <c r="BX301" s="616"/>
    </row>
    <row r="302" spans="1:76" ht="15.75" thickBot="1" x14ac:dyDescent="0.3">
      <c r="A302" s="587"/>
      <c r="B302" s="592"/>
      <c r="C302" s="593"/>
      <c r="D302" s="606"/>
      <c r="E302" s="519"/>
      <c r="F302" s="520"/>
      <c r="G302" s="525"/>
      <c r="H302" s="526"/>
      <c r="I302" s="531"/>
      <c r="J302" s="532"/>
      <c r="K302" s="514"/>
      <c r="L302" s="535"/>
      <c r="M302" s="538"/>
      <c r="N302" s="543"/>
      <c r="O302" s="544"/>
      <c r="P302" s="485"/>
      <c r="Q302" s="486"/>
      <c r="R302" s="519"/>
      <c r="S302" s="520"/>
      <c r="T302" s="489"/>
      <c r="U302" s="490"/>
      <c r="V302" s="493"/>
      <c r="W302" s="485"/>
      <c r="X302" s="496"/>
      <c r="Y302" s="486"/>
      <c r="Z302" s="499"/>
      <c r="AA302" s="504"/>
      <c r="AB302" s="505"/>
      <c r="AC302" s="476" t="s">
        <v>261</v>
      </c>
      <c r="AD302" s="477"/>
      <c r="AE302" s="478"/>
      <c r="AF302" s="102"/>
      <c r="AG302" s="102"/>
      <c r="AH302" s="102"/>
      <c r="AI302" s="102"/>
      <c r="AJ302" s="102"/>
      <c r="AK302" s="102"/>
      <c r="AL302" s="102"/>
      <c r="AM302" s="102"/>
      <c r="AN302" s="102"/>
      <c r="AO302" s="102"/>
      <c r="AP302" s="102"/>
      <c r="AQ302" s="103"/>
      <c r="AR302" s="105">
        <f t="shared" si="563"/>
        <v>0</v>
      </c>
      <c r="AS302" s="131" t="s">
        <v>161</v>
      </c>
      <c r="AT302" s="132">
        <f t="shared" ref="AT302:AX302" si="564">SUM(AT299:AT301)</f>
        <v>0</v>
      </c>
      <c r="AU302" s="132">
        <f t="shared" si="564"/>
        <v>0</v>
      </c>
      <c r="AV302" s="132">
        <f t="shared" si="564"/>
        <v>0</v>
      </c>
      <c r="AW302" s="133">
        <f t="shared" si="564"/>
        <v>0</v>
      </c>
      <c r="AX302" s="127">
        <f t="shared" si="564"/>
        <v>0</v>
      </c>
      <c r="AY302" s="144" t="s">
        <v>161</v>
      </c>
      <c r="AZ302" s="140">
        <f t="shared" ref="AZ302:BB302" si="565">SUM(AZ299:AZ301)</f>
        <v>0</v>
      </c>
      <c r="BA302" s="140">
        <f t="shared" si="565"/>
        <v>0</v>
      </c>
      <c r="BB302" s="140">
        <f t="shared" si="565"/>
        <v>0</v>
      </c>
      <c r="BC302" s="479" t="s">
        <v>263</v>
      </c>
      <c r="BD302" s="480"/>
      <c r="BE302" s="15"/>
      <c r="BF302" s="18"/>
      <c r="BG302" s="15"/>
      <c r="BH302" s="18"/>
      <c r="BI302" s="15"/>
      <c r="BJ302" s="18"/>
      <c r="BK302" s="15"/>
      <c r="BL302" s="18"/>
      <c r="BM302" s="15"/>
      <c r="BN302" s="18"/>
      <c r="BO302" s="15"/>
      <c r="BP302" s="18"/>
      <c r="BQ302" s="109">
        <f t="shared" si="520"/>
        <v>0</v>
      </c>
      <c r="BR302" s="568"/>
      <c r="BS302" s="573"/>
      <c r="BT302" s="574"/>
      <c r="BU302" s="559"/>
      <c r="BV302" s="562"/>
      <c r="BW302" s="565"/>
      <c r="BX302" s="617"/>
    </row>
    <row r="303" spans="1:76" ht="15.75" thickTop="1" x14ac:dyDescent="0.25">
      <c r="A303" s="585">
        <v>74</v>
      </c>
      <c r="B303" s="588"/>
      <c r="C303" s="589"/>
      <c r="D303" s="604"/>
      <c r="E303" s="515"/>
      <c r="F303" s="516"/>
      <c r="G303" s="521"/>
      <c r="H303" s="522"/>
      <c r="I303" s="527"/>
      <c r="J303" s="528"/>
      <c r="K303" s="512"/>
      <c r="L303" s="533"/>
      <c r="M303" s="536"/>
      <c r="N303" s="539"/>
      <c r="O303" s="540"/>
      <c r="P303" s="481"/>
      <c r="Q303" s="482"/>
      <c r="R303" s="515"/>
      <c r="S303" s="516"/>
      <c r="T303" s="487"/>
      <c r="U303" s="488"/>
      <c r="V303" s="491"/>
      <c r="W303" s="481"/>
      <c r="X303" s="494"/>
      <c r="Y303" s="482"/>
      <c r="Z303" s="497"/>
      <c r="AA303" s="500" t="s">
        <v>315</v>
      </c>
      <c r="AB303" s="501"/>
      <c r="AC303" s="506" t="s">
        <v>257</v>
      </c>
      <c r="AD303" s="507"/>
      <c r="AE303" s="507"/>
      <c r="AF303" s="510"/>
      <c r="AG303" s="510"/>
      <c r="AH303" s="510"/>
      <c r="AI303" s="510"/>
      <c r="AJ303" s="510"/>
      <c r="AK303" s="510"/>
      <c r="AL303" s="510"/>
      <c r="AM303" s="510"/>
      <c r="AN303" s="510"/>
      <c r="AO303" s="510"/>
      <c r="AP303" s="510"/>
      <c r="AQ303" s="465"/>
      <c r="AR303" s="467">
        <f t="shared" ref="AR303" si="566">SUM(AF303:AQ304)</f>
        <v>0</v>
      </c>
      <c r="AS303" s="119" t="s">
        <v>257</v>
      </c>
      <c r="AT303" s="120"/>
      <c r="AU303" s="120"/>
      <c r="AV303" s="120"/>
      <c r="AW303" s="121"/>
      <c r="AX303" s="125">
        <f t="shared" ref="AX303:AX305" si="567">SUM(AT303:AW303)</f>
        <v>0</v>
      </c>
      <c r="AY303" s="141" t="s">
        <v>257</v>
      </c>
      <c r="AZ303" s="137"/>
      <c r="BA303" s="137"/>
      <c r="BB303" s="134">
        <f t="shared" ref="BB303:BB305" si="568">AZ303-BA303</f>
        <v>0</v>
      </c>
      <c r="BC303" s="469" t="s">
        <v>258</v>
      </c>
      <c r="BD303" s="470"/>
      <c r="BE303" s="13"/>
      <c r="BF303" s="16"/>
      <c r="BG303" s="13"/>
      <c r="BH303" s="16"/>
      <c r="BI303" s="13"/>
      <c r="BJ303" s="16"/>
      <c r="BK303" s="13"/>
      <c r="BL303" s="16"/>
      <c r="BM303" s="13"/>
      <c r="BN303" s="16"/>
      <c r="BO303" s="13"/>
      <c r="BP303" s="16"/>
      <c r="BQ303" s="106">
        <f t="shared" si="520"/>
        <v>0</v>
      </c>
      <c r="BR303" s="566"/>
      <c r="BS303" s="569"/>
      <c r="BT303" s="570"/>
      <c r="BU303" s="557"/>
      <c r="BV303" s="560"/>
      <c r="BW303" s="563"/>
      <c r="BX303" s="615"/>
    </row>
    <row r="304" spans="1:76" x14ac:dyDescent="0.25">
      <c r="A304" s="586"/>
      <c r="B304" s="590"/>
      <c r="C304" s="591"/>
      <c r="D304" s="605"/>
      <c r="E304" s="517"/>
      <c r="F304" s="518"/>
      <c r="G304" s="523"/>
      <c r="H304" s="524"/>
      <c r="I304" s="529"/>
      <c r="J304" s="530"/>
      <c r="K304" s="513"/>
      <c r="L304" s="534"/>
      <c r="M304" s="537"/>
      <c r="N304" s="541"/>
      <c r="O304" s="542"/>
      <c r="P304" s="483"/>
      <c r="Q304" s="484"/>
      <c r="R304" s="517"/>
      <c r="S304" s="518"/>
      <c r="T304" s="487"/>
      <c r="U304" s="488"/>
      <c r="V304" s="492"/>
      <c r="W304" s="483"/>
      <c r="X304" s="495"/>
      <c r="Y304" s="484"/>
      <c r="Z304" s="498"/>
      <c r="AA304" s="502"/>
      <c r="AB304" s="503"/>
      <c r="AC304" s="508"/>
      <c r="AD304" s="509"/>
      <c r="AE304" s="509"/>
      <c r="AF304" s="511"/>
      <c r="AG304" s="511"/>
      <c r="AH304" s="511"/>
      <c r="AI304" s="511"/>
      <c r="AJ304" s="511"/>
      <c r="AK304" s="511"/>
      <c r="AL304" s="511"/>
      <c r="AM304" s="511"/>
      <c r="AN304" s="511"/>
      <c r="AO304" s="511"/>
      <c r="AP304" s="511"/>
      <c r="AQ304" s="466"/>
      <c r="AR304" s="468"/>
      <c r="AS304" s="122" t="s">
        <v>259</v>
      </c>
      <c r="AT304" s="123"/>
      <c r="AU304" s="123"/>
      <c r="AV304" s="123"/>
      <c r="AW304" s="124"/>
      <c r="AX304" s="126">
        <f t="shared" si="567"/>
        <v>0</v>
      </c>
      <c r="AY304" s="142" t="s">
        <v>259</v>
      </c>
      <c r="AZ304" s="138"/>
      <c r="BA304" s="138"/>
      <c r="BB304" s="135">
        <f t="shared" si="568"/>
        <v>0</v>
      </c>
      <c r="BC304" s="474" t="s">
        <v>260</v>
      </c>
      <c r="BD304" s="475"/>
      <c r="BE304" s="14"/>
      <c r="BF304" s="17"/>
      <c r="BG304" s="14"/>
      <c r="BH304" s="17"/>
      <c r="BI304" s="14"/>
      <c r="BJ304" s="17"/>
      <c r="BK304" s="14"/>
      <c r="BL304" s="17"/>
      <c r="BM304" s="14"/>
      <c r="BN304" s="17"/>
      <c r="BO304" s="14"/>
      <c r="BP304" s="17"/>
      <c r="BQ304" s="107">
        <f t="shared" si="520"/>
        <v>0</v>
      </c>
      <c r="BR304" s="567"/>
      <c r="BS304" s="571"/>
      <c r="BT304" s="572"/>
      <c r="BU304" s="558"/>
      <c r="BV304" s="561"/>
      <c r="BW304" s="564"/>
      <c r="BX304" s="616"/>
    </row>
    <row r="305" spans="1:76" ht="15.75" thickBot="1" x14ac:dyDescent="0.3">
      <c r="A305" s="586"/>
      <c r="B305" s="590"/>
      <c r="C305" s="591"/>
      <c r="D305" s="605"/>
      <c r="E305" s="517"/>
      <c r="F305" s="518"/>
      <c r="G305" s="523"/>
      <c r="H305" s="524"/>
      <c r="I305" s="529"/>
      <c r="J305" s="530"/>
      <c r="K305" s="513"/>
      <c r="L305" s="534"/>
      <c r="M305" s="537"/>
      <c r="N305" s="541"/>
      <c r="O305" s="542"/>
      <c r="P305" s="483"/>
      <c r="Q305" s="484"/>
      <c r="R305" s="517"/>
      <c r="S305" s="518"/>
      <c r="T305" s="487"/>
      <c r="U305" s="488"/>
      <c r="V305" s="492"/>
      <c r="W305" s="483"/>
      <c r="X305" s="495"/>
      <c r="Y305" s="484"/>
      <c r="Z305" s="498"/>
      <c r="AA305" s="502"/>
      <c r="AB305" s="503"/>
      <c r="AC305" s="471" t="s">
        <v>259</v>
      </c>
      <c r="AD305" s="472"/>
      <c r="AE305" s="473"/>
      <c r="AF305" s="100"/>
      <c r="AG305" s="100"/>
      <c r="AH305" s="100"/>
      <c r="AI305" s="100"/>
      <c r="AJ305" s="100"/>
      <c r="AK305" s="100"/>
      <c r="AL305" s="100"/>
      <c r="AM305" s="100"/>
      <c r="AN305" s="100"/>
      <c r="AO305" s="100"/>
      <c r="AP305" s="100"/>
      <c r="AQ305" s="101"/>
      <c r="AR305" s="104">
        <f t="shared" ref="AR305:AR306" si="569">SUM(AF305:AQ305)</f>
        <v>0</v>
      </c>
      <c r="AS305" s="128" t="s">
        <v>261</v>
      </c>
      <c r="AT305" s="129"/>
      <c r="AU305" s="129"/>
      <c r="AV305" s="129"/>
      <c r="AW305" s="130"/>
      <c r="AX305" s="126">
        <f t="shared" si="567"/>
        <v>0</v>
      </c>
      <c r="AY305" s="143" t="s">
        <v>261</v>
      </c>
      <c r="AZ305" s="139"/>
      <c r="BA305" s="139"/>
      <c r="BB305" s="136">
        <f t="shared" si="568"/>
        <v>0</v>
      </c>
      <c r="BC305" s="474" t="s">
        <v>262</v>
      </c>
      <c r="BD305" s="475"/>
      <c r="BE305" s="14"/>
      <c r="BF305" s="17"/>
      <c r="BG305" s="14"/>
      <c r="BH305" s="17"/>
      <c r="BI305" s="14"/>
      <c r="BJ305" s="17"/>
      <c r="BK305" s="14"/>
      <c r="BL305" s="17"/>
      <c r="BM305" s="14"/>
      <c r="BN305" s="17"/>
      <c r="BO305" s="14"/>
      <c r="BP305" s="17"/>
      <c r="BQ305" s="108">
        <f t="shared" si="520"/>
        <v>0</v>
      </c>
      <c r="BR305" s="567"/>
      <c r="BS305" s="571"/>
      <c r="BT305" s="572"/>
      <c r="BU305" s="558"/>
      <c r="BV305" s="561"/>
      <c r="BW305" s="564"/>
      <c r="BX305" s="616"/>
    </row>
    <row r="306" spans="1:76" ht="15.75" thickBot="1" x14ac:dyDescent="0.3">
      <c r="A306" s="587"/>
      <c r="B306" s="592"/>
      <c r="C306" s="593"/>
      <c r="D306" s="606"/>
      <c r="E306" s="519"/>
      <c r="F306" s="520"/>
      <c r="G306" s="525"/>
      <c r="H306" s="526"/>
      <c r="I306" s="531"/>
      <c r="J306" s="532"/>
      <c r="K306" s="514"/>
      <c r="L306" s="535"/>
      <c r="M306" s="538"/>
      <c r="N306" s="543"/>
      <c r="O306" s="544"/>
      <c r="P306" s="485"/>
      <c r="Q306" s="486"/>
      <c r="R306" s="519"/>
      <c r="S306" s="520"/>
      <c r="T306" s="489"/>
      <c r="U306" s="490"/>
      <c r="V306" s="493"/>
      <c r="W306" s="485"/>
      <c r="X306" s="496"/>
      <c r="Y306" s="486"/>
      <c r="Z306" s="499"/>
      <c r="AA306" s="504"/>
      <c r="AB306" s="505"/>
      <c r="AC306" s="476" t="s">
        <v>261</v>
      </c>
      <c r="AD306" s="477"/>
      <c r="AE306" s="478"/>
      <c r="AF306" s="102"/>
      <c r="AG306" s="102"/>
      <c r="AH306" s="102"/>
      <c r="AI306" s="102"/>
      <c r="AJ306" s="102"/>
      <c r="AK306" s="102"/>
      <c r="AL306" s="102"/>
      <c r="AM306" s="102"/>
      <c r="AN306" s="102"/>
      <c r="AO306" s="102"/>
      <c r="AP306" s="102"/>
      <c r="AQ306" s="103"/>
      <c r="AR306" s="105">
        <f t="shared" si="569"/>
        <v>0</v>
      </c>
      <c r="AS306" s="131" t="s">
        <v>161</v>
      </c>
      <c r="AT306" s="132">
        <f t="shared" ref="AT306:AX306" si="570">SUM(AT303:AT305)</f>
        <v>0</v>
      </c>
      <c r="AU306" s="132">
        <f t="shared" si="570"/>
        <v>0</v>
      </c>
      <c r="AV306" s="132">
        <f t="shared" si="570"/>
        <v>0</v>
      </c>
      <c r="AW306" s="133">
        <f t="shared" si="570"/>
        <v>0</v>
      </c>
      <c r="AX306" s="127">
        <f t="shared" si="570"/>
        <v>0</v>
      </c>
      <c r="AY306" s="144" t="s">
        <v>161</v>
      </c>
      <c r="AZ306" s="140">
        <f t="shared" ref="AZ306:BB306" si="571">SUM(AZ303:AZ305)</f>
        <v>0</v>
      </c>
      <c r="BA306" s="140">
        <f t="shared" si="571"/>
        <v>0</v>
      </c>
      <c r="BB306" s="140">
        <f t="shared" si="571"/>
        <v>0</v>
      </c>
      <c r="BC306" s="479" t="s">
        <v>263</v>
      </c>
      <c r="BD306" s="480"/>
      <c r="BE306" s="15"/>
      <c r="BF306" s="18"/>
      <c r="BG306" s="15"/>
      <c r="BH306" s="18"/>
      <c r="BI306" s="15"/>
      <c r="BJ306" s="18"/>
      <c r="BK306" s="15"/>
      <c r="BL306" s="18"/>
      <c r="BM306" s="15"/>
      <c r="BN306" s="18"/>
      <c r="BO306" s="15"/>
      <c r="BP306" s="18"/>
      <c r="BQ306" s="109">
        <f t="shared" si="520"/>
        <v>0</v>
      </c>
      <c r="BR306" s="568"/>
      <c r="BS306" s="573"/>
      <c r="BT306" s="574"/>
      <c r="BU306" s="559"/>
      <c r="BV306" s="562"/>
      <c r="BW306" s="565"/>
      <c r="BX306" s="617"/>
    </row>
    <row r="307" spans="1:76" ht="15.75" thickTop="1" x14ac:dyDescent="0.25">
      <c r="A307" s="585">
        <v>75</v>
      </c>
      <c r="B307" s="588"/>
      <c r="C307" s="589"/>
      <c r="D307" s="604"/>
      <c r="E307" s="515"/>
      <c r="F307" s="516"/>
      <c r="G307" s="521"/>
      <c r="H307" s="522"/>
      <c r="I307" s="527"/>
      <c r="J307" s="528"/>
      <c r="K307" s="512"/>
      <c r="L307" s="533"/>
      <c r="M307" s="536"/>
      <c r="N307" s="539"/>
      <c r="O307" s="540"/>
      <c r="P307" s="481"/>
      <c r="Q307" s="482"/>
      <c r="R307" s="515"/>
      <c r="S307" s="516"/>
      <c r="T307" s="487"/>
      <c r="U307" s="488"/>
      <c r="V307" s="491"/>
      <c r="W307" s="481"/>
      <c r="X307" s="494"/>
      <c r="Y307" s="482"/>
      <c r="Z307" s="497"/>
      <c r="AA307" s="500" t="s">
        <v>316</v>
      </c>
      <c r="AB307" s="501"/>
      <c r="AC307" s="506" t="s">
        <v>257</v>
      </c>
      <c r="AD307" s="507"/>
      <c r="AE307" s="507"/>
      <c r="AF307" s="510"/>
      <c r="AG307" s="510"/>
      <c r="AH307" s="510"/>
      <c r="AI307" s="510"/>
      <c r="AJ307" s="510"/>
      <c r="AK307" s="510"/>
      <c r="AL307" s="510"/>
      <c r="AM307" s="510"/>
      <c r="AN307" s="510"/>
      <c r="AO307" s="510"/>
      <c r="AP307" s="510"/>
      <c r="AQ307" s="465"/>
      <c r="AR307" s="467">
        <f t="shared" ref="AR307" si="572">SUM(AF307:AQ308)</f>
        <v>0</v>
      </c>
      <c r="AS307" s="119" t="s">
        <v>257</v>
      </c>
      <c r="AT307" s="120"/>
      <c r="AU307" s="120"/>
      <c r="AV307" s="120"/>
      <c r="AW307" s="121"/>
      <c r="AX307" s="125">
        <f t="shared" ref="AX307:AX309" si="573">SUM(AT307:AW307)</f>
        <v>0</v>
      </c>
      <c r="AY307" s="141" t="s">
        <v>257</v>
      </c>
      <c r="AZ307" s="137"/>
      <c r="BA307" s="137"/>
      <c r="BB307" s="134">
        <f t="shared" ref="BB307:BB309" si="574">AZ307-BA307</f>
        <v>0</v>
      </c>
      <c r="BC307" s="469" t="s">
        <v>258</v>
      </c>
      <c r="BD307" s="470"/>
      <c r="BE307" s="13"/>
      <c r="BF307" s="16"/>
      <c r="BG307" s="13"/>
      <c r="BH307" s="16"/>
      <c r="BI307" s="13"/>
      <c r="BJ307" s="16"/>
      <c r="BK307" s="13"/>
      <c r="BL307" s="16"/>
      <c r="BM307" s="13"/>
      <c r="BN307" s="16"/>
      <c r="BO307" s="13"/>
      <c r="BP307" s="16"/>
      <c r="BQ307" s="106">
        <f t="shared" si="520"/>
        <v>0</v>
      </c>
      <c r="BR307" s="566"/>
      <c r="BS307" s="569"/>
      <c r="BT307" s="570"/>
      <c r="BU307" s="557"/>
      <c r="BV307" s="560"/>
      <c r="BW307" s="563"/>
      <c r="BX307" s="615"/>
    </row>
    <row r="308" spans="1:76" x14ac:dyDescent="0.25">
      <c r="A308" s="586"/>
      <c r="B308" s="590"/>
      <c r="C308" s="591"/>
      <c r="D308" s="605"/>
      <c r="E308" s="517"/>
      <c r="F308" s="518"/>
      <c r="G308" s="523"/>
      <c r="H308" s="524"/>
      <c r="I308" s="529"/>
      <c r="J308" s="530"/>
      <c r="K308" s="513"/>
      <c r="L308" s="534"/>
      <c r="M308" s="537"/>
      <c r="N308" s="541"/>
      <c r="O308" s="542"/>
      <c r="P308" s="483"/>
      <c r="Q308" s="484"/>
      <c r="R308" s="517"/>
      <c r="S308" s="518"/>
      <c r="T308" s="487"/>
      <c r="U308" s="488"/>
      <c r="V308" s="492"/>
      <c r="W308" s="483"/>
      <c r="X308" s="495"/>
      <c r="Y308" s="484"/>
      <c r="Z308" s="498"/>
      <c r="AA308" s="502"/>
      <c r="AB308" s="503"/>
      <c r="AC308" s="508"/>
      <c r="AD308" s="509"/>
      <c r="AE308" s="509"/>
      <c r="AF308" s="511"/>
      <c r="AG308" s="511"/>
      <c r="AH308" s="511"/>
      <c r="AI308" s="511"/>
      <c r="AJ308" s="511"/>
      <c r="AK308" s="511"/>
      <c r="AL308" s="511"/>
      <c r="AM308" s="511"/>
      <c r="AN308" s="511"/>
      <c r="AO308" s="511"/>
      <c r="AP308" s="511"/>
      <c r="AQ308" s="466"/>
      <c r="AR308" s="468"/>
      <c r="AS308" s="122" t="s">
        <v>259</v>
      </c>
      <c r="AT308" s="123"/>
      <c r="AU308" s="123"/>
      <c r="AV308" s="123"/>
      <c r="AW308" s="124"/>
      <c r="AX308" s="126">
        <f t="shared" si="573"/>
        <v>0</v>
      </c>
      <c r="AY308" s="142" t="s">
        <v>259</v>
      </c>
      <c r="AZ308" s="138"/>
      <c r="BA308" s="138"/>
      <c r="BB308" s="135">
        <f t="shared" si="574"/>
        <v>0</v>
      </c>
      <c r="BC308" s="474" t="s">
        <v>260</v>
      </c>
      <c r="BD308" s="475"/>
      <c r="BE308" s="14"/>
      <c r="BF308" s="17"/>
      <c r="BG308" s="14"/>
      <c r="BH308" s="17"/>
      <c r="BI308" s="14"/>
      <c r="BJ308" s="17"/>
      <c r="BK308" s="14"/>
      <c r="BL308" s="17"/>
      <c r="BM308" s="14"/>
      <c r="BN308" s="17"/>
      <c r="BO308" s="14"/>
      <c r="BP308" s="17"/>
      <c r="BQ308" s="107">
        <f t="shared" si="520"/>
        <v>0</v>
      </c>
      <c r="BR308" s="567"/>
      <c r="BS308" s="571"/>
      <c r="BT308" s="572"/>
      <c r="BU308" s="558"/>
      <c r="BV308" s="561"/>
      <c r="BW308" s="564"/>
      <c r="BX308" s="616"/>
    </row>
    <row r="309" spans="1:76" ht="15.75" thickBot="1" x14ac:dyDescent="0.3">
      <c r="A309" s="586"/>
      <c r="B309" s="590"/>
      <c r="C309" s="591"/>
      <c r="D309" s="605"/>
      <c r="E309" s="517"/>
      <c r="F309" s="518"/>
      <c r="G309" s="523"/>
      <c r="H309" s="524"/>
      <c r="I309" s="529"/>
      <c r="J309" s="530"/>
      <c r="K309" s="513"/>
      <c r="L309" s="534"/>
      <c r="M309" s="537"/>
      <c r="N309" s="541"/>
      <c r="O309" s="542"/>
      <c r="P309" s="483"/>
      <c r="Q309" s="484"/>
      <c r="R309" s="517"/>
      <c r="S309" s="518"/>
      <c r="T309" s="487"/>
      <c r="U309" s="488"/>
      <c r="V309" s="492"/>
      <c r="W309" s="483"/>
      <c r="X309" s="495"/>
      <c r="Y309" s="484"/>
      <c r="Z309" s="498"/>
      <c r="AA309" s="502"/>
      <c r="AB309" s="503"/>
      <c r="AC309" s="471" t="s">
        <v>259</v>
      </c>
      <c r="AD309" s="472"/>
      <c r="AE309" s="473"/>
      <c r="AF309" s="100"/>
      <c r="AG309" s="100"/>
      <c r="AH309" s="100"/>
      <c r="AI309" s="100"/>
      <c r="AJ309" s="100"/>
      <c r="AK309" s="100"/>
      <c r="AL309" s="100"/>
      <c r="AM309" s="100"/>
      <c r="AN309" s="100"/>
      <c r="AO309" s="100"/>
      <c r="AP309" s="100"/>
      <c r="AQ309" s="101"/>
      <c r="AR309" s="104">
        <f t="shared" ref="AR309:AR310" si="575">SUM(AF309:AQ309)</f>
        <v>0</v>
      </c>
      <c r="AS309" s="128" t="s">
        <v>261</v>
      </c>
      <c r="AT309" s="129"/>
      <c r="AU309" s="129"/>
      <c r="AV309" s="129"/>
      <c r="AW309" s="130"/>
      <c r="AX309" s="126">
        <f t="shared" si="573"/>
        <v>0</v>
      </c>
      <c r="AY309" s="143" t="s">
        <v>261</v>
      </c>
      <c r="AZ309" s="139"/>
      <c r="BA309" s="139"/>
      <c r="BB309" s="136">
        <f t="shared" si="574"/>
        <v>0</v>
      </c>
      <c r="BC309" s="474" t="s">
        <v>262</v>
      </c>
      <c r="BD309" s="475"/>
      <c r="BE309" s="14"/>
      <c r="BF309" s="17"/>
      <c r="BG309" s="14"/>
      <c r="BH309" s="17"/>
      <c r="BI309" s="14"/>
      <c r="BJ309" s="17"/>
      <c r="BK309" s="14"/>
      <c r="BL309" s="17"/>
      <c r="BM309" s="14"/>
      <c r="BN309" s="17"/>
      <c r="BO309" s="14"/>
      <c r="BP309" s="17"/>
      <c r="BQ309" s="108">
        <f t="shared" si="520"/>
        <v>0</v>
      </c>
      <c r="BR309" s="567"/>
      <c r="BS309" s="571"/>
      <c r="BT309" s="572"/>
      <c r="BU309" s="558"/>
      <c r="BV309" s="561"/>
      <c r="BW309" s="564"/>
      <c r="BX309" s="616"/>
    </row>
    <row r="310" spans="1:76" ht="15.75" thickBot="1" x14ac:dyDescent="0.3">
      <c r="A310" s="587"/>
      <c r="B310" s="592"/>
      <c r="C310" s="593"/>
      <c r="D310" s="606"/>
      <c r="E310" s="519"/>
      <c r="F310" s="520"/>
      <c r="G310" s="525"/>
      <c r="H310" s="526"/>
      <c r="I310" s="531"/>
      <c r="J310" s="532"/>
      <c r="K310" s="514"/>
      <c r="L310" s="535"/>
      <c r="M310" s="538"/>
      <c r="N310" s="543"/>
      <c r="O310" s="544"/>
      <c r="P310" s="485"/>
      <c r="Q310" s="486"/>
      <c r="R310" s="519"/>
      <c r="S310" s="520"/>
      <c r="T310" s="489"/>
      <c r="U310" s="490"/>
      <c r="V310" s="493"/>
      <c r="W310" s="485"/>
      <c r="X310" s="496"/>
      <c r="Y310" s="486"/>
      <c r="Z310" s="499"/>
      <c r="AA310" s="504"/>
      <c r="AB310" s="505"/>
      <c r="AC310" s="476" t="s">
        <v>261</v>
      </c>
      <c r="AD310" s="477"/>
      <c r="AE310" s="478"/>
      <c r="AF310" s="102"/>
      <c r="AG310" s="102"/>
      <c r="AH310" s="102"/>
      <c r="AI310" s="102"/>
      <c r="AJ310" s="102"/>
      <c r="AK310" s="102"/>
      <c r="AL310" s="102"/>
      <c r="AM310" s="102"/>
      <c r="AN310" s="102"/>
      <c r="AO310" s="102"/>
      <c r="AP310" s="102"/>
      <c r="AQ310" s="103"/>
      <c r="AR310" s="105">
        <f t="shared" si="575"/>
        <v>0</v>
      </c>
      <c r="AS310" s="131" t="s">
        <v>161</v>
      </c>
      <c r="AT310" s="132">
        <f t="shared" ref="AT310:AX310" si="576">SUM(AT307:AT309)</f>
        <v>0</v>
      </c>
      <c r="AU310" s="132">
        <f t="shared" si="576"/>
        <v>0</v>
      </c>
      <c r="AV310" s="132">
        <f t="shared" si="576"/>
        <v>0</v>
      </c>
      <c r="AW310" s="133">
        <f t="shared" si="576"/>
        <v>0</v>
      </c>
      <c r="AX310" s="127">
        <f t="shared" si="576"/>
        <v>0</v>
      </c>
      <c r="AY310" s="144" t="s">
        <v>161</v>
      </c>
      <c r="AZ310" s="140">
        <f t="shared" ref="AZ310:BB310" si="577">SUM(AZ307:AZ309)</f>
        <v>0</v>
      </c>
      <c r="BA310" s="140">
        <f t="shared" si="577"/>
        <v>0</v>
      </c>
      <c r="BB310" s="140">
        <f t="shared" si="577"/>
        <v>0</v>
      </c>
      <c r="BC310" s="479" t="s">
        <v>263</v>
      </c>
      <c r="BD310" s="480"/>
      <c r="BE310" s="15"/>
      <c r="BF310" s="18"/>
      <c r="BG310" s="15"/>
      <c r="BH310" s="18"/>
      <c r="BI310" s="15"/>
      <c r="BJ310" s="18"/>
      <c r="BK310" s="15"/>
      <c r="BL310" s="18"/>
      <c r="BM310" s="15"/>
      <c r="BN310" s="18"/>
      <c r="BO310" s="15"/>
      <c r="BP310" s="18"/>
      <c r="BQ310" s="109">
        <f t="shared" si="520"/>
        <v>0</v>
      </c>
      <c r="BR310" s="568"/>
      <c r="BS310" s="573"/>
      <c r="BT310" s="574"/>
      <c r="BU310" s="559"/>
      <c r="BV310" s="562"/>
      <c r="BW310" s="565"/>
      <c r="BX310" s="617"/>
    </row>
    <row r="311" spans="1:76" ht="15.75" thickTop="1" x14ac:dyDescent="0.25">
      <c r="A311" s="585">
        <v>76</v>
      </c>
      <c r="B311" s="588"/>
      <c r="C311" s="589"/>
      <c r="D311" s="604"/>
      <c r="E311" s="515"/>
      <c r="F311" s="516"/>
      <c r="G311" s="521"/>
      <c r="H311" s="522"/>
      <c r="I311" s="527"/>
      <c r="J311" s="528"/>
      <c r="K311" s="512"/>
      <c r="L311" s="533"/>
      <c r="M311" s="536"/>
      <c r="N311" s="539"/>
      <c r="O311" s="540"/>
      <c r="P311" s="481"/>
      <c r="Q311" s="482"/>
      <c r="R311" s="515"/>
      <c r="S311" s="516"/>
      <c r="T311" s="487"/>
      <c r="U311" s="488"/>
      <c r="V311" s="491"/>
      <c r="W311" s="481"/>
      <c r="X311" s="494"/>
      <c r="Y311" s="482"/>
      <c r="Z311" s="497"/>
      <c r="AA311" s="500" t="s">
        <v>317</v>
      </c>
      <c r="AB311" s="501"/>
      <c r="AC311" s="506" t="s">
        <v>257</v>
      </c>
      <c r="AD311" s="507"/>
      <c r="AE311" s="507"/>
      <c r="AF311" s="510"/>
      <c r="AG311" s="510"/>
      <c r="AH311" s="510"/>
      <c r="AI311" s="510"/>
      <c r="AJ311" s="510"/>
      <c r="AK311" s="510"/>
      <c r="AL311" s="510"/>
      <c r="AM311" s="510"/>
      <c r="AN311" s="510"/>
      <c r="AO311" s="510"/>
      <c r="AP311" s="510"/>
      <c r="AQ311" s="465"/>
      <c r="AR311" s="467">
        <f t="shared" ref="AR311" si="578">SUM(AF311:AQ312)</f>
        <v>0</v>
      </c>
      <c r="AS311" s="119" t="s">
        <v>257</v>
      </c>
      <c r="AT311" s="120"/>
      <c r="AU311" s="120"/>
      <c r="AV311" s="120"/>
      <c r="AW311" s="121"/>
      <c r="AX311" s="125">
        <f t="shared" ref="AX311:AX313" si="579">SUM(AT311:AW311)</f>
        <v>0</v>
      </c>
      <c r="AY311" s="141" t="s">
        <v>257</v>
      </c>
      <c r="AZ311" s="137"/>
      <c r="BA311" s="137"/>
      <c r="BB311" s="134">
        <f t="shared" ref="BB311:BB313" si="580">AZ311-BA311</f>
        <v>0</v>
      </c>
      <c r="BC311" s="469" t="s">
        <v>258</v>
      </c>
      <c r="BD311" s="470"/>
      <c r="BE311" s="13"/>
      <c r="BF311" s="16"/>
      <c r="BG311" s="13"/>
      <c r="BH311" s="16"/>
      <c r="BI311" s="13"/>
      <c r="BJ311" s="16"/>
      <c r="BK311" s="13"/>
      <c r="BL311" s="16"/>
      <c r="BM311" s="13"/>
      <c r="BN311" s="16"/>
      <c r="BO311" s="13"/>
      <c r="BP311" s="16"/>
      <c r="BQ311" s="106">
        <f t="shared" si="520"/>
        <v>0</v>
      </c>
      <c r="BR311" s="566"/>
      <c r="BS311" s="569"/>
      <c r="BT311" s="570"/>
      <c r="BU311" s="557"/>
      <c r="BV311" s="560"/>
      <c r="BW311" s="563"/>
      <c r="BX311" s="615"/>
    </row>
    <row r="312" spans="1:76" x14ac:dyDescent="0.25">
      <c r="A312" s="586"/>
      <c r="B312" s="590"/>
      <c r="C312" s="591"/>
      <c r="D312" s="605"/>
      <c r="E312" s="517"/>
      <c r="F312" s="518"/>
      <c r="G312" s="523"/>
      <c r="H312" s="524"/>
      <c r="I312" s="529"/>
      <c r="J312" s="530"/>
      <c r="K312" s="513"/>
      <c r="L312" s="534"/>
      <c r="M312" s="537"/>
      <c r="N312" s="541"/>
      <c r="O312" s="542"/>
      <c r="P312" s="483"/>
      <c r="Q312" s="484"/>
      <c r="R312" s="517"/>
      <c r="S312" s="518"/>
      <c r="T312" s="487"/>
      <c r="U312" s="488"/>
      <c r="V312" s="492"/>
      <c r="W312" s="483"/>
      <c r="X312" s="495"/>
      <c r="Y312" s="484"/>
      <c r="Z312" s="498"/>
      <c r="AA312" s="502"/>
      <c r="AB312" s="503"/>
      <c r="AC312" s="508"/>
      <c r="AD312" s="509"/>
      <c r="AE312" s="509"/>
      <c r="AF312" s="511"/>
      <c r="AG312" s="511"/>
      <c r="AH312" s="511"/>
      <c r="AI312" s="511"/>
      <c r="AJ312" s="511"/>
      <c r="AK312" s="511"/>
      <c r="AL312" s="511"/>
      <c r="AM312" s="511"/>
      <c r="AN312" s="511"/>
      <c r="AO312" s="511"/>
      <c r="AP312" s="511"/>
      <c r="AQ312" s="466"/>
      <c r="AR312" s="468"/>
      <c r="AS312" s="122" t="s">
        <v>259</v>
      </c>
      <c r="AT312" s="123"/>
      <c r="AU312" s="123"/>
      <c r="AV312" s="123"/>
      <c r="AW312" s="124"/>
      <c r="AX312" s="126">
        <f t="shared" si="579"/>
        <v>0</v>
      </c>
      <c r="AY312" s="142" t="s">
        <v>259</v>
      </c>
      <c r="AZ312" s="138"/>
      <c r="BA312" s="138"/>
      <c r="BB312" s="135">
        <f t="shared" si="580"/>
        <v>0</v>
      </c>
      <c r="BC312" s="474" t="s">
        <v>260</v>
      </c>
      <c r="BD312" s="475"/>
      <c r="BE312" s="14"/>
      <c r="BF312" s="17"/>
      <c r="BG312" s="14"/>
      <c r="BH312" s="17"/>
      <c r="BI312" s="14"/>
      <c r="BJ312" s="17"/>
      <c r="BK312" s="14"/>
      <c r="BL312" s="17"/>
      <c r="BM312" s="14"/>
      <c r="BN312" s="17"/>
      <c r="BO312" s="14"/>
      <c r="BP312" s="17"/>
      <c r="BQ312" s="107">
        <f t="shared" si="520"/>
        <v>0</v>
      </c>
      <c r="BR312" s="567"/>
      <c r="BS312" s="571"/>
      <c r="BT312" s="572"/>
      <c r="BU312" s="558"/>
      <c r="BV312" s="561"/>
      <c r="BW312" s="564"/>
      <c r="BX312" s="616"/>
    </row>
    <row r="313" spans="1:76" ht="15.75" thickBot="1" x14ac:dyDescent="0.3">
      <c r="A313" s="586"/>
      <c r="B313" s="590"/>
      <c r="C313" s="591"/>
      <c r="D313" s="605"/>
      <c r="E313" s="517"/>
      <c r="F313" s="518"/>
      <c r="G313" s="523"/>
      <c r="H313" s="524"/>
      <c r="I313" s="529"/>
      <c r="J313" s="530"/>
      <c r="K313" s="513"/>
      <c r="L313" s="534"/>
      <c r="M313" s="537"/>
      <c r="N313" s="541"/>
      <c r="O313" s="542"/>
      <c r="P313" s="483"/>
      <c r="Q313" s="484"/>
      <c r="R313" s="517"/>
      <c r="S313" s="518"/>
      <c r="T313" s="487"/>
      <c r="U313" s="488"/>
      <c r="V313" s="492"/>
      <c r="W313" s="483"/>
      <c r="X313" s="495"/>
      <c r="Y313" s="484"/>
      <c r="Z313" s="498"/>
      <c r="AA313" s="502"/>
      <c r="AB313" s="503"/>
      <c r="AC313" s="471" t="s">
        <v>259</v>
      </c>
      <c r="AD313" s="472"/>
      <c r="AE313" s="473"/>
      <c r="AF313" s="100"/>
      <c r="AG313" s="100"/>
      <c r="AH313" s="100"/>
      <c r="AI313" s="100"/>
      <c r="AJ313" s="100"/>
      <c r="AK313" s="100"/>
      <c r="AL313" s="100"/>
      <c r="AM313" s="100"/>
      <c r="AN313" s="100"/>
      <c r="AO313" s="100"/>
      <c r="AP313" s="100"/>
      <c r="AQ313" s="101"/>
      <c r="AR313" s="104">
        <f t="shared" ref="AR313:AR314" si="581">SUM(AF313:AQ313)</f>
        <v>0</v>
      </c>
      <c r="AS313" s="128" t="s">
        <v>261</v>
      </c>
      <c r="AT313" s="129"/>
      <c r="AU313" s="129"/>
      <c r="AV313" s="129"/>
      <c r="AW313" s="130"/>
      <c r="AX313" s="126">
        <f t="shared" si="579"/>
        <v>0</v>
      </c>
      <c r="AY313" s="143" t="s">
        <v>261</v>
      </c>
      <c r="AZ313" s="139"/>
      <c r="BA313" s="139"/>
      <c r="BB313" s="136">
        <f t="shared" si="580"/>
        <v>0</v>
      </c>
      <c r="BC313" s="474" t="s">
        <v>262</v>
      </c>
      <c r="BD313" s="475"/>
      <c r="BE313" s="14"/>
      <c r="BF313" s="17"/>
      <c r="BG313" s="14"/>
      <c r="BH313" s="17"/>
      <c r="BI313" s="14"/>
      <c r="BJ313" s="17"/>
      <c r="BK313" s="14"/>
      <c r="BL313" s="17"/>
      <c r="BM313" s="14"/>
      <c r="BN313" s="17"/>
      <c r="BO313" s="14"/>
      <c r="BP313" s="17"/>
      <c r="BQ313" s="108">
        <f t="shared" si="520"/>
        <v>0</v>
      </c>
      <c r="BR313" s="567"/>
      <c r="BS313" s="571"/>
      <c r="BT313" s="572"/>
      <c r="BU313" s="558"/>
      <c r="BV313" s="561"/>
      <c r="BW313" s="564"/>
      <c r="BX313" s="616"/>
    </row>
    <row r="314" spans="1:76" ht="15.75" thickBot="1" x14ac:dyDescent="0.3">
      <c r="A314" s="587"/>
      <c r="B314" s="592"/>
      <c r="C314" s="593"/>
      <c r="D314" s="606"/>
      <c r="E314" s="519"/>
      <c r="F314" s="520"/>
      <c r="G314" s="525"/>
      <c r="H314" s="526"/>
      <c r="I314" s="531"/>
      <c r="J314" s="532"/>
      <c r="K314" s="514"/>
      <c r="L314" s="535"/>
      <c r="M314" s="538"/>
      <c r="N314" s="543"/>
      <c r="O314" s="544"/>
      <c r="P314" s="485"/>
      <c r="Q314" s="486"/>
      <c r="R314" s="519"/>
      <c r="S314" s="520"/>
      <c r="T314" s="489"/>
      <c r="U314" s="490"/>
      <c r="V314" s="493"/>
      <c r="W314" s="485"/>
      <c r="X314" s="496"/>
      <c r="Y314" s="486"/>
      <c r="Z314" s="499"/>
      <c r="AA314" s="504"/>
      <c r="AB314" s="505"/>
      <c r="AC314" s="476" t="s">
        <v>261</v>
      </c>
      <c r="AD314" s="477"/>
      <c r="AE314" s="478"/>
      <c r="AF314" s="102"/>
      <c r="AG314" s="102"/>
      <c r="AH314" s="102"/>
      <c r="AI314" s="102"/>
      <c r="AJ314" s="102"/>
      <c r="AK314" s="102"/>
      <c r="AL314" s="102"/>
      <c r="AM314" s="102"/>
      <c r="AN314" s="102"/>
      <c r="AO314" s="102"/>
      <c r="AP314" s="102"/>
      <c r="AQ314" s="103"/>
      <c r="AR314" s="105">
        <f t="shared" si="581"/>
        <v>0</v>
      </c>
      <c r="AS314" s="131" t="s">
        <v>161</v>
      </c>
      <c r="AT314" s="132">
        <f t="shared" ref="AT314:AX314" si="582">SUM(AT311:AT313)</f>
        <v>0</v>
      </c>
      <c r="AU314" s="132">
        <f t="shared" si="582"/>
        <v>0</v>
      </c>
      <c r="AV314" s="132">
        <f t="shared" si="582"/>
        <v>0</v>
      </c>
      <c r="AW314" s="133">
        <f t="shared" si="582"/>
        <v>0</v>
      </c>
      <c r="AX314" s="127">
        <f t="shared" si="582"/>
        <v>0</v>
      </c>
      <c r="AY314" s="144" t="s">
        <v>161</v>
      </c>
      <c r="AZ314" s="140">
        <f t="shared" ref="AZ314:BB314" si="583">SUM(AZ311:AZ313)</f>
        <v>0</v>
      </c>
      <c r="BA314" s="140">
        <f t="shared" si="583"/>
        <v>0</v>
      </c>
      <c r="BB314" s="140">
        <f t="shared" si="583"/>
        <v>0</v>
      </c>
      <c r="BC314" s="479" t="s">
        <v>263</v>
      </c>
      <c r="BD314" s="480"/>
      <c r="BE314" s="15"/>
      <c r="BF314" s="18"/>
      <c r="BG314" s="15"/>
      <c r="BH314" s="18"/>
      <c r="BI314" s="15"/>
      <c r="BJ314" s="18"/>
      <c r="BK314" s="15"/>
      <c r="BL314" s="18"/>
      <c r="BM314" s="15"/>
      <c r="BN314" s="18"/>
      <c r="BO314" s="15"/>
      <c r="BP314" s="18"/>
      <c r="BQ314" s="109">
        <f t="shared" si="520"/>
        <v>0</v>
      </c>
      <c r="BR314" s="568"/>
      <c r="BS314" s="573"/>
      <c r="BT314" s="574"/>
      <c r="BU314" s="559"/>
      <c r="BV314" s="562"/>
      <c r="BW314" s="565"/>
      <c r="BX314" s="617"/>
    </row>
    <row r="315" spans="1:76" ht="15.75" thickTop="1" x14ac:dyDescent="0.25">
      <c r="A315" s="585">
        <v>77</v>
      </c>
      <c r="B315" s="588"/>
      <c r="C315" s="589"/>
      <c r="D315" s="604"/>
      <c r="E315" s="515"/>
      <c r="F315" s="516"/>
      <c r="G315" s="521"/>
      <c r="H315" s="522"/>
      <c r="I315" s="527"/>
      <c r="J315" s="528"/>
      <c r="K315" s="512"/>
      <c r="L315" s="533"/>
      <c r="M315" s="536"/>
      <c r="N315" s="539"/>
      <c r="O315" s="540"/>
      <c r="P315" s="481"/>
      <c r="Q315" s="482"/>
      <c r="R315" s="515"/>
      <c r="S315" s="516"/>
      <c r="T315" s="487"/>
      <c r="U315" s="488"/>
      <c r="V315" s="491"/>
      <c r="W315" s="481"/>
      <c r="X315" s="494"/>
      <c r="Y315" s="482"/>
      <c r="Z315" s="497"/>
      <c r="AA315" s="500" t="s">
        <v>318</v>
      </c>
      <c r="AB315" s="501"/>
      <c r="AC315" s="506" t="s">
        <v>257</v>
      </c>
      <c r="AD315" s="507"/>
      <c r="AE315" s="507"/>
      <c r="AF315" s="510"/>
      <c r="AG315" s="510"/>
      <c r="AH315" s="510"/>
      <c r="AI315" s="510"/>
      <c r="AJ315" s="510"/>
      <c r="AK315" s="510"/>
      <c r="AL315" s="510"/>
      <c r="AM315" s="510"/>
      <c r="AN315" s="510"/>
      <c r="AO315" s="510"/>
      <c r="AP315" s="510"/>
      <c r="AQ315" s="465"/>
      <c r="AR315" s="467">
        <f t="shared" ref="AR315" si="584">SUM(AF315:AQ316)</f>
        <v>0</v>
      </c>
      <c r="AS315" s="119" t="s">
        <v>257</v>
      </c>
      <c r="AT315" s="120"/>
      <c r="AU315" s="120"/>
      <c r="AV315" s="120"/>
      <c r="AW315" s="121"/>
      <c r="AX315" s="125">
        <f t="shared" ref="AX315:AX317" si="585">SUM(AT315:AW315)</f>
        <v>0</v>
      </c>
      <c r="AY315" s="141" t="s">
        <v>257</v>
      </c>
      <c r="AZ315" s="137"/>
      <c r="BA315" s="137"/>
      <c r="BB315" s="134">
        <f t="shared" ref="BB315:BB317" si="586">AZ315-BA315</f>
        <v>0</v>
      </c>
      <c r="BC315" s="469" t="s">
        <v>258</v>
      </c>
      <c r="BD315" s="470"/>
      <c r="BE315" s="13"/>
      <c r="BF315" s="16"/>
      <c r="BG315" s="13"/>
      <c r="BH315" s="16"/>
      <c r="BI315" s="13"/>
      <c r="BJ315" s="16"/>
      <c r="BK315" s="13"/>
      <c r="BL315" s="16"/>
      <c r="BM315" s="13"/>
      <c r="BN315" s="16"/>
      <c r="BO315" s="13"/>
      <c r="BP315" s="16"/>
      <c r="BQ315" s="106">
        <f t="shared" si="520"/>
        <v>0</v>
      </c>
      <c r="BR315" s="566"/>
      <c r="BS315" s="569"/>
      <c r="BT315" s="570"/>
      <c r="BU315" s="557"/>
      <c r="BV315" s="560"/>
      <c r="BW315" s="563"/>
      <c r="BX315" s="615"/>
    </row>
    <row r="316" spans="1:76" x14ac:dyDescent="0.25">
      <c r="A316" s="586"/>
      <c r="B316" s="590"/>
      <c r="C316" s="591"/>
      <c r="D316" s="605"/>
      <c r="E316" s="517"/>
      <c r="F316" s="518"/>
      <c r="G316" s="523"/>
      <c r="H316" s="524"/>
      <c r="I316" s="529"/>
      <c r="J316" s="530"/>
      <c r="K316" s="513"/>
      <c r="L316" s="534"/>
      <c r="M316" s="537"/>
      <c r="N316" s="541"/>
      <c r="O316" s="542"/>
      <c r="P316" s="483"/>
      <c r="Q316" s="484"/>
      <c r="R316" s="517"/>
      <c r="S316" s="518"/>
      <c r="T316" s="487"/>
      <c r="U316" s="488"/>
      <c r="V316" s="492"/>
      <c r="W316" s="483"/>
      <c r="X316" s="495"/>
      <c r="Y316" s="484"/>
      <c r="Z316" s="498"/>
      <c r="AA316" s="502"/>
      <c r="AB316" s="503"/>
      <c r="AC316" s="508"/>
      <c r="AD316" s="509"/>
      <c r="AE316" s="509"/>
      <c r="AF316" s="511"/>
      <c r="AG316" s="511"/>
      <c r="AH316" s="511"/>
      <c r="AI316" s="511"/>
      <c r="AJ316" s="511"/>
      <c r="AK316" s="511"/>
      <c r="AL316" s="511"/>
      <c r="AM316" s="511"/>
      <c r="AN316" s="511"/>
      <c r="AO316" s="511"/>
      <c r="AP316" s="511"/>
      <c r="AQ316" s="466"/>
      <c r="AR316" s="468"/>
      <c r="AS316" s="122" t="s">
        <v>259</v>
      </c>
      <c r="AT316" s="123"/>
      <c r="AU316" s="123"/>
      <c r="AV316" s="123"/>
      <c r="AW316" s="124"/>
      <c r="AX316" s="126">
        <f t="shared" si="585"/>
        <v>0</v>
      </c>
      <c r="AY316" s="142" t="s">
        <v>259</v>
      </c>
      <c r="AZ316" s="138"/>
      <c r="BA316" s="138"/>
      <c r="BB316" s="135">
        <f t="shared" si="586"/>
        <v>0</v>
      </c>
      <c r="BC316" s="474" t="s">
        <v>260</v>
      </c>
      <c r="BD316" s="475"/>
      <c r="BE316" s="14"/>
      <c r="BF316" s="17"/>
      <c r="BG316" s="14"/>
      <c r="BH316" s="17"/>
      <c r="BI316" s="14"/>
      <c r="BJ316" s="17"/>
      <c r="BK316" s="14"/>
      <c r="BL316" s="17"/>
      <c r="BM316" s="14"/>
      <c r="BN316" s="17"/>
      <c r="BO316" s="14"/>
      <c r="BP316" s="17"/>
      <c r="BQ316" s="107">
        <f t="shared" si="520"/>
        <v>0</v>
      </c>
      <c r="BR316" s="567"/>
      <c r="BS316" s="571"/>
      <c r="BT316" s="572"/>
      <c r="BU316" s="558"/>
      <c r="BV316" s="561"/>
      <c r="BW316" s="564"/>
      <c r="BX316" s="616"/>
    </row>
    <row r="317" spans="1:76" ht="15.75" thickBot="1" x14ac:dyDescent="0.3">
      <c r="A317" s="586"/>
      <c r="B317" s="590"/>
      <c r="C317" s="591"/>
      <c r="D317" s="605"/>
      <c r="E317" s="517"/>
      <c r="F317" s="518"/>
      <c r="G317" s="523"/>
      <c r="H317" s="524"/>
      <c r="I317" s="529"/>
      <c r="J317" s="530"/>
      <c r="K317" s="513"/>
      <c r="L317" s="534"/>
      <c r="M317" s="537"/>
      <c r="N317" s="541"/>
      <c r="O317" s="542"/>
      <c r="P317" s="483"/>
      <c r="Q317" s="484"/>
      <c r="R317" s="517"/>
      <c r="S317" s="518"/>
      <c r="T317" s="487"/>
      <c r="U317" s="488"/>
      <c r="V317" s="492"/>
      <c r="W317" s="483"/>
      <c r="X317" s="495"/>
      <c r="Y317" s="484"/>
      <c r="Z317" s="498"/>
      <c r="AA317" s="502"/>
      <c r="AB317" s="503"/>
      <c r="AC317" s="471" t="s">
        <v>259</v>
      </c>
      <c r="AD317" s="472"/>
      <c r="AE317" s="473"/>
      <c r="AF317" s="100"/>
      <c r="AG317" s="100"/>
      <c r="AH317" s="100"/>
      <c r="AI317" s="100"/>
      <c r="AJ317" s="100"/>
      <c r="AK317" s="100"/>
      <c r="AL317" s="100"/>
      <c r="AM317" s="100"/>
      <c r="AN317" s="100"/>
      <c r="AO317" s="100"/>
      <c r="AP317" s="100"/>
      <c r="AQ317" s="101"/>
      <c r="AR317" s="104">
        <f t="shared" ref="AR317:AR318" si="587">SUM(AF317:AQ317)</f>
        <v>0</v>
      </c>
      <c r="AS317" s="128" t="s">
        <v>261</v>
      </c>
      <c r="AT317" s="129"/>
      <c r="AU317" s="129"/>
      <c r="AV317" s="129"/>
      <c r="AW317" s="130"/>
      <c r="AX317" s="126">
        <f t="shared" si="585"/>
        <v>0</v>
      </c>
      <c r="AY317" s="143" t="s">
        <v>261</v>
      </c>
      <c r="AZ317" s="139"/>
      <c r="BA317" s="139"/>
      <c r="BB317" s="136">
        <f t="shared" si="586"/>
        <v>0</v>
      </c>
      <c r="BC317" s="474" t="s">
        <v>262</v>
      </c>
      <c r="BD317" s="475"/>
      <c r="BE317" s="14"/>
      <c r="BF317" s="17"/>
      <c r="BG317" s="14"/>
      <c r="BH317" s="17"/>
      <c r="BI317" s="14"/>
      <c r="BJ317" s="17"/>
      <c r="BK317" s="14"/>
      <c r="BL317" s="17"/>
      <c r="BM317" s="14"/>
      <c r="BN317" s="17"/>
      <c r="BO317" s="14"/>
      <c r="BP317" s="17"/>
      <c r="BQ317" s="108">
        <f t="shared" si="520"/>
        <v>0</v>
      </c>
      <c r="BR317" s="567"/>
      <c r="BS317" s="571"/>
      <c r="BT317" s="572"/>
      <c r="BU317" s="558"/>
      <c r="BV317" s="561"/>
      <c r="BW317" s="564"/>
      <c r="BX317" s="616"/>
    </row>
    <row r="318" spans="1:76" ht="15.75" thickBot="1" x14ac:dyDescent="0.3">
      <c r="A318" s="587"/>
      <c r="B318" s="592"/>
      <c r="C318" s="593"/>
      <c r="D318" s="606"/>
      <c r="E318" s="519"/>
      <c r="F318" s="520"/>
      <c r="G318" s="525"/>
      <c r="H318" s="526"/>
      <c r="I318" s="531"/>
      <c r="J318" s="532"/>
      <c r="K318" s="514"/>
      <c r="L318" s="535"/>
      <c r="M318" s="538"/>
      <c r="N318" s="543"/>
      <c r="O318" s="544"/>
      <c r="P318" s="485"/>
      <c r="Q318" s="486"/>
      <c r="R318" s="519"/>
      <c r="S318" s="520"/>
      <c r="T318" s="489"/>
      <c r="U318" s="490"/>
      <c r="V318" s="493"/>
      <c r="W318" s="485"/>
      <c r="X318" s="496"/>
      <c r="Y318" s="486"/>
      <c r="Z318" s="499"/>
      <c r="AA318" s="504"/>
      <c r="AB318" s="505"/>
      <c r="AC318" s="476" t="s">
        <v>261</v>
      </c>
      <c r="AD318" s="477"/>
      <c r="AE318" s="478"/>
      <c r="AF318" s="102"/>
      <c r="AG318" s="102"/>
      <c r="AH318" s="102"/>
      <c r="AI318" s="102"/>
      <c r="AJ318" s="102"/>
      <c r="AK318" s="102"/>
      <c r="AL318" s="102"/>
      <c r="AM318" s="102"/>
      <c r="AN318" s="102"/>
      <c r="AO318" s="102"/>
      <c r="AP318" s="102"/>
      <c r="AQ318" s="103"/>
      <c r="AR318" s="105">
        <f t="shared" si="587"/>
        <v>0</v>
      </c>
      <c r="AS318" s="131" t="s">
        <v>161</v>
      </c>
      <c r="AT318" s="132">
        <f t="shared" ref="AT318:AX318" si="588">SUM(AT315:AT317)</f>
        <v>0</v>
      </c>
      <c r="AU318" s="132">
        <f t="shared" si="588"/>
        <v>0</v>
      </c>
      <c r="AV318" s="132">
        <f t="shared" si="588"/>
        <v>0</v>
      </c>
      <c r="AW318" s="133">
        <f t="shared" si="588"/>
        <v>0</v>
      </c>
      <c r="AX318" s="127">
        <f t="shared" si="588"/>
        <v>0</v>
      </c>
      <c r="AY318" s="144" t="s">
        <v>161</v>
      </c>
      <c r="AZ318" s="140">
        <f t="shared" ref="AZ318:BB318" si="589">SUM(AZ315:AZ317)</f>
        <v>0</v>
      </c>
      <c r="BA318" s="140">
        <f t="shared" si="589"/>
        <v>0</v>
      </c>
      <c r="BB318" s="140">
        <f t="shared" si="589"/>
        <v>0</v>
      </c>
      <c r="BC318" s="479" t="s">
        <v>263</v>
      </c>
      <c r="BD318" s="480"/>
      <c r="BE318" s="15"/>
      <c r="BF318" s="18"/>
      <c r="BG318" s="15"/>
      <c r="BH318" s="18"/>
      <c r="BI318" s="15"/>
      <c r="BJ318" s="18"/>
      <c r="BK318" s="15"/>
      <c r="BL318" s="18"/>
      <c r="BM318" s="15"/>
      <c r="BN318" s="18"/>
      <c r="BO318" s="15"/>
      <c r="BP318" s="18"/>
      <c r="BQ318" s="109">
        <f t="shared" si="520"/>
        <v>0</v>
      </c>
      <c r="BR318" s="568"/>
      <c r="BS318" s="573"/>
      <c r="BT318" s="574"/>
      <c r="BU318" s="559"/>
      <c r="BV318" s="562"/>
      <c r="BW318" s="565"/>
      <c r="BX318" s="617"/>
    </row>
    <row r="319" spans="1:76" ht="15.75" thickTop="1" x14ac:dyDescent="0.25">
      <c r="A319" s="585">
        <v>78</v>
      </c>
      <c r="B319" s="588"/>
      <c r="C319" s="589"/>
      <c r="D319" s="604"/>
      <c r="E319" s="515"/>
      <c r="F319" s="516"/>
      <c r="G319" s="521"/>
      <c r="H319" s="522"/>
      <c r="I319" s="527"/>
      <c r="J319" s="528"/>
      <c r="K319" s="512"/>
      <c r="L319" s="533"/>
      <c r="M319" s="536"/>
      <c r="N319" s="539"/>
      <c r="O319" s="540"/>
      <c r="P319" s="481"/>
      <c r="Q319" s="482"/>
      <c r="R319" s="515"/>
      <c r="S319" s="516"/>
      <c r="T319" s="487"/>
      <c r="U319" s="488"/>
      <c r="V319" s="491"/>
      <c r="W319" s="481"/>
      <c r="X319" s="494"/>
      <c r="Y319" s="482"/>
      <c r="Z319" s="497"/>
      <c r="AA319" s="500" t="s">
        <v>319</v>
      </c>
      <c r="AB319" s="501"/>
      <c r="AC319" s="506" t="s">
        <v>257</v>
      </c>
      <c r="AD319" s="507"/>
      <c r="AE319" s="507"/>
      <c r="AF319" s="510"/>
      <c r="AG319" s="510"/>
      <c r="AH319" s="510"/>
      <c r="AI319" s="510"/>
      <c r="AJ319" s="510"/>
      <c r="AK319" s="510"/>
      <c r="AL319" s="510"/>
      <c r="AM319" s="510"/>
      <c r="AN319" s="510"/>
      <c r="AO319" s="510"/>
      <c r="AP319" s="510"/>
      <c r="AQ319" s="465"/>
      <c r="AR319" s="467">
        <f t="shared" ref="AR319" si="590">SUM(AF319:AQ320)</f>
        <v>0</v>
      </c>
      <c r="AS319" s="119" t="s">
        <v>257</v>
      </c>
      <c r="AT319" s="120"/>
      <c r="AU319" s="120"/>
      <c r="AV319" s="120"/>
      <c r="AW319" s="121"/>
      <c r="AX319" s="125">
        <f t="shared" ref="AX319:AX321" si="591">SUM(AT319:AW319)</f>
        <v>0</v>
      </c>
      <c r="AY319" s="141" t="s">
        <v>257</v>
      </c>
      <c r="AZ319" s="137"/>
      <c r="BA319" s="137"/>
      <c r="BB319" s="134">
        <f t="shared" ref="BB319:BB321" si="592">AZ319-BA319</f>
        <v>0</v>
      </c>
      <c r="BC319" s="469" t="s">
        <v>258</v>
      </c>
      <c r="BD319" s="470"/>
      <c r="BE319" s="13"/>
      <c r="BF319" s="16"/>
      <c r="BG319" s="13"/>
      <c r="BH319" s="16"/>
      <c r="BI319" s="13"/>
      <c r="BJ319" s="16"/>
      <c r="BK319" s="13"/>
      <c r="BL319" s="16"/>
      <c r="BM319" s="13"/>
      <c r="BN319" s="16"/>
      <c r="BO319" s="13"/>
      <c r="BP319" s="16"/>
      <c r="BQ319" s="106">
        <f t="shared" si="520"/>
        <v>0</v>
      </c>
      <c r="BR319" s="566"/>
      <c r="BS319" s="569"/>
      <c r="BT319" s="570"/>
      <c r="BU319" s="557"/>
      <c r="BV319" s="560"/>
      <c r="BW319" s="563"/>
      <c r="BX319" s="615"/>
    </row>
    <row r="320" spans="1:76" x14ac:dyDescent="0.25">
      <c r="A320" s="586"/>
      <c r="B320" s="590"/>
      <c r="C320" s="591"/>
      <c r="D320" s="605"/>
      <c r="E320" s="517"/>
      <c r="F320" s="518"/>
      <c r="G320" s="523"/>
      <c r="H320" s="524"/>
      <c r="I320" s="529"/>
      <c r="J320" s="530"/>
      <c r="K320" s="513"/>
      <c r="L320" s="534"/>
      <c r="M320" s="537"/>
      <c r="N320" s="541"/>
      <c r="O320" s="542"/>
      <c r="P320" s="483"/>
      <c r="Q320" s="484"/>
      <c r="R320" s="517"/>
      <c r="S320" s="518"/>
      <c r="T320" s="487"/>
      <c r="U320" s="488"/>
      <c r="V320" s="492"/>
      <c r="W320" s="483"/>
      <c r="X320" s="495"/>
      <c r="Y320" s="484"/>
      <c r="Z320" s="498"/>
      <c r="AA320" s="502"/>
      <c r="AB320" s="503"/>
      <c r="AC320" s="508"/>
      <c r="AD320" s="509"/>
      <c r="AE320" s="509"/>
      <c r="AF320" s="511"/>
      <c r="AG320" s="511"/>
      <c r="AH320" s="511"/>
      <c r="AI320" s="511"/>
      <c r="AJ320" s="511"/>
      <c r="AK320" s="511"/>
      <c r="AL320" s="511"/>
      <c r="AM320" s="511"/>
      <c r="AN320" s="511"/>
      <c r="AO320" s="511"/>
      <c r="AP320" s="511"/>
      <c r="AQ320" s="466"/>
      <c r="AR320" s="468"/>
      <c r="AS320" s="122" t="s">
        <v>259</v>
      </c>
      <c r="AT320" s="123"/>
      <c r="AU320" s="123"/>
      <c r="AV320" s="123"/>
      <c r="AW320" s="124"/>
      <c r="AX320" s="126">
        <f t="shared" si="591"/>
        <v>0</v>
      </c>
      <c r="AY320" s="142" t="s">
        <v>259</v>
      </c>
      <c r="AZ320" s="138"/>
      <c r="BA320" s="138"/>
      <c r="BB320" s="135">
        <f t="shared" si="592"/>
        <v>0</v>
      </c>
      <c r="BC320" s="474" t="s">
        <v>260</v>
      </c>
      <c r="BD320" s="475"/>
      <c r="BE320" s="14"/>
      <c r="BF320" s="17"/>
      <c r="BG320" s="14"/>
      <c r="BH320" s="17"/>
      <c r="BI320" s="14"/>
      <c r="BJ320" s="17"/>
      <c r="BK320" s="14"/>
      <c r="BL320" s="17"/>
      <c r="BM320" s="14"/>
      <c r="BN320" s="17"/>
      <c r="BO320" s="14"/>
      <c r="BP320" s="17"/>
      <c r="BQ320" s="107">
        <f t="shared" si="520"/>
        <v>0</v>
      </c>
      <c r="BR320" s="567"/>
      <c r="BS320" s="571"/>
      <c r="BT320" s="572"/>
      <c r="BU320" s="558"/>
      <c r="BV320" s="561"/>
      <c r="BW320" s="564"/>
      <c r="BX320" s="616"/>
    </row>
    <row r="321" spans="1:76" ht="15.75" thickBot="1" x14ac:dyDescent="0.3">
      <c r="A321" s="586"/>
      <c r="B321" s="590"/>
      <c r="C321" s="591"/>
      <c r="D321" s="605"/>
      <c r="E321" s="517"/>
      <c r="F321" s="518"/>
      <c r="G321" s="523"/>
      <c r="H321" s="524"/>
      <c r="I321" s="529"/>
      <c r="J321" s="530"/>
      <c r="K321" s="513"/>
      <c r="L321" s="534"/>
      <c r="M321" s="537"/>
      <c r="N321" s="541"/>
      <c r="O321" s="542"/>
      <c r="P321" s="483"/>
      <c r="Q321" s="484"/>
      <c r="R321" s="517"/>
      <c r="S321" s="518"/>
      <c r="T321" s="487"/>
      <c r="U321" s="488"/>
      <c r="V321" s="492"/>
      <c r="W321" s="483"/>
      <c r="X321" s="495"/>
      <c r="Y321" s="484"/>
      <c r="Z321" s="498"/>
      <c r="AA321" s="502"/>
      <c r="AB321" s="503"/>
      <c r="AC321" s="471" t="s">
        <v>259</v>
      </c>
      <c r="AD321" s="472"/>
      <c r="AE321" s="473"/>
      <c r="AF321" s="100"/>
      <c r="AG321" s="100"/>
      <c r="AH321" s="100"/>
      <c r="AI321" s="100"/>
      <c r="AJ321" s="100"/>
      <c r="AK321" s="100"/>
      <c r="AL321" s="100"/>
      <c r="AM321" s="100"/>
      <c r="AN321" s="100"/>
      <c r="AO321" s="100"/>
      <c r="AP321" s="100"/>
      <c r="AQ321" s="101"/>
      <c r="AR321" s="104">
        <f t="shared" ref="AR321:AR322" si="593">SUM(AF321:AQ321)</f>
        <v>0</v>
      </c>
      <c r="AS321" s="128" t="s">
        <v>261</v>
      </c>
      <c r="AT321" s="129"/>
      <c r="AU321" s="129"/>
      <c r="AV321" s="129"/>
      <c r="AW321" s="130"/>
      <c r="AX321" s="126">
        <f t="shared" si="591"/>
        <v>0</v>
      </c>
      <c r="AY321" s="143" t="s">
        <v>261</v>
      </c>
      <c r="AZ321" s="139"/>
      <c r="BA321" s="139"/>
      <c r="BB321" s="136">
        <f t="shared" si="592"/>
        <v>0</v>
      </c>
      <c r="BC321" s="474" t="s">
        <v>262</v>
      </c>
      <c r="BD321" s="475"/>
      <c r="BE321" s="14"/>
      <c r="BF321" s="17"/>
      <c r="BG321" s="14"/>
      <c r="BH321" s="17"/>
      <c r="BI321" s="14"/>
      <c r="BJ321" s="17"/>
      <c r="BK321" s="14"/>
      <c r="BL321" s="17"/>
      <c r="BM321" s="14"/>
      <c r="BN321" s="17"/>
      <c r="BO321" s="14"/>
      <c r="BP321" s="17"/>
      <c r="BQ321" s="108">
        <f t="shared" si="520"/>
        <v>0</v>
      </c>
      <c r="BR321" s="567"/>
      <c r="BS321" s="571"/>
      <c r="BT321" s="572"/>
      <c r="BU321" s="558"/>
      <c r="BV321" s="561"/>
      <c r="BW321" s="564"/>
      <c r="BX321" s="616"/>
    </row>
    <row r="322" spans="1:76" ht="15.75" thickBot="1" x14ac:dyDescent="0.3">
      <c r="A322" s="587"/>
      <c r="B322" s="592"/>
      <c r="C322" s="593"/>
      <c r="D322" s="606"/>
      <c r="E322" s="519"/>
      <c r="F322" s="520"/>
      <c r="G322" s="525"/>
      <c r="H322" s="526"/>
      <c r="I322" s="531"/>
      <c r="J322" s="532"/>
      <c r="K322" s="514"/>
      <c r="L322" s="535"/>
      <c r="M322" s="538"/>
      <c r="N322" s="543"/>
      <c r="O322" s="544"/>
      <c r="P322" s="485"/>
      <c r="Q322" s="486"/>
      <c r="R322" s="519"/>
      <c r="S322" s="520"/>
      <c r="T322" s="489"/>
      <c r="U322" s="490"/>
      <c r="V322" s="493"/>
      <c r="W322" s="485"/>
      <c r="X322" s="496"/>
      <c r="Y322" s="486"/>
      <c r="Z322" s="499"/>
      <c r="AA322" s="504"/>
      <c r="AB322" s="505"/>
      <c r="AC322" s="476" t="s">
        <v>261</v>
      </c>
      <c r="AD322" s="477"/>
      <c r="AE322" s="478"/>
      <c r="AF322" s="102"/>
      <c r="AG322" s="102"/>
      <c r="AH322" s="102"/>
      <c r="AI322" s="102"/>
      <c r="AJ322" s="102"/>
      <c r="AK322" s="102"/>
      <c r="AL322" s="102"/>
      <c r="AM322" s="102"/>
      <c r="AN322" s="102"/>
      <c r="AO322" s="102"/>
      <c r="AP322" s="102"/>
      <c r="AQ322" s="103"/>
      <c r="AR322" s="105">
        <f t="shared" si="593"/>
        <v>0</v>
      </c>
      <c r="AS322" s="131" t="s">
        <v>161</v>
      </c>
      <c r="AT322" s="132">
        <f t="shared" ref="AT322:AX322" si="594">SUM(AT319:AT321)</f>
        <v>0</v>
      </c>
      <c r="AU322" s="132">
        <f t="shared" si="594"/>
        <v>0</v>
      </c>
      <c r="AV322" s="132">
        <f t="shared" si="594"/>
        <v>0</v>
      </c>
      <c r="AW322" s="133">
        <f t="shared" si="594"/>
        <v>0</v>
      </c>
      <c r="AX322" s="127">
        <f t="shared" si="594"/>
        <v>0</v>
      </c>
      <c r="AY322" s="144" t="s">
        <v>161</v>
      </c>
      <c r="AZ322" s="140">
        <f t="shared" ref="AZ322:BB322" si="595">SUM(AZ319:AZ321)</f>
        <v>0</v>
      </c>
      <c r="BA322" s="140">
        <f t="shared" si="595"/>
        <v>0</v>
      </c>
      <c r="BB322" s="140">
        <f t="shared" si="595"/>
        <v>0</v>
      </c>
      <c r="BC322" s="479" t="s">
        <v>263</v>
      </c>
      <c r="BD322" s="480"/>
      <c r="BE322" s="15"/>
      <c r="BF322" s="18"/>
      <c r="BG322" s="15"/>
      <c r="BH322" s="18"/>
      <c r="BI322" s="15"/>
      <c r="BJ322" s="18"/>
      <c r="BK322" s="15"/>
      <c r="BL322" s="18"/>
      <c r="BM322" s="15"/>
      <c r="BN322" s="18"/>
      <c r="BO322" s="15"/>
      <c r="BP322" s="18"/>
      <c r="BQ322" s="109">
        <f t="shared" si="520"/>
        <v>0</v>
      </c>
      <c r="BR322" s="568"/>
      <c r="BS322" s="573"/>
      <c r="BT322" s="574"/>
      <c r="BU322" s="559"/>
      <c r="BV322" s="562"/>
      <c r="BW322" s="565"/>
      <c r="BX322" s="617"/>
    </row>
    <row r="323" spans="1:76" ht="15.75" thickTop="1" x14ac:dyDescent="0.25">
      <c r="A323" s="585">
        <v>79</v>
      </c>
      <c r="B323" s="588"/>
      <c r="C323" s="589"/>
      <c r="D323" s="604"/>
      <c r="E323" s="515"/>
      <c r="F323" s="516"/>
      <c r="G323" s="521"/>
      <c r="H323" s="522"/>
      <c r="I323" s="527"/>
      <c r="J323" s="528"/>
      <c r="K323" s="512"/>
      <c r="L323" s="533"/>
      <c r="M323" s="536"/>
      <c r="N323" s="539"/>
      <c r="O323" s="540"/>
      <c r="P323" s="481"/>
      <c r="Q323" s="482"/>
      <c r="R323" s="515"/>
      <c r="S323" s="516"/>
      <c r="T323" s="487"/>
      <c r="U323" s="488"/>
      <c r="V323" s="491"/>
      <c r="W323" s="481"/>
      <c r="X323" s="494"/>
      <c r="Y323" s="482"/>
      <c r="Z323" s="497"/>
      <c r="AA323" s="500" t="s">
        <v>320</v>
      </c>
      <c r="AB323" s="501"/>
      <c r="AC323" s="506" t="s">
        <v>257</v>
      </c>
      <c r="AD323" s="507"/>
      <c r="AE323" s="507"/>
      <c r="AF323" s="510"/>
      <c r="AG323" s="510"/>
      <c r="AH323" s="510"/>
      <c r="AI323" s="510"/>
      <c r="AJ323" s="510"/>
      <c r="AK323" s="510"/>
      <c r="AL323" s="510"/>
      <c r="AM323" s="510"/>
      <c r="AN323" s="510"/>
      <c r="AO323" s="510"/>
      <c r="AP323" s="510"/>
      <c r="AQ323" s="465"/>
      <c r="AR323" s="467">
        <f t="shared" ref="AR323" si="596">SUM(AF323:AQ324)</f>
        <v>0</v>
      </c>
      <c r="AS323" s="119" t="s">
        <v>257</v>
      </c>
      <c r="AT323" s="120"/>
      <c r="AU323" s="120"/>
      <c r="AV323" s="120"/>
      <c r="AW323" s="121"/>
      <c r="AX323" s="125">
        <f t="shared" ref="AX323:AX325" si="597">SUM(AT323:AW323)</f>
        <v>0</v>
      </c>
      <c r="AY323" s="141" t="s">
        <v>257</v>
      </c>
      <c r="AZ323" s="137"/>
      <c r="BA323" s="137"/>
      <c r="BB323" s="134">
        <f t="shared" ref="BB323:BB325" si="598">AZ323-BA323</f>
        <v>0</v>
      </c>
      <c r="BC323" s="469" t="s">
        <v>258</v>
      </c>
      <c r="BD323" s="470"/>
      <c r="BE323" s="13"/>
      <c r="BF323" s="16"/>
      <c r="BG323" s="13"/>
      <c r="BH323" s="16"/>
      <c r="BI323" s="13"/>
      <c r="BJ323" s="16"/>
      <c r="BK323" s="13"/>
      <c r="BL323" s="16"/>
      <c r="BM323" s="13"/>
      <c r="BN323" s="16"/>
      <c r="BO323" s="13"/>
      <c r="BP323" s="16"/>
      <c r="BQ323" s="106">
        <f t="shared" si="520"/>
        <v>0</v>
      </c>
      <c r="BR323" s="566"/>
      <c r="BS323" s="569"/>
      <c r="BT323" s="570"/>
      <c r="BU323" s="557"/>
      <c r="BV323" s="560"/>
      <c r="BW323" s="563"/>
      <c r="BX323" s="615"/>
    </row>
    <row r="324" spans="1:76" x14ac:dyDescent="0.25">
      <c r="A324" s="586"/>
      <c r="B324" s="590"/>
      <c r="C324" s="591"/>
      <c r="D324" s="605"/>
      <c r="E324" s="517"/>
      <c r="F324" s="518"/>
      <c r="G324" s="523"/>
      <c r="H324" s="524"/>
      <c r="I324" s="529"/>
      <c r="J324" s="530"/>
      <c r="K324" s="513"/>
      <c r="L324" s="534"/>
      <c r="M324" s="537"/>
      <c r="N324" s="541"/>
      <c r="O324" s="542"/>
      <c r="P324" s="483"/>
      <c r="Q324" s="484"/>
      <c r="R324" s="517"/>
      <c r="S324" s="518"/>
      <c r="T324" s="487"/>
      <c r="U324" s="488"/>
      <c r="V324" s="492"/>
      <c r="W324" s="483"/>
      <c r="X324" s="495"/>
      <c r="Y324" s="484"/>
      <c r="Z324" s="498"/>
      <c r="AA324" s="502"/>
      <c r="AB324" s="503"/>
      <c r="AC324" s="508"/>
      <c r="AD324" s="509"/>
      <c r="AE324" s="509"/>
      <c r="AF324" s="511"/>
      <c r="AG324" s="511"/>
      <c r="AH324" s="511"/>
      <c r="AI324" s="511"/>
      <c r="AJ324" s="511"/>
      <c r="AK324" s="511"/>
      <c r="AL324" s="511"/>
      <c r="AM324" s="511"/>
      <c r="AN324" s="511"/>
      <c r="AO324" s="511"/>
      <c r="AP324" s="511"/>
      <c r="AQ324" s="466"/>
      <c r="AR324" s="468"/>
      <c r="AS324" s="122" t="s">
        <v>259</v>
      </c>
      <c r="AT324" s="123"/>
      <c r="AU324" s="123"/>
      <c r="AV324" s="123"/>
      <c r="AW324" s="124"/>
      <c r="AX324" s="126">
        <f t="shared" si="597"/>
        <v>0</v>
      </c>
      <c r="AY324" s="142" t="s">
        <v>259</v>
      </c>
      <c r="AZ324" s="138"/>
      <c r="BA324" s="138"/>
      <c r="BB324" s="135">
        <f t="shared" si="598"/>
        <v>0</v>
      </c>
      <c r="BC324" s="474" t="s">
        <v>260</v>
      </c>
      <c r="BD324" s="475"/>
      <c r="BE324" s="14"/>
      <c r="BF324" s="17"/>
      <c r="BG324" s="14"/>
      <c r="BH324" s="17"/>
      <c r="BI324" s="14"/>
      <c r="BJ324" s="17"/>
      <c r="BK324" s="14"/>
      <c r="BL324" s="17"/>
      <c r="BM324" s="14"/>
      <c r="BN324" s="17"/>
      <c r="BO324" s="14"/>
      <c r="BP324" s="17"/>
      <c r="BQ324" s="107">
        <f t="shared" si="520"/>
        <v>0</v>
      </c>
      <c r="BR324" s="567"/>
      <c r="BS324" s="571"/>
      <c r="BT324" s="572"/>
      <c r="BU324" s="558"/>
      <c r="BV324" s="561"/>
      <c r="BW324" s="564"/>
      <c r="BX324" s="616"/>
    </row>
    <row r="325" spans="1:76" ht="15.75" thickBot="1" x14ac:dyDescent="0.3">
      <c r="A325" s="586"/>
      <c r="B325" s="590"/>
      <c r="C325" s="591"/>
      <c r="D325" s="605"/>
      <c r="E325" s="517"/>
      <c r="F325" s="518"/>
      <c r="G325" s="523"/>
      <c r="H325" s="524"/>
      <c r="I325" s="529"/>
      <c r="J325" s="530"/>
      <c r="K325" s="513"/>
      <c r="L325" s="534"/>
      <c r="M325" s="537"/>
      <c r="N325" s="541"/>
      <c r="O325" s="542"/>
      <c r="P325" s="483"/>
      <c r="Q325" s="484"/>
      <c r="R325" s="517"/>
      <c r="S325" s="518"/>
      <c r="T325" s="487"/>
      <c r="U325" s="488"/>
      <c r="V325" s="492"/>
      <c r="W325" s="483"/>
      <c r="X325" s="495"/>
      <c r="Y325" s="484"/>
      <c r="Z325" s="498"/>
      <c r="AA325" s="502"/>
      <c r="AB325" s="503"/>
      <c r="AC325" s="471" t="s">
        <v>259</v>
      </c>
      <c r="AD325" s="472"/>
      <c r="AE325" s="473"/>
      <c r="AF325" s="100"/>
      <c r="AG325" s="100"/>
      <c r="AH325" s="100"/>
      <c r="AI325" s="100"/>
      <c r="AJ325" s="100"/>
      <c r="AK325" s="100"/>
      <c r="AL325" s="100"/>
      <c r="AM325" s="100"/>
      <c r="AN325" s="100"/>
      <c r="AO325" s="100"/>
      <c r="AP325" s="100"/>
      <c r="AQ325" s="101"/>
      <c r="AR325" s="104">
        <f t="shared" ref="AR325:AR326" si="599">SUM(AF325:AQ325)</f>
        <v>0</v>
      </c>
      <c r="AS325" s="128" t="s">
        <v>261</v>
      </c>
      <c r="AT325" s="129"/>
      <c r="AU325" s="129"/>
      <c r="AV325" s="129"/>
      <c r="AW325" s="130"/>
      <c r="AX325" s="126">
        <f t="shared" si="597"/>
        <v>0</v>
      </c>
      <c r="AY325" s="143" t="s">
        <v>261</v>
      </c>
      <c r="AZ325" s="139"/>
      <c r="BA325" s="139"/>
      <c r="BB325" s="136">
        <f t="shared" si="598"/>
        <v>0</v>
      </c>
      <c r="BC325" s="474" t="s">
        <v>262</v>
      </c>
      <c r="BD325" s="475"/>
      <c r="BE325" s="14"/>
      <c r="BF325" s="17"/>
      <c r="BG325" s="14"/>
      <c r="BH325" s="17"/>
      <c r="BI325" s="14"/>
      <c r="BJ325" s="17"/>
      <c r="BK325" s="14"/>
      <c r="BL325" s="17"/>
      <c r="BM325" s="14"/>
      <c r="BN325" s="17"/>
      <c r="BO325" s="14"/>
      <c r="BP325" s="17"/>
      <c r="BQ325" s="108">
        <f t="shared" si="520"/>
        <v>0</v>
      </c>
      <c r="BR325" s="567"/>
      <c r="BS325" s="571"/>
      <c r="BT325" s="572"/>
      <c r="BU325" s="558"/>
      <c r="BV325" s="561"/>
      <c r="BW325" s="564"/>
      <c r="BX325" s="616"/>
    </row>
    <row r="326" spans="1:76" ht="15.75" thickBot="1" x14ac:dyDescent="0.3">
      <c r="A326" s="587"/>
      <c r="B326" s="592"/>
      <c r="C326" s="593"/>
      <c r="D326" s="606"/>
      <c r="E326" s="519"/>
      <c r="F326" s="520"/>
      <c r="G326" s="525"/>
      <c r="H326" s="526"/>
      <c r="I326" s="531"/>
      <c r="J326" s="532"/>
      <c r="K326" s="514"/>
      <c r="L326" s="535"/>
      <c r="M326" s="538"/>
      <c r="N326" s="543"/>
      <c r="O326" s="544"/>
      <c r="P326" s="485"/>
      <c r="Q326" s="486"/>
      <c r="R326" s="519"/>
      <c r="S326" s="520"/>
      <c r="T326" s="489"/>
      <c r="U326" s="490"/>
      <c r="V326" s="493"/>
      <c r="W326" s="485"/>
      <c r="X326" s="496"/>
      <c r="Y326" s="486"/>
      <c r="Z326" s="499"/>
      <c r="AA326" s="504"/>
      <c r="AB326" s="505"/>
      <c r="AC326" s="476" t="s">
        <v>261</v>
      </c>
      <c r="AD326" s="477"/>
      <c r="AE326" s="478"/>
      <c r="AF326" s="102"/>
      <c r="AG326" s="102"/>
      <c r="AH326" s="102"/>
      <c r="AI326" s="102"/>
      <c r="AJ326" s="102"/>
      <c r="AK326" s="102"/>
      <c r="AL326" s="102"/>
      <c r="AM326" s="102"/>
      <c r="AN326" s="102"/>
      <c r="AO326" s="102"/>
      <c r="AP326" s="102"/>
      <c r="AQ326" s="103"/>
      <c r="AR326" s="105">
        <f t="shared" si="599"/>
        <v>0</v>
      </c>
      <c r="AS326" s="131" t="s">
        <v>161</v>
      </c>
      <c r="AT326" s="132">
        <f t="shared" ref="AT326:AX326" si="600">SUM(AT323:AT325)</f>
        <v>0</v>
      </c>
      <c r="AU326" s="132">
        <f t="shared" si="600"/>
        <v>0</v>
      </c>
      <c r="AV326" s="132">
        <f t="shared" si="600"/>
        <v>0</v>
      </c>
      <c r="AW326" s="133">
        <f t="shared" si="600"/>
        <v>0</v>
      </c>
      <c r="AX326" s="127">
        <f t="shared" si="600"/>
        <v>0</v>
      </c>
      <c r="AY326" s="144" t="s">
        <v>161</v>
      </c>
      <c r="AZ326" s="140">
        <f t="shared" ref="AZ326:BB326" si="601">SUM(AZ323:AZ325)</f>
        <v>0</v>
      </c>
      <c r="BA326" s="140">
        <f t="shared" si="601"/>
        <v>0</v>
      </c>
      <c r="BB326" s="140">
        <f t="shared" si="601"/>
        <v>0</v>
      </c>
      <c r="BC326" s="479" t="s">
        <v>263</v>
      </c>
      <c r="BD326" s="480"/>
      <c r="BE326" s="15"/>
      <c r="BF326" s="18"/>
      <c r="BG326" s="15"/>
      <c r="BH326" s="18"/>
      <c r="BI326" s="15"/>
      <c r="BJ326" s="18"/>
      <c r="BK326" s="15"/>
      <c r="BL326" s="18"/>
      <c r="BM326" s="15"/>
      <c r="BN326" s="18"/>
      <c r="BO326" s="15"/>
      <c r="BP326" s="18"/>
      <c r="BQ326" s="109">
        <f t="shared" si="520"/>
        <v>0</v>
      </c>
      <c r="BR326" s="568"/>
      <c r="BS326" s="573"/>
      <c r="BT326" s="574"/>
      <c r="BU326" s="559"/>
      <c r="BV326" s="562"/>
      <c r="BW326" s="565"/>
      <c r="BX326" s="617"/>
    </row>
    <row r="327" spans="1:76" ht="15.75" thickTop="1" x14ac:dyDescent="0.25">
      <c r="A327" s="585">
        <v>80</v>
      </c>
      <c r="B327" s="588"/>
      <c r="C327" s="589"/>
      <c r="D327" s="604"/>
      <c r="E327" s="515"/>
      <c r="F327" s="516"/>
      <c r="G327" s="521"/>
      <c r="H327" s="522"/>
      <c r="I327" s="527"/>
      <c r="J327" s="528"/>
      <c r="K327" s="512"/>
      <c r="L327" s="533"/>
      <c r="M327" s="536"/>
      <c r="N327" s="539"/>
      <c r="O327" s="540"/>
      <c r="P327" s="481"/>
      <c r="Q327" s="482"/>
      <c r="R327" s="515"/>
      <c r="S327" s="516"/>
      <c r="T327" s="487"/>
      <c r="U327" s="488"/>
      <c r="V327" s="491"/>
      <c r="W327" s="481"/>
      <c r="X327" s="494"/>
      <c r="Y327" s="482"/>
      <c r="Z327" s="497"/>
      <c r="AA327" s="500" t="s">
        <v>321</v>
      </c>
      <c r="AB327" s="501"/>
      <c r="AC327" s="506" t="s">
        <v>257</v>
      </c>
      <c r="AD327" s="507"/>
      <c r="AE327" s="507"/>
      <c r="AF327" s="510"/>
      <c r="AG327" s="510"/>
      <c r="AH327" s="510"/>
      <c r="AI327" s="510"/>
      <c r="AJ327" s="510"/>
      <c r="AK327" s="510"/>
      <c r="AL327" s="510"/>
      <c r="AM327" s="510"/>
      <c r="AN327" s="510"/>
      <c r="AO327" s="510"/>
      <c r="AP327" s="510"/>
      <c r="AQ327" s="465"/>
      <c r="AR327" s="467">
        <f t="shared" ref="AR327" si="602">SUM(AF327:AQ328)</f>
        <v>0</v>
      </c>
      <c r="AS327" s="119" t="s">
        <v>257</v>
      </c>
      <c r="AT327" s="120"/>
      <c r="AU327" s="120"/>
      <c r="AV327" s="120"/>
      <c r="AW327" s="121"/>
      <c r="AX327" s="125">
        <f t="shared" ref="AX327:AX329" si="603">SUM(AT327:AW327)</f>
        <v>0</v>
      </c>
      <c r="AY327" s="141" t="s">
        <v>257</v>
      </c>
      <c r="AZ327" s="137"/>
      <c r="BA327" s="137"/>
      <c r="BB327" s="134">
        <f t="shared" ref="BB327:BB329" si="604">AZ327-BA327</f>
        <v>0</v>
      </c>
      <c r="BC327" s="469" t="s">
        <v>258</v>
      </c>
      <c r="BD327" s="470"/>
      <c r="BE327" s="13"/>
      <c r="BF327" s="16"/>
      <c r="BG327" s="13"/>
      <c r="BH327" s="16"/>
      <c r="BI327" s="13"/>
      <c r="BJ327" s="16"/>
      <c r="BK327" s="13"/>
      <c r="BL327" s="16"/>
      <c r="BM327" s="13"/>
      <c r="BN327" s="16"/>
      <c r="BO327" s="13"/>
      <c r="BP327" s="16"/>
      <c r="BQ327" s="106">
        <f t="shared" si="520"/>
        <v>0</v>
      </c>
      <c r="BR327" s="566"/>
      <c r="BS327" s="569"/>
      <c r="BT327" s="570"/>
      <c r="BU327" s="557"/>
      <c r="BV327" s="560"/>
      <c r="BW327" s="563"/>
      <c r="BX327" s="615"/>
    </row>
    <row r="328" spans="1:76" x14ac:dyDescent="0.25">
      <c r="A328" s="586"/>
      <c r="B328" s="590"/>
      <c r="C328" s="591"/>
      <c r="D328" s="605"/>
      <c r="E328" s="517"/>
      <c r="F328" s="518"/>
      <c r="G328" s="523"/>
      <c r="H328" s="524"/>
      <c r="I328" s="529"/>
      <c r="J328" s="530"/>
      <c r="K328" s="513"/>
      <c r="L328" s="534"/>
      <c r="M328" s="537"/>
      <c r="N328" s="541"/>
      <c r="O328" s="542"/>
      <c r="P328" s="483"/>
      <c r="Q328" s="484"/>
      <c r="R328" s="517"/>
      <c r="S328" s="518"/>
      <c r="T328" s="487"/>
      <c r="U328" s="488"/>
      <c r="V328" s="492"/>
      <c r="W328" s="483"/>
      <c r="X328" s="495"/>
      <c r="Y328" s="484"/>
      <c r="Z328" s="498"/>
      <c r="AA328" s="502"/>
      <c r="AB328" s="503"/>
      <c r="AC328" s="508"/>
      <c r="AD328" s="509"/>
      <c r="AE328" s="509"/>
      <c r="AF328" s="511"/>
      <c r="AG328" s="511"/>
      <c r="AH328" s="511"/>
      <c r="AI328" s="511"/>
      <c r="AJ328" s="511"/>
      <c r="AK328" s="511"/>
      <c r="AL328" s="511"/>
      <c r="AM328" s="511"/>
      <c r="AN328" s="511"/>
      <c r="AO328" s="511"/>
      <c r="AP328" s="511"/>
      <c r="AQ328" s="466"/>
      <c r="AR328" s="468"/>
      <c r="AS328" s="122" t="s">
        <v>259</v>
      </c>
      <c r="AT328" s="123"/>
      <c r="AU328" s="123"/>
      <c r="AV328" s="123"/>
      <c r="AW328" s="124"/>
      <c r="AX328" s="126">
        <f t="shared" si="603"/>
        <v>0</v>
      </c>
      <c r="AY328" s="142" t="s">
        <v>259</v>
      </c>
      <c r="AZ328" s="138"/>
      <c r="BA328" s="138"/>
      <c r="BB328" s="135">
        <f t="shared" si="604"/>
        <v>0</v>
      </c>
      <c r="BC328" s="474" t="s">
        <v>260</v>
      </c>
      <c r="BD328" s="475"/>
      <c r="BE328" s="14"/>
      <c r="BF328" s="17"/>
      <c r="BG328" s="14"/>
      <c r="BH328" s="17"/>
      <c r="BI328" s="14"/>
      <c r="BJ328" s="17"/>
      <c r="BK328" s="14"/>
      <c r="BL328" s="17"/>
      <c r="BM328" s="14"/>
      <c r="BN328" s="17"/>
      <c r="BO328" s="14"/>
      <c r="BP328" s="17"/>
      <c r="BQ328" s="107">
        <f t="shared" si="520"/>
        <v>0</v>
      </c>
      <c r="BR328" s="567"/>
      <c r="BS328" s="571"/>
      <c r="BT328" s="572"/>
      <c r="BU328" s="558"/>
      <c r="BV328" s="561"/>
      <c r="BW328" s="564"/>
      <c r="BX328" s="616"/>
    </row>
    <row r="329" spans="1:76" ht="15.75" thickBot="1" x14ac:dyDescent="0.3">
      <c r="A329" s="586"/>
      <c r="B329" s="590"/>
      <c r="C329" s="591"/>
      <c r="D329" s="605"/>
      <c r="E329" s="517"/>
      <c r="F329" s="518"/>
      <c r="G329" s="523"/>
      <c r="H329" s="524"/>
      <c r="I329" s="529"/>
      <c r="J329" s="530"/>
      <c r="K329" s="513"/>
      <c r="L329" s="534"/>
      <c r="M329" s="537"/>
      <c r="N329" s="541"/>
      <c r="O329" s="542"/>
      <c r="P329" s="483"/>
      <c r="Q329" s="484"/>
      <c r="R329" s="517"/>
      <c r="S329" s="518"/>
      <c r="T329" s="487"/>
      <c r="U329" s="488"/>
      <c r="V329" s="492"/>
      <c r="W329" s="483"/>
      <c r="X329" s="495"/>
      <c r="Y329" s="484"/>
      <c r="Z329" s="498"/>
      <c r="AA329" s="502"/>
      <c r="AB329" s="503"/>
      <c r="AC329" s="471" t="s">
        <v>259</v>
      </c>
      <c r="AD329" s="472"/>
      <c r="AE329" s="473"/>
      <c r="AF329" s="100"/>
      <c r="AG329" s="100"/>
      <c r="AH329" s="100"/>
      <c r="AI329" s="100"/>
      <c r="AJ329" s="100"/>
      <c r="AK329" s="100"/>
      <c r="AL329" s="100"/>
      <c r="AM329" s="100"/>
      <c r="AN329" s="100"/>
      <c r="AO329" s="100"/>
      <c r="AP329" s="100"/>
      <c r="AQ329" s="101"/>
      <c r="AR329" s="104">
        <f t="shared" ref="AR329:AR330" si="605">SUM(AF329:AQ329)</f>
        <v>0</v>
      </c>
      <c r="AS329" s="128" t="s">
        <v>261</v>
      </c>
      <c r="AT329" s="129"/>
      <c r="AU329" s="129"/>
      <c r="AV329" s="129"/>
      <c r="AW329" s="130"/>
      <c r="AX329" s="126">
        <f t="shared" si="603"/>
        <v>0</v>
      </c>
      <c r="AY329" s="143" t="s">
        <v>261</v>
      </c>
      <c r="AZ329" s="139"/>
      <c r="BA329" s="139"/>
      <c r="BB329" s="136">
        <f t="shared" si="604"/>
        <v>0</v>
      </c>
      <c r="BC329" s="474" t="s">
        <v>262</v>
      </c>
      <c r="BD329" s="475"/>
      <c r="BE329" s="14"/>
      <c r="BF329" s="17"/>
      <c r="BG329" s="14"/>
      <c r="BH329" s="17"/>
      <c r="BI329" s="14"/>
      <c r="BJ329" s="17"/>
      <c r="BK329" s="14"/>
      <c r="BL329" s="17"/>
      <c r="BM329" s="14"/>
      <c r="BN329" s="17"/>
      <c r="BO329" s="14"/>
      <c r="BP329" s="17"/>
      <c r="BQ329" s="108">
        <f t="shared" si="520"/>
        <v>0</v>
      </c>
      <c r="BR329" s="567"/>
      <c r="BS329" s="571"/>
      <c r="BT329" s="572"/>
      <c r="BU329" s="558"/>
      <c r="BV329" s="561"/>
      <c r="BW329" s="564"/>
      <c r="BX329" s="616"/>
    </row>
    <row r="330" spans="1:76" ht="15.75" thickBot="1" x14ac:dyDescent="0.3">
      <c r="A330" s="587"/>
      <c r="B330" s="592"/>
      <c r="C330" s="593"/>
      <c r="D330" s="606"/>
      <c r="E330" s="519"/>
      <c r="F330" s="520"/>
      <c r="G330" s="525"/>
      <c r="H330" s="526"/>
      <c r="I330" s="531"/>
      <c r="J330" s="532"/>
      <c r="K330" s="514"/>
      <c r="L330" s="535"/>
      <c r="M330" s="538"/>
      <c r="N330" s="543"/>
      <c r="O330" s="544"/>
      <c r="P330" s="485"/>
      <c r="Q330" s="486"/>
      <c r="R330" s="519"/>
      <c r="S330" s="520"/>
      <c r="T330" s="489"/>
      <c r="U330" s="490"/>
      <c r="V330" s="493"/>
      <c r="W330" s="485"/>
      <c r="X330" s="496"/>
      <c r="Y330" s="486"/>
      <c r="Z330" s="499"/>
      <c r="AA330" s="504"/>
      <c r="AB330" s="505"/>
      <c r="AC330" s="476" t="s">
        <v>261</v>
      </c>
      <c r="AD330" s="477"/>
      <c r="AE330" s="478"/>
      <c r="AF330" s="102"/>
      <c r="AG330" s="102"/>
      <c r="AH330" s="102"/>
      <c r="AI330" s="102"/>
      <c r="AJ330" s="102"/>
      <c r="AK330" s="102"/>
      <c r="AL330" s="102"/>
      <c r="AM330" s="102"/>
      <c r="AN330" s="102"/>
      <c r="AO330" s="102"/>
      <c r="AP330" s="102"/>
      <c r="AQ330" s="103"/>
      <c r="AR330" s="105">
        <f t="shared" si="605"/>
        <v>0</v>
      </c>
      <c r="AS330" s="131" t="s">
        <v>161</v>
      </c>
      <c r="AT330" s="132">
        <f t="shared" ref="AT330:AX330" si="606">SUM(AT327:AT329)</f>
        <v>0</v>
      </c>
      <c r="AU330" s="132">
        <f t="shared" si="606"/>
        <v>0</v>
      </c>
      <c r="AV330" s="132">
        <f t="shared" si="606"/>
        <v>0</v>
      </c>
      <c r="AW330" s="133">
        <f t="shared" si="606"/>
        <v>0</v>
      </c>
      <c r="AX330" s="127">
        <f t="shared" si="606"/>
        <v>0</v>
      </c>
      <c r="AY330" s="144" t="s">
        <v>161</v>
      </c>
      <c r="AZ330" s="140">
        <f t="shared" ref="AZ330:BB330" si="607">SUM(AZ327:AZ329)</f>
        <v>0</v>
      </c>
      <c r="BA330" s="140">
        <f t="shared" si="607"/>
        <v>0</v>
      </c>
      <c r="BB330" s="140">
        <f t="shared" si="607"/>
        <v>0</v>
      </c>
      <c r="BC330" s="479" t="s">
        <v>263</v>
      </c>
      <c r="BD330" s="480"/>
      <c r="BE330" s="15"/>
      <c r="BF330" s="18"/>
      <c r="BG330" s="15"/>
      <c r="BH330" s="18"/>
      <c r="BI330" s="15"/>
      <c r="BJ330" s="18"/>
      <c r="BK330" s="15"/>
      <c r="BL330" s="18"/>
      <c r="BM330" s="15"/>
      <c r="BN330" s="18"/>
      <c r="BO330" s="15"/>
      <c r="BP330" s="18"/>
      <c r="BQ330" s="109">
        <f t="shared" si="520"/>
        <v>0</v>
      </c>
      <c r="BR330" s="568"/>
      <c r="BS330" s="573"/>
      <c r="BT330" s="574"/>
      <c r="BU330" s="559"/>
      <c r="BV330" s="562"/>
      <c r="BW330" s="565"/>
      <c r="BX330" s="617"/>
    </row>
    <row r="331" spans="1:76" ht="15.75" thickTop="1" x14ac:dyDescent="0.25">
      <c r="A331" s="585">
        <v>81</v>
      </c>
      <c r="B331" s="588"/>
      <c r="C331" s="589"/>
      <c r="D331" s="604"/>
      <c r="E331" s="515"/>
      <c r="F331" s="516"/>
      <c r="G331" s="521"/>
      <c r="H331" s="522"/>
      <c r="I331" s="527"/>
      <c r="J331" s="528"/>
      <c r="K331" s="512"/>
      <c r="L331" s="533"/>
      <c r="M331" s="536"/>
      <c r="N331" s="539"/>
      <c r="O331" s="540"/>
      <c r="P331" s="481"/>
      <c r="Q331" s="482"/>
      <c r="R331" s="515"/>
      <c r="S331" s="516"/>
      <c r="T331" s="487"/>
      <c r="U331" s="488"/>
      <c r="V331" s="491"/>
      <c r="W331" s="481"/>
      <c r="X331" s="494"/>
      <c r="Y331" s="482"/>
      <c r="Z331" s="497"/>
      <c r="AA331" s="500" t="s">
        <v>322</v>
      </c>
      <c r="AB331" s="501"/>
      <c r="AC331" s="506" t="s">
        <v>257</v>
      </c>
      <c r="AD331" s="507"/>
      <c r="AE331" s="507"/>
      <c r="AF331" s="510"/>
      <c r="AG331" s="510"/>
      <c r="AH331" s="510"/>
      <c r="AI331" s="510"/>
      <c r="AJ331" s="510"/>
      <c r="AK331" s="510"/>
      <c r="AL331" s="510"/>
      <c r="AM331" s="510"/>
      <c r="AN331" s="510"/>
      <c r="AO331" s="510"/>
      <c r="AP331" s="510"/>
      <c r="AQ331" s="465"/>
      <c r="AR331" s="467">
        <f t="shared" ref="AR331" si="608">SUM(AF331:AQ332)</f>
        <v>0</v>
      </c>
      <c r="AS331" s="119" t="s">
        <v>257</v>
      </c>
      <c r="AT331" s="120"/>
      <c r="AU331" s="120"/>
      <c r="AV331" s="120"/>
      <c r="AW331" s="121"/>
      <c r="AX331" s="125">
        <f t="shared" ref="AX331:AX333" si="609">SUM(AT331:AW331)</f>
        <v>0</v>
      </c>
      <c r="AY331" s="141" t="s">
        <v>257</v>
      </c>
      <c r="AZ331" s="137"/>
      <c r="BA331" s="137"/>
      <c r="BB331" s="134">
        <f t="shared" ref="BB331:BB333" si="610">AZ331-BA331</f>
        <v>0</v>
      </c>
      <c r="BC331" s="469" t="s">
        <v>258</v>
      </c>
      <c r="BD331" s="470"/>
      <c r="BE331" s="13"/>
      <c r="BF331" s="16"/>
      <c r="BG331" s="13"/>
      <c r="BH331" s="16"/>
      <c r="BI331" s="13"/>
      <c r="BJ331" s="16"/>
      <c r="BK331" s="13"/>
      <c r="BL331" s="16"/>
      <c r="BM331" s="13"/>
      <c r="BN331" s="16"/>
      <c r="BO331" s="13"/>
      <c r="BP331" s="16"/>
      <c r="BQ331" s="106">
        <f t="shared" si="520"/>
        <v>0</v>
      </c>
      <c r="BR331" s="566"/>
      <c r="BS331" s="569"/>
      <c r="BT331" s="570"/>
      <c r="BU331" s="557"/>
      <c r="BV331" s="560"/>
      <c r="BW331" s="563"/>
      <c r="BX331" s="615"/>
    </row>
    <row r="332" spans="1:76" x14ac:dyDescent="0.25">
      <c r="A332" s="586"/>
      <c r="B332" s="590"/>
      <c r="C332" s="591"/>
      <c r="D332" s="605"/>
      <c r="E332" s="517"/>
      <c r="F332" s="518"/>
      <c r="G332" s="523"/>
      <c r="H332" s="524"/>
      <c r="I332" s="529"/>
      <c r="J332" s="530"/>
      <c r="K332" s="513"/>
      <c r="L332" s="534"/>
      <c r="M332" s="537"/>
      <c r="N332" s="541"/>
      <c r="O332" s="542"/>
      <c r="P332" s="483"/>
      <c r="Q332" s="484"/>
      <c r="R332" s="517"/>
      <c r="S332" s="518"/>
      <c r="T332" s="487"/>
      <c r="U332" s="488"/>
      <c r="V332" s="492"/>
      <c r="W332" s="483"/>
      <c r="X332" s="495"/>
      <c r="Y332" s="484"/>
      <c r="Z332" s="498"/>
      <c r="AA332" s="502"/>
      <c r="AB332" s="503"/>
      <c r="AC332" s="508"/>
      <c r="AD332" s="509"/>
      <c r="AE332" s="509"/>
      <c r="AF332" s="511"/>
      <c r="AG332" s="511"/>
      <c r="AH332" s="511"/>
      <c r="AI332" s="511"/>
      <c r="AJ332" s="511"/>
      <c r="AK332" s="511"/>
      <c r="AL332" s="511"/>
      <c r="AM332" s="511"/>
      <c r="AN332" s="511"/>
      <c r="AO332" s="511"/>
      <c r="AP332" s="511"/>
      <c r="AQ332" s="466"/>
      <c r="AR332" s="468"/>
      <c r="AS332" s="122" t="s">
        <v>259</v>
      </c>
      <c r="AT332" s="123"/>
      <c r="AU332" s="123"/>
      <c r="AV332" s="123"/>
      <c r="AW332" s="124"/>
      <c r="AX332" s="126">
        <f t="shared" si="609"/>
        <v>0</v>
      </c>
      <c r="AY332" s="142" t="s">
        <v>259</v>
      </c>
      <c r="AZ332" s="138"/>
      <c r="BA332" s="138"/>
      <c r="BB332" s="135">
        <f t="shared" si="610"/>
        <v>0</v>
      </c>
      <c r="BC332" s="474" t="s">
        <v>260</v>
      </c>
      <c r="BD332" s="475"/>
      <c r="BE332" s="14"/>
      <c r="BF332" s="17"/>
      <c r="BG332" s="14"/>
      <c r="BH332" s="17"/>
      <c r="BI332" s="14"/>
      <c r="BJ332" s="17"/>
      <c r="BK332" s="14"/>
      <c r="BL332" s="17"/>
      <c r="BM332" s="14"/>
      <c r="BN332" s="17"/>
      <c r="BO332" s="14"/>
      <c r="BP332" s="17"/>
      <c r="BQ332" s="107">
        <f t="shared" si="520"/>
        <v>0</v>
      </c>
      <c r="BR332" s="567"/>
      <c r="BS332" s="571"/>
      <c r="BT332" s="572"/>
      <c r="BU332" s="558"/>
      <c r="BV332" s="561"/>
      <c r="BW332" s="564"/>
      <c r="BX332" s="616"/>
    </row>
    <row r="333" spans="1:76" ht="15.75" thickBot="1" x14ac:dyDescent="0.3">
      <c r="A333" s="586"/>
      <c r="B333" s="590"/>
      <c r="C333" s="591"/>
      <c r="D333" s="605"/>
      <c r="E333" s="517"/>
      <c r="F333" s="518"/>
      <c r="G333" s="523"/>
      <c r="H333" s="524"/>
      <c r="I333" s="529"/>
      <c r="J333" s="530"/>
      <c r="K333" s="513"/>
      <c r="L333" s="534"/>
      <c r="M333" s="537"/>
      <c r="N333" s="541"/>
      <c r="O333" s="542"/>
      <c r="P333" s="483"/>
      <c r="Q333" s="484"/>
      <c r="R333" s="517"/>
      <c r="S333" s="518"/>
      <c r="T333" s="487"/>
      <c r="U333" s="488"/>
      <c r="V333" s="492"/>
      <c r="W333" s="483"/>
      <c r="X333" s="495"/>
      <c r="Y333" s="484"/>
      <c r="Z333" s="498"/>
      <c r="AA333" s="502"/>
      <c r="AB333" s="503"/>
      <c r="AC333" s="471" t="s">
        <v>259</v>
      </c>
      <c r="AD333" s="472"/>
      <c r="AE333" s="473"/>
      <c r="AF333" s="100"/>
      <c r="AG333" s="100"/>
      <c r="AH333" s="100"/>
      <c r="AI333" s="100"/>
      <c r="AJ333" s="100"/>
      <c r="AK333" s="100"/>
      <c r="AL333" s="100"/>
      <c r="AM333" s="100"/>
      <c r="AN333" s="100"/>
      <c r="AO333" s="100"/>
      <c r="AP333" s="100"/>
      <c r="AQ333" s="101"/>
      <c r="AR333" s="104">
        <f t="shared" ref="AR333:AR334" si="611">SUM(AF333:AQ333)</f>
        <v>0</v>
      </c>
      <c r="AS333" s="128" t="s">
        <v>261</v>
      </c>
      <c r="AT333" s="129"/>
      <c r="AU333" s="129"/>
      <c r="AV333" s="129"/>
      <c r="AW333" s="130"/>
      <c r="AX333" s="126">
        <f t="shared" si="609"/>
        <v>0</v>
      </c>
      <c r="AY333" s="143" t="s">
        <v>261</v>
      </c>
      <c r="AZ333" s="139"/>
      <c r="BA333" s="139"/>
      <c r="BB333" s="136">
        <f t="shared" si="610"/>
        <v>0</v>
      </c>
      <c r="BC333" s="474" t="s">
        <v>262</v>
      </c>
      <c r="BD333" s="475"/>
      <c r="BE333" s="14"/>
      <c r="BF333" s="17"/>
      <c r="BG333" s="14"/>
      <c r="BH333" s="17"/>
      <c r="BI333" s="14"/>
      <c r="BJ333" s="17"/>
      <c r="BK333" s="14"/>
      <c r="BL333" s="17"/>
      <c r="BM333" s="14"/>
      <c r="BN333" s="17"/>
      <c r="BO333" s="14"/>
      <c r="BP333" s="17"/>
      <c r="BQ333" s="108">
        <f t="shared" si="520"/>
        <v>0</v>
      </c>
      <c r="BR333" s="567"/>
      <c r="BS333" s="571"/>
      <c r="BT333" s="572"/>
      <c r="BU333" s="558"/>
      <c r="BV333" s="561"/>
      <c r="BW333" s="564"/>
      <c r="BX333" s="616"/>
    </row>
    <row r="334" spans="1:76" ht="15.75" thickBot="1" x14ac:dyDescent="0.3">
      <c r="A334" s="587"/>
      <c r="B334" s="592"/>
      <c r="C334" s="593"/>
      <c r="D334" s="606"/>
      <c r="E334" s="519"/>
      <c r="F334" s="520"/>
      <c r="G334" s="525"/>
      <c r="H334" s="526"/>
      <c r="I334" s="531"/>
      <c r="J334" s="532"/>
      <c r="K334" s="514"/>
      <c r="L334" s="535"/>
      <c r="M334" s="538"/>
      <c r="N334" s="543"/>
      <c r="O334" s="544"/>
      <c r="P334" s="485"/>
      <c r="Q334" s="486"/>
      <c r="R334" s="519"/>
      <c r="S334" s="520"/>
      <c r="T334" s="489"/>
      <c r="U334" s="490"/>
      <c r="V334" s="493"/>
      <c r="W334" s="485"/>
      <c r="X334" s="496"/>
      <c r="Y334" s="486"/>
      <c r="Z334" s="499"/>
      <c r="AA334" s="504"/>
      <c r="AB334" s="505"/>
      <c r="AC334" s="476" t="s">
        <v>261</v>
      </c>
      <c r="AD334" s="477"/>
      <c r="AE334" s="478"/>
      <c r="AF334" s="102"/>
      <c r="AG334" s="102"/>
      <c r="AH334" s="102"/>
      <c r="AI334" s="102"/>
      <c r="AJ334" s="102"/>
      <c r="AK334" s="102"/>
      <c r="AL334" s="102"/>
      <c r="AM334" s="102"/>
      <c r="AN334" s="102"/>
      <c r="AO334" s="102"/>
      <c r="AP334" s="102"/>
      <c r="AQ334" s="103"/>
      <c r="AR334" s="105">
        <f t="shared" si="611"/>
        <v>0</v>
      </c>
      <c r="AS334" s="131" t="s">
        <v>161</v>
      </c>
      <c r="AT334" s="132">
        <f t="shared" ref="AT334:AX334" si="612">SUM(AT331:AT333)</f>
        <v>0</v>
      </c>
      <c r="AU334" s="132">
        <f t="shared" si="612"/>
        <v>0</v>
      </c>
      <c r="AV334" s="132">
        <f t="shared" si="612"/>
        <v>0</v>
      </c>
      <c r="AW334" s="133">
        <f t="shared" si="612"/>
        <v>0</v>
      </c>
      <c r="AX334" s="127">
        <f t="shared" si="612"/>
        <v>0</v>
      </c>
      <c r="AY334" s="144" t="s">
        <v>161</v>
      </c>
      <c r="AZ334" s="140">
        <f t="shared" ref="AZ334:BB334" si="613">SUM(AZ331:AZ333)</f>
        <v>0</v>
      </c>
      <c r="BA334" s="140">
        <f t="shared" si="613"/>
        <v>0</v>
      </c>
      <c r="BB334" s="140">
        <f t="shared" si="613"/>
        <v>0</v>
      </c>
      <c r="BC334" s="479" t="s">
        <v>263</v>
      </c>
      <c r="BD334" s="480"/>
      <c r="BE334" s="15"/>
      <c r="BF334" s="18"/>
      <c r="BG334" s="15"/>
      <c r="BH334" s="18"/>
      <c r="BI334" s="15"/>
      <c r="BJ334" s="18"/>
      <c r="BK334" s="15"/>
      <c r="BL334" s="18"/>
      <c r="BM334" s="15"/>
      <c r="BN334" s="18"/>
      <c r="BO334" s="15"/>
      <c r="BP334" s="18"/>
      <c r="BQ334" s="109">
        <f t="shared" si="520"/>
        <v>0</v>
      </c>
      <c r="BR334" s="568"/>
      <c r="BS334" s="573"/>
      <c r="BT334" s="574"/>
      <c r="BU334" s="559"/>
      <c r="BV334" s="562"/>
      <c r="BW334" s="565"/>
      <c r="BX334" s="617"/>
    </row>
    <row r="335" spans="1:76" ht="15.75" thickTop="1" x14ac:dyDescent="0.25">
      <c r="A335" s="585">
        <v>82</v>
      </c>
      <c r="B335" s="588"/>
      <c r="C335" s="589"/>
      <c r="D335" s="604"/>
      <c r="E335" s="515"/>
      <c r="F335" s="516"/>
      <c r="G335" s="521"/>
      <c r="H335" s="522"/>
      <c r="I335" s="527"/>
      <c r="J335" s="528"/>
      <c r="K335" s="512"/>
      <c r="L335" s="533"/>
      <c r="M335" s="536"/>
      <c r="N335" s="539"/>
      <c r="O335" s="540"/>
      <c r="P335" s="481"/>
      <c r="Q335" s="482"/>
      <c r="R335" s="515"/>
      <c r="S335" s="516"/>
      <c r="T335" s="487"/>
      <c r="U335" s="488"/>
      <c r="V335" s="491"/>
      <c r="W335" s="481"/>
      <c r="X335" s="494"/>
      <c r="Y335" s="482"/>
      <c r="Z335" s="497"/>
      <c r="AA335" s="500" t="s">
        <v>323</v>
      </c>
      <c r="AB335" s="501"/>
      <c r="AC335" s="506" t="s">
        <v>257</v>
      </c>
      <c r="AD335" s="507"/>
      <c r="AE335" s="507"/>
      <c r="AF335" s="510"/>
      <c r="AG335" s="510"/>
      <c r="AH335" s="510"/>
      <c r="AI335" s="510"/>
      <c r="AJ335" s="510"/>
      <c r="AK335" s="510"/>
      <c r="AL335" s="510"/>
      <c r="AM335" s="510"/>
      <c r="AN335" s="510"/>
      <c r="AO335" s="510"/>
      <c r="AP335" s="510"/>
      <c r="AQ335" s="465"/>
      <c r="AR335" s="467">
        <f t="shared" ref="AR335" si="614">SUM(AF335:AQ336)</f>
        <v>0</v>
      </c>
      <c r="AS335" s="119" t="s">
        <v>257</v>
      </c>
      <c r="AT335" s="120"/>
      <c r="AU335" s="120"/>
      <c r="AV335" s="120"/>
      <c r="AW335" s="121"/>
      <c r="AX335" s="125">
        <f t="shared" ref="AX335:AX337" si="615">SUM(AT335:AW335)</f>
        <v>0</v>
      </c>
      <c r="AY335" s="141" t="s">
        <v>257</v>
      </c>
      <c r="AZ335" s="137"/>
      <c r="BA335" s="137"/>
      <c r="BB335" s="134">
        <f t="shared" ref="BB335:BB337" si="616">AZ335-BA335</f>
        <v>0</v>
      </c>
      <c r="BC335" s="469" t="s">
        <v>258</v>
      </c>
      <c r="BD335" s="470"/>
      <c r="BE335" s="13"/>
      <c r="BF335" s="16"/>
      <c r="BG335" s="13"/>
      <c r="BH335" s="16"/>
      <c r="BI335" s="13"/>
      <c r="BJ335" s="16"/>
      <c r="BK335" s="13"/>
      <c r="BL335" s="16"/>
      <c r="BM335" s="13"/>
      <c r="BN335" s="16"/>
      <c r="BO335" s="13"/>
      <c r="BP335" s="16"/>
      <c r="BQ335" s="106">
        <f t="shared" ref="BQ335:BQ398" si="617">SUM(BE335:BP335)</f>
        <v>0</v>
      </c>
      <c r="BR335" s="566"/>
      <c r="BS335" s="569"/>
      <c r="BT335" s="570"/>
      <c r="BU335" s="557"/>
      <c r="BV335" s="560"/>
      <c r="BW335" s="563"/>
      <c r="BX335" s="615"/>
    </row>
    <row r="336" spans="1:76" x14ac:dyDescent="0.25">
      <c r="A336" s="586"/>
      <c r="B336" s="590"/>
      <c r="C336" s="591"/>
      <c r="D336" s="605"/>
      <c r="E336" s="517"/>
      <c r="F336" s="518"/>
      <c r="G336" s="523"/>
      <c r="H336" s="524"/>
      <c r="I336" s="529"/>
      <c r="J336" s="530"/>
      <c r="K336" s="513"/>
      <c r="L336" s="534"/>
      <c r="M336" s="537"/>
      <c r="N336" s="541"/>
      <c r="O336" s="542"/>
      <c r="P336" s="483"/>
      <c r="Q336" s="484"/>
      <c r="R336" s="517"/>
      <c r="S336" s="518"/>
      <c r="T336" s="487"/>
      <c r="U336" s="488"/>
      <c r="V336" s="492"/>
      <c r="W336" s="483"/>
      <c r="X336" s="495"/>
      <c r="Y336" s="484"/>
      <c r="Z336" s="498"/>
      <c r="AA336" s="502"/>
      <c r="AB336" s="503"/>
      <c r="AC336" s="508"/>
      <c r="AD336" s="509"/>
      <c r="AE336" s="509"/>
      <c r="AF336" s="511"/>
      <c r="AG336" s="511"/>
      <c r="AH336" s="511"/>
      <c r="AI336" s="511"/>
      <c r="AJ336" s="511"/>
      <c r="AK336" s="511"/>
      <c r="AL336" s="511"/>
      <c r="AM336" s="511"/>
      <c r="AN336" s="511"/>
      <c r="AO336" s="511"/>
      <c r="AP336" s="511"/>
      <c r="AQ336" s="466"/>
      <c r="AR336" s="468"/>
      <c r="AS336" s="122" t="s">
        <v>259</v>
      </c>
      <c r="AT336" s="123"/>
      <c r="AU336" s="123"/>
      <c r="AV336" s="123"/>
      <c r="AW336" s="124"/>
      <c r="AX336" s="126">
        <f t="shared" si="615"/>
        <v>0</v>
      </c>
      <c r="AY336" s="142" t="s">
        <v>259</v>
      </c>
      <c r="AZ336" s="138"/>
      <c r="BA336" s="138"/>
      <c r="BB336" s="135">
        <f t="shared" si="616"/>
        <v>0</v>
      </c>
      <c r="BC336" s="474" t="s">
        <v>260</v>
      </c>
      <c r="BD336" s="475"/>
      <c r="BE336" s="14"/>
      <c r="BF336" s="17"/>
      <c r="BG336" s="14"/>
      <c r="BH336" s="17"/>
      <c r="BI336" s="14"/>
      <c r="BJ336" s="17"/>
      <c r="BK336" s="14"/>
      <c r="BL336" s="17"/>
      <c r="BM336" s="14"/>
      <c r="BN336" s="17"/>
      <c r="BO336" s="14"/>
      <c r="BP336" s="17"/>
      <c r="BQ336" s="107">
        <f t="shared" si="617"/>
        <v>0</v>
      </c>
      <c r="BR336" s="567"/>
      <c r="BS336" s="571"/>
      <c r="BT336" s="572"/>
      <c r="BU336" s="558"/>
      <c r="BV336" s="561"/>
      <c r="BW336" s="564"/>
      <c r="BX336" s="616"/>
    </row>
    <row r="337" spans="1:76" ht="15.75" thickBot="1" x14ac:dyDescent="0.3">
      <c r="A337" s="586"/>
      <c r="B337" s="590"/>
      <c r="C337" s="591"/>
      <c r="D337" s="605"/>
      <c r="E337" s="517"/>
      <c r="F337" s="518"/>
      <c r="G337" s="523"/>
      <c r="H337" s="524"/>
      <c r="I337" s="529"/>
      <c r="J337" s="530"/>
      <c r="K337" s="513"/>
      <c r="L337" s="534"/>
      <c r="M337" s="537"/>
      <c r="N337" s="541"/>
      <c r="O337" s="542"/>
      <c r="P337" s="483"/>
      <c r="Q337" s="484"/>
      <c r="R337" s="517"/>
      <c r="S337" s="518"/>
      <c r="T337" s="487"/>
      <c r="U337" s="488"/>
      <c r="V337" s="492"/>
      <c r="W337" s="483"/>
      <c r="X337" s="495"/>
      <c r="Y337" s="484"/>
      <c r="Z337" s="498"/>
      <c r="AA337" s="502"/>
      <c r="AB337" s="503"/>
      <c r="AC337" s="471" t="s">
        <v>259</v>
      </c>
      <c r="AD337" s="472"/>
      <c r="AE337" s="473"/>
      <c r="AF337" s="100"/>
      <c r="AG337" s="100"/>
      <c r="AH337" s="100"/>
      <c r="AI337" s="100"/>
      <c r="AJ337" s="100"/>
      <c r="AK337" s="100"/>
      <c r="AL337" s="100"/>
      <c r="AM337" s="100"/>
      <c r="AN337" s="100"/>
      <c r="AO337" s="100"/>
      <c r="AP337" s="100"/>
      <c r="AQ337" s="101"/>
      <c r="AR337" s="104">
        <f t="shared" ref="AR337:AR338" si="618">SUM(AF337:AQ337)</f>
        <v>0</v>
      </c>
      <c r="AS337" s="128" t="s">
        <v>261</v>
      </c>
      <c r="AT337" s="129"/>
      <c r="AU337" s="129"/>
      <c r="AV337" s="129"/>
      <c r="AW337" s="130"/>
      <c r="AX337" s="126">
        <f t="shared" si="615"/>
        <v>0</v>
      </c>
      <c r="AY337" s="143" t="s">
        <v>261</v>
      </c>
      <c r="AZ337" s="139"/>
      <c r="BA337" s="139"/>
      <c r="BB337" s="136">
        <f t="shared" si="616"/>
        <v>0</v>
      </c>
      <c r="BC337" s="474" t="s">
        <v>262</v>
      </c>
      <c r="BD337" s="475"/>
      <c r="BE337" s="14"/>
      <c r="BF337" s="17"/>
      <c r="BG337" s="14"/>
      <c r="BH337" s="17"/>
      <c r="BI337" s="14"/>
      <c r="BJ337" s="17"/>
      <c r="BK337" s="14"/>
      <c r="BL337" s="17"/>
      <c r="BM337" s="14"/>
      <c r="BN337" s="17"/>
      <c r="BO337" s="14"/>
      <c r="BP337" s="17"/>
      <c r="BQ337" s="108">
        <f t="shared" si="617"/>
        <v>0</v>
      </c>
      <c r="BR337" s="567"/>
      <c r="BS337" s="571"/>
      <c r="BT337" s="572"/>
      <c r="BU337" s="558"/>
      <c r="BV337" s="561"/>
      <c r="BW337" s="564"/>
      <c r="BX337" s="616"/>
    </row>
    <row r="338" spans="1:76" ht="15.75" thickBot="1" x14ac:dyDescent="0.3">
      <c r="A338" s="587"/>
      <c r="B338" s="592"/>
      <c r="C338" s="593"/>
      <c r="D338" s="606"/>
      <c r="E338" s="519"/>
      <c r="F338" s="520"/>
      <c r="G338" s="525"/>
      <c r="H338" s="526"/>
      <c r="I338" s="531"/>
      <c r="J338" s="532"/>
      <c r="K338" s="514"/>
      <c r="L338" s="535"/>
      <c r="M338" s="538"/>
      <c r="N338" s="543"/>
      <c r="O338" s="544"/>
      <c r="P338" s="485"/>
      <c r="Q338" s="486"/>
      <c r="R338" s="519"/>
      <c r="S338" s="520"/>
      <c r="T338" s="489"/>
      <c r="U338" s="490"/>
      <c r="V338" s="493"/>
      <c r="W338" s="485"/>
      <c r="X338" s="496"/>
      <c r="Y338" s="486"/>
      <c r="Z338" s="499"/>
      <c r="AA338" s="504"/>
      <c r="AB338" s="505"/>
      <c r="AC338" s="476" t="s">
        <v>261</v>
      </c>
      <c r="AD338" s="477"/>
      <c r="AE338" s="478"/>
      <c r="AF338" s="102"/>
      <c r="AG338" s="102"/>
      <c r="AH338" s="102"/>
      <c r="AI338" s="102"/>
      <c r="AJ338" s="102"/>
      <c r="AK338" s="102"/>
      <c r="AL338" s="102"/>
      <c r="AM338" s="102"/>
      <c r="AN338" s="102"/>
      <c r="AO338" s="102"/>
      <c r="AP338" s="102"/>
      <c r="AQ338" s="103"/>
      <c r="AR338" s="105">
        <f t="shared" si="618"/>
        <v>0</v>
      </c>
      <c r="AS338" s="131" t="s">
        <v>161</v>
      </c>
      <c r="AT338" s="132">
        <f t="shared" ref="AT338:AX338" si="619">SUM(AT335:AT337)</f>
        <v>0</v>
      </c>
      <c r="AU338" s="132">
        <f t="shared" si="619"/>
        <v>0</v>
      </c>
      <c r="AV338" s="132">
        <f t="shared" si="619"/>
        <v>0</v>
      </c>
      <c r="AW338" s="133">
        <f t="shared" si="619"/>
        <v>0</v>
      </c>
      <c r="AX338" s="127">
        <f t="shared" si="619"/>
        <v>0</v>
      </c>
      <c r="AY338" s="144" t="s">
        <v>161</v>
      </c>
      <c r="AZ338" s="140">
        <f t="shared" ref="AZ338:BB338" si="620">SUM(AZ335:AZ337)</f>
        <v>0</v>
      </c>
      <c r="BA338" s="140">
        <f t="shared" si="620"/>
        <v>0</v>
      </c>
      <c r="BB338" s="140">
        <f t="shared" si="620"/>
        <v>0</v>
      </c>
      <c r="BC338" s="479" t="s">
        <v>263</v>
      </c>
      <c r="BD338" s="480"/>
      <c r="BE338" s="15"/>
      <c r="BF338" s="18"/>
      <c r="BG338" s="15"/>
      <c r="BH338" s="18"/>
      <c r="BI338" s="15"/>
      <c r="BJ338" s="18"/>
      <c r="BK338" s="15"/>
      <c r="BL338" s="18"/>
      <c r="BM338" s="15"/>
      <c r="BN338" s="18"/>
      <c r="BO338" s="15"/>
      <c r="BP338" s="18"/>
      <c r="BQ338" s="109">
        <f t="shared" si="617"/>
        <v>0</v>
      </c>
      <c r="BR338" s="568"/>
      <c r="BS338" s="573"/>
      <c r="BT338" s="574"/>
      <c r="BU338" s="559"/>
      <c r="BV338" s="562"/>
      <c r="BW338" s="565"/>
      <c r="BX338" s="617"/>
    </row>
    <row r="339" spans="1:76" ht="15.75" thickTop="1" x14ac:dyDescent="0.25">
      <c r="A339" s="585">
        <v>83</v>
      </c>
      <c r="B339" s="588"/>
      <c r="C339" s="589"/>
      <c r="D339" s="604"/>
      <c r="E339" s="515"/>
      <c r="F339" s="516"/>
      <c r="G339" s="521"/>
      <c r="H339" s="522"/>
      <c r="I339" s="527"/>
      <c r="J339" s="528"/>
      <c r="K339" s="512"/>
      <c r="L339" s="533"/>
      <c r="M339" s="536"/>
      <c r="N339" s="539"/>
      <c r="O339" s="540"/>
      <c r="P339" s="481"/>
      <c r="Q339" s="482"/>
      <c r="R339" s="515"/>
      <c r="S339" s="516"/>
      <c r="T339" s="487"/>
      <c r="U339" s="488"/>
      <c r="V339" s="491"/>
      <c r="W339" s="481"/>
      <c r="X339" s="494"/>
      <c r="Y339" s="482"/>
      <c r="Z339" s="497"/>
      <c r="AA339" s="500" t="s">
        <v>324</v>
      </c>
      <c r="AB339" s="501"/>
      <c r="AC339" s="506" t="s">
        <v>257</v>
      </c>
      <c r="AD339" s="507"/>
      <c r="AE339" s="507"/>
      <c r="AF339" s="510"/>
      <c r="AG339" s="510"/>
      <c r="AH339" s="510"/>
      <c r="AI339" s="510"/>
      <c r="AJ339" s="510"/>
      <c r="AK339" s="510"/>
      <c r="AL339" s="510"/>
      <c r="AM339" s="510"/>
      <c r="AN339" s="510"/>
      <c r="AO339" s="510"/>
      <c r="AP339" s="510"/>
      <c r="AQ339" s="465"/>
      <c r="AR339" s="467">
        <f t="shared" ref="AR339" si="621">SUM(AF339:AQ340)</f>
        <v>0</v>
      </c>
      <c r="AS339" s="119" t="s">
        <v>257</v>
      </c>
      <c r="AT339" s="120"/>
      <c r="AU339" s="120"/>
      <c r="AV339" s="120"/>
      <c r="AW339" s="121"/>
      <c r="AX339" s="125">
        <f t="shared" ref="AX339:AX341" si="622">SUM(AT339:AW339)</f>
        <v>0</v>
      </c>
      <c r="AY339" s="141" t="s">
        <v>257</v>
      </c>
      <c r="AZ339" s="137"/>
      <c r="BA339" s="137"/>
      <c r="BB339" s="134">
        <f t="shared" ref="BB339:BB341" si="623">AZ339-BA339</f>
        <v>0</v>
      </c>
      <c r="BC339" s="469" t="s">
        <v>258</v>
      </c>
      <c r="BD339" s="470"/>
      <c r="BE339" s="13"/>
      <c r="BF339" s="16"/>
      <c r="BG339" s="13"/>
      <c r="BH339" s="16"/>
      <c r="BI339" s="13"/>
      <c r="BJ339" s="16"/>
      <c r="BK339" s="13"/>
      <c r="BL339" s="16"/>
      <c r="BM339" s="13"/>
      <c r="BN339" s="16"/>
      <c r="BO339" s="13"/>
      <c r="BP339" s="16"/>
      <c r="BQ339" s="106">
        <f t="shared" si="617"/>
        <v>0</v>
      </c>
      <c r="BR339" s="566"/>
      <c r="BS339" s="569"/>
      <c r="BT339" s="570"/>
      <c r="BU339" s="557"/>
      <c r="BV339" s="560"/>
      <c r="BW339" s="563"/>
      <c r="BX339" s="615"/>
    </row>
    <row r="340" spans="1:76" x14ac:dyDescent="0.25">
      <c r="A340" s="586"/>
      <c r="B340" s="590"/>
      <c r="C340" s="591"/>
      <c r="D340" s="605"/>
      <c r="E340" s="517"/>
      <c r="F340" s="518"/>
      <c r="G340" s="523"/>
      <c r="H340" s="524"/>
      <c r="I340" s="529"/>
      <c r="J340" s="530"/>
      <c r="K340" s="513"/>
      <c r="L340" s="534"/>
      <c r="M340" s="537"/>
      <c r="N340" s="541"/>
      <c r="O340" s="542"/>
      <c r="P340" s="483"/>
      <c r="Q340" s="484"/>
      <c r="R340" s="517"/>
      <c r="S340" s="518"/>
      <c r="T340" s="487"/>
      <c r="U340" s="488"/>
      <c r="V340" s="492"/>
      <c r="W340" s="483"/>
      <c r="X340" s="495"/>
      <c r="Y340" s="484"/>
      <c r="Z340" s="498"/>
      <c r="AA340" s="502"/>
      <c r="AB340" s="503"/>
      <c r="AC340" s="508"/>
      <c r="AD340" s="509"/>
      <c r="AE340" s="509"/>
      <c r="AF340" s="511"/>
      <c r="AG340" s="511"/>
      <c r="AH340" s="511"/>
      <c r="AI340" s="511"/>
      <c r="AJ340" s="511"/>
      <c r="AK340" s="511"/>
      <c r="AL340" s="511"/>
      <c r="AM340" s="511"/>
      <c r="AN340" s="511"/>
      <c r="AO340" s="511"/>
      <c r="AP340" s="511"/>
      <c r="AQ340" s="466"/>
      <c r="AR340" s="468"/>
      <c r="AS340" s="122" t="s">
        <v>259</v>
      </c>
      <c r="AT340" s="123"/>
      <c r="AU340" s="123"/>
      <c r="AV340" s="123"/>
      <c r="AW340" s="124"/>
      <c r="AX340" s="126">
        <f t="shared" si="622"/>
        <v>0</v>
      </c>
      <c r="AY340" s="142" t="s">
        <v>259</v>
      </c>
      <c r="AZ340" s="138"/>
      <c r="BA340" s="138"/>
      <c r="BB340" s="135">
        <f t="shared" si="623"/>
        <v>0</v>
      </c>
      <c r="BC340" s="474" t="s">
        <v>260</v>
      </c>
      <c r="BD340" s="475"/>
      <c r="BE340" s="14"/>
      <c r="BF340" s="17"/>
      <c r="BG340" s="14"/>
      <c r="BH340" s="17"/>
      <c r="BI340" s="14"/>
      <c r="BJ340" s="17"/>
      <c r="BK340" s="14"/>
      <c r="BL340" s="17"/>
      <c r="BM340" s="14"/>
      <c r="BN340" s="17"/>
      <c r="BO340" s="14"/>
      <c r="BP340" s="17"/>
      <c r="BQ340" s="107">
        <f t="shared" si="617"/>
        <v>0</v>
      </c>
      <c r="BR340" s="567"/>
      <c r="BS340" s="571"/>
      <c r="BT340" s="572"/>
      <c r="BU340" s="558"/>
      <c r="BV340" s="561"/>
      <c r="BW340" s="564"/>
      <c r="BX340" s="616"/>
    </row>
    <row r="341" spans="1:76" ht="15.75" thickBot="1" x14ac:dyDescent="0.3">
      <c r="A341" s="586"/>
      <c r="B341" s="590"/>
      <c r="C341" s="591"/>
      <c r="D341" s="605"/>
      <c r="E341" s="517"/>
      <c r="F341" s="518"/>
      <c r="G341" s="523"/>
      <c r="H341" s="524"/>
      <c r="I341" s="529"/>
      <c r="J341" s="530"/>
      <c r="K341" s="513"/>
      <c r="L341" s="534"/>
      <c r="M341" s="537"/>
      <c r="N341" s="541"/>
      <c r="O341" s="542"/>
      <c r="P341" s="483"/>
      <c r="Q341" s="484"/>
      <c r="R341" s="517"/>
      <c r="S341" s="518"/>
      <c r="T341" s="487"/>
      <c r="U341" s="488"/>
      <c r="V341" s="492"/>
      <c r="W341" s="483"/>
      <c r="X341" s="495"/>
      <c r="Y341" s="484"/>
      <c r="Z341" s="498"/>
      <c r="AA341" s="502"/>
      <c r="AB341" s="503"/>
      <c r="AC341" s="471" t="s">
        <v>259</v>
      </c>
      <c r="AD341" s="472"/>
      <c r="AE341" s="473"/>
      <c r="AF341" s="100"/>
      <c r="AG341" s="100"/>
      <c r="AH341" s="100"/>
      <c r="AI341" s="100"/>
      <c r="AJ341" s="100"/>
      <c r="AK341" s="100"/>
      <c r="AL341" s="100"/>
      <c r="AM341" s="100"/>
      <c r="AN341" s="100"/>
      <c r="AO341" s="100"/>
      <c r="AP341" s="100"/>
      <c r="AQ341" s="101"/>
      <c r="AR341" s="104">
        <f t="shared" ref="AR341:AR342" si="624">SUM(AF341:AQ341)</f>
        <v>0</v>
      </c>
      <c r="AS341" s="128" t="s">
        <v>261</v>
      </c>
      <c r="AT341" s="129"/>
      <c r="AU341" s="129"/>
      <c r="AV341" s="129"/>
      <c r="AW341" s="130"/>
      <c r="AX341" s="126">
        <f t="shared" si="622"/>
        <v>0</v>
      </c>
      <c r="AY341" s="143" t="s">
        <v>261</v>
      </c>
      <c r="AZ341" s="139"/>
      <c r="BA341" s="139"/>
      <c r="BB341" s="136">
        <f t="shared" si="623"/>
        <v>0</v>
      </c>
      <c r="BC341" s="474" t="s">
        <v>262</v>
      </c>
      <c r="BD341" s="475"/>
      <c r="BE341" s="14"/>
      <c r="BF341" s="17"/>
      <c r="BG341" s="14"/>
      <c r="BH341" s="17"/>
      <c r="BI341" s="14"/>
      <c r="BJ341" s="17"/>
      <c r="BK341" s="14"/>
      <c r="BL341" s="17"/>
      <c r="BM341" s="14"/>
      <c r="BN341" s="17"/>
      <c r="BO341" s="14"/>
      <c r="BP341" s="17"/>
      <c r="BQ341" s="108">
        <f t="shared" si="617"/>
        <v>0</v>
      </c>
      <c r="BR341" s="567"/>
      <c r="BS341" s="571"/>
      <c r="BT341" s="572"/>
      <c r="BU341" s="558"/>
      <c r="BV341" s="561"/>
      <c r="BW341" s="564"/>
      <c r="BX341" s="616"/>
    </row>
    <row r="342" spans="1:76" ht="15.75" thickBot="1" x14ac:dyDescent="0.3">
      <c r="A342" s="587"/>
      <c r="B342" s="592"/>
      <c r="C342" s="593"/>
      <c r="D342" s="606"/>
      <c r="E342" s="519"/>
      <c r="F342" s="520"/>
      <c r="G342" s="525"/>
      <c r="H342" s="526"/>
      <c r="I342" s="531"/>
      <c r="J342" s="532"/>
      <c r="K342" s="514"/>
      <c r="L342" s="535"/>
      <c r="M342" s="538"/>
      <c r="N342" s="543"/>
      <c r="O342" s="544"/>
      <c r="P342" s="485"/>
      <c r="Q342" s="486"/>
      <c r="R342" s="519"/>
      <c r="S342" s="520"/>
      <c r="T342" s="489"/>
      <c r="U342" s="490"/>
      <c r="V342" s="493"/>
      <c r="W342" s="485"/>
      <c r="X342" s="496"/>
      <c r="Y342" s="486"/>
      <c r="Z342" s="499"/>
      <c r="AA342" s="504"/>
      <c r="AB342" s="505"/>
      <c r="AC342" s="476" t="s">
        <v>261</v>
      </c>
      <c r="AD342" s="477"/>
      <c r="AE342" s="478"/>
      <c r="AF342" s="102"/>
      <c r="AG342" s="102"/>
      <c r="AH342" s="102"/>
      <c r="AI342" s="102"/>
      <c r="AJ342" s="102"/>
      <c r="AK342" s="102"/>
      <c r="AL342" s="102"/>
      <c r="AM342" s="102"/>
      <c r="AN342" s="102"/>
      <c r="AO342" s="102"/>
      <c r="AP342" s="102"/>
      <c r="AQ342" s="103"/>
      <c r="AR342" s="105">
        <f t="shared" si="624"/>
        <v>0</v>
      </c>
      <c r="AS342" s="131" t="s">
        <v>161</v>
      </c>
      <c r="AT342" s="132">
        <f t="shared" ref="AT342:AX342" si="625">SUM(AT339:AT341)</f>
        <v>0</v>
      </c>
      <c r="AU342" s="132">
        <f t="shared" si="625"/>
        <v>0</v>
      </c>
      <c r="AV342" s="132">
        <f t="shared" si="625"/>
        <v>0</v>
      </c>
      <c r="AW342" s="133">
        <f t="shared" si="625"/>
        <v>0</v>
      </c>
      <c r="AX342" s="127">
        <f t="shared" si="625"/>
        <v>0</v>
      </c>
      <c r="AY342" s="144" t="s">
        <v>161</v>
      </c>
      <c r="AZ342" s="140">
        <f t="shared" ref="AZ342:BB342" si="626">SUM(AZ339:AZ341)</f>
        <v>0</v>
      </c>
      <c r="BA342" s="140">
        <f t="shared" si="626"/>
        <v>0</v>
      </c>
      <c r="BB342" s="140">
        <f t="shared" si="626"/>
        <v>0</v>
      </c>
      <c r="BC342" s="479" t="s">
        <v>263</v>
      </c>
      <c r="BD342" s="480"/>
      <c r="BE342" s="15"/>
      <c r="BF342" s="18"/>
      <c r="BG342" s="15"/>
      <c r="BH342" s="18"/>
      <c r="BI342" s="15"/>
      <c r="BJ342" s="18"/>
      <c r="BK342" s="15"/>
      <c r="BL342" s="18"/>
      <c r="BM342" s="15"/>
      <c r="BN342" s="18"/>
      <c r="BO342" s="15"/>
      <c r="BP342" s="18"/>
      <c r="BQ342" s="109">
        <f t="shared" si="617"/>
        <v>0</v>
      </c>
      <c r="BR342" s="568"/>
      <c r="BS342" s="573"/>
      <c r="BT342" s="574"/>
      <c r="BU342" s="559"/>
      <c r="BV342" s="562"/>
      <c r="BW342" s="565"/>
      <c r="BX342" s="617"/>
    </row>
    <row r="343" spans="1:76" ht="15.75" thickTop="1" x14ac:dyDescent="0.25">
      <c r="A343" s="585">
        <v>84</v>
      </c>
      <c r="B343" s="588"/>
      <c r="C343" s="589"/>
      <c r="D343" s="604"/>
      <c r="E343" s="515"/>
      <c r="F343" s="516"/>
      <c r="G343" s="521"/>
      <c r="H343" s="522"/>
      <c r="I343" s="527"/>
      <c r="J343" s="528"/>
      <c r="K343" s="512"/>
      <c r="L343" s="533"/>
      <c r="M343" s="536"/>
      <c r="N343" s="539"/>
      <c r="O343" s="540"/>
      <c r="P343" s="481"/>
      <c r="Q343" s="482"/>
      <c r="R343" s="515"/>
      <c r="S343" s="516"/>
      <c r="T343" s="487"/>
      <c r="U343" s="488"/>
      <c r="V343" s="491"/>
      <c r="W343" s="481"/>
      <c r="X343" s="494"/>
      <c r="Y343" s="482"/>
      <c r="Z343" s="497"/>
      <c r="AA343" s="500" t="s">
        <v>325</v>
      </c>
      <c r="AB343" s="501"/>
      <c r="AC343" s="506" t="s">
        <v>257</v>
      </c>
      <c r="AD343" s="507"/>
      <c r="AE343" s="507"/>
      <c r="AF343" s="510"/>
      <c r="AG343" s="510"/>
      <c r="AH343" s="510"/>
      <c r="AI343" s="510"/>
      <c r="AJ343" s="510"/>
      <c r="AK343" s="510"/>
      <c r="AL343" s="510"/>
      <c r="AM343" s="510"/>
      <c r="AN343" s="510"/>
      <c r="AO343" s="510"/>
      <c r="AP343" s="510"/>
      <c r="AQ343" s="465"/>
      <c r="AR343" s="467">
        <f t="shared" ref="AR343" si="627">SUM(AF343:AQ344)</f>
        <v>0</v>
      </c>
      <c r="AS343" s="119" t="s">
        <v>257</v>
      </c>
      <c r="AT343" s="120"/>
      <c r="AU343" s="120"/>
      <c r="AV343" s="120"/>
      <c r="AW343" s="121"/>
      <c r="AX343" s="125">
        <f t="shared" ref="AX343:AX345" si="628">SUM(AT343:AW343)</f>
        <v>0</v>
      </c>
      <c r="AY343" s="141" t="s">
        <v>257</v>
      </c>
      <c r="AZ343" s="137"/>
      <c r="BA343" s="137"/>
      <c r="BB343" s="134">
        <f t="shared" ref="BB343:BB345" si="629">AZ343-BA343</f>
        <v>0</v>
      </c>
      <c r="BC343" s="469" t="s">
        <v>258</v>
      </c>
      <c r="BD343" s="470"/>
      <c r="BE343" s="13"/>
      <c r="BF343" s="16"/>
      <c r="BG343" s="13"/>
      <c r="BH343" s="16"/>
      <c r="BI343" s="13"/>
      <c r="BJ343" s="16"/>
      <c r="BK343" s="13"/>
      <c r="BL343" s="16"/>
      <c r="BM343" s="13"/>
      <c r="BN343" s="16"/>
      <c r="BO343" s="13"/>
      <c r="BP343" s="16"/>
      <c r="BQ343" s="106">
        <f t="shared" si="617"/>
        <v>0</v>
      </c>
      <c r="BR343" s="566"/>
      <c r="BS343" s="569"/>
      <c r="BT343" s="570"/>
      <c r="BU343" s="557"/>
      <c r="BV343" s="560"/>
      <c r="BW343" s="563"/>
      <c r="BX343" s="615"/>
    </row>
    <row r="344" spans="1:76" x14ac:dyDescent="0.25">
      <c r="A344" s="586"/>
      <c r="B344" s="590"/>
      <c r="C344" s="591"/>
      <c r="D344" s="605"/>
      <c r="E344" s="517"/>
      <c r="F344" s="518"/>
      <c r="G344" s="523"/>
      <c r="H344" s="524"/>
      <c r="I344" s="529"/>
      <c r="J344" s="530"/>
      <c r="K344" s="513"/>
      <c r="L344" s="534"/>
      <c r="M344" s="537"/>
      <c r="N344" s="541"/>
      <c r="O344" s="542"/>
      <c r="P344" s="483"/>
      <c r="Q344" s="484"/>
      <c r="R344" s="517"/>
      <c r="S344" s="518"/>
      <c r="T344" s="487"/>
      <c r="U344" s="488"/>
      <c r="V344" s="492"/>
      <c r="W344" s="483"/>
      <c r="X344" s="495"/>
      <c r="Y344" s="484"/>
      <c r="Z344" s="498"/>
      <c r="AA344" s="502"/>
      <c r="AB344" s="503"/>
      <c r="AC344" s="508"/>
      <c r="AD344" s="509"/>
      <c r="AE344" s="509"/>
      <c r="AF344" s="511"/>
      <c r="AG344" s="511"/>
      <c r="AH344" s="511"/>
      <c r="AI344" s="511"/>
      <c r="AJ344" s="511"/>
      <c r="AK344" s="511"/>
      <c r="AL344" s="511"/>
      <c r="AM344" s="511"/>
      <c r="AN344" s="511"/>
      <c r="AO344" s="511"/>
      <c r="AP344" s="511"/>
      <c r="AQ344" s="466"/>
      <c r="AR344" s="468"/>
      <c r="AS344" s="122" t="s">
        <v>259</v>
      </c>
      <c r="AT344" s="123"/>
      <c r="AU344" s="123"/>
      <c r="AV344" s="123"/>
      <c r="AW344" s="124"/>
      <c r="AX344" s="126">
        <f t="shared" si="628"/>
        <v>0</v>
      </c>
      <c r="AY344" s="142" t="s">
        <v>259</v>
      </c>
      <c r="AZ344" s="138"/>
      <c r="BA344" s="138"/>
      <c r="BB344" s="135">
        <f t="shared" si="629"/>
        <v>0</v>
      </c>
      <c r="BC344" s="474" t="s">
        <v>260</v>
      </c>
      <c r="BD344" s="475"/>
      <c r="BE344" s="14"/>
      <c r="BF344" s="17"/>
      <c r="BG344" s="14"/>
      <c r="BH344" s="17"/>
      <c r="BI344" s="14"/>
      <c r="BJ344" s="17"/>
      <c r="BK344" s="14"/>
      <c r="BL344" s="17"/>
      <c r="BM344" s="14"/>
      <c r="BN344" s="17"/>
      <c r="BO344" s="14"/>
      <c r="BP344" s="17"/>
      <c r="BQ344" s="107">
        <f t="shared" si="617"/>
        <v>0</v>
      </c>
      <c r="BR344" s="567"/>
      <c r="BS344" s="571"/>
      <c r="BT344" s="572"/>
      <c r="BU344" s="558"/>
      <c r="BV344" s="561"/>
      <c r="BW344" s="564"/>
      <c r="BX344" s="616"/>
    </row>
    <row r="345" spans="1:76" ht="15.75" thickBot="1" x14ac:dyDescent="0.3">
      <c r="A345" s="586"/>
      <c r="B345" s="590"/>
      <c r="C345" s="591"/>
      <c r="D345" s="605"/>
      <c r="E345" s="517"/>
      <c r="F345" s="518"/>
      <c r="G345" s="523"/>
      <c r="H345" s="524"/>
      <c r="I345" s="529"/>
      <c r="J345" s="530"/>
      <c r="K345" s="513"/>
      <c r="L345" s="534"/>
      <c r="M345" s="537"/>
      <c r="N345" s="541"/>
      <c r="O345" s="542"/>
      <c r="P345" s="483"/>
      <c r="Q345" s="484"/>
      <c r="R345" s="517"/>
      <c r="S345" s="518"/>
      <c r="T345" s="487"/>
      <c r="U345" s="488"/>
      <c r="V345" s="492"/>
      <c r="W345" s="483"/>
      <c r="X345" s="495"/>
      <c r="Y345" s="484"/>
      <c r="Z345" s="498"/>
      <c r="AA345" s="502"/>
      <c r="AB345" s="503"/>
      <c r="AC345" s="471" t="s">
        <v>259</v>
      </c>
      <c r="AD345" s="472"/>
      <c r="AE345" s="473"/>
      <c r="AF345" s="100"/>
      <c r="AG345" s="100"/>
      <c r="AH345" s="100"/>
      <c r="AI345" s="100"/>
      <c r="AJ345" s="100"/>
      <c r="AK345" s="100"/>
      <c r="AL345" s="100"/>
      <c r="AM345" s="100"/>
      <c r="AN345" s="100"/>
      <c r="AO345" s="100"/>
      <c r="AP345" s="100"/>
      <c r="AQ345" s="101"/>
      <c r="AR345" s="104">
        <f t="shared" ref="AR345:AR346" si="630">SUM(AF345:AQ345)</f>
        <v>0</v>
      </c>
      <c r="AS345" s="128" t="s">
        <v>261</v>
      </c>
      <c r="AT345" s="129"/>
      <c r="AU345" s="129"/>
      <c r="AV345" s="129"/>
      <c r="AW345" s="130"/>
      <c r="AX345" s="126">
        <f t="shared" si="628"/>
        <v>0</v>
      </c>
      <c r="AY345" s="143" t="s">
        <v>261</v>
      </c>
      <c r="AZ345" s="139"/>
      <c r="BA345" s="139"/>
      <c r="BB345" s="136">
        <f t="shared" si="629"/>
        <v>0</v>
      </c>
      <c r="BC345" s="474" t="s">
        <v>262</v>
      </c>
      <c r="BD345" s="475"/>
      <c r="BE345" s="14"/>
      <c r="BF345" s="17"/>
      <c r="BG345" s="14"/>
      <c r="BH345" s="17"/>
      <c r="BI345" s="14"/>
      <c r="BJ345" s="17"/>
      <c r="BK345" s="14"/>
      <c r="BL345" s="17"/>
      <c r="BM345" s="14"/>
      <c r="BN345" s="17"/>
      <c r="BO345" s="14"/>
      <c r="BP345" s="17"/>
      <c r="BQ345" s="108">
        <f t="shared" si="617"/>
        <v>0</v>
      </c>
      <c r="BR345" s="567"/>
      <c r="BS345" s="571"/>
      <c r="BT345" s="572"/>
      <c r="BU345" s="558"/>
      <c r="BV345" s="561"/>
      <c r="BW345" s="564"/>
      <c r="BX345" s="616"/>
    </row>
    <row r="346" spans="1:76" ht="15.75" thickBot="1" x14ac:dyDescent="0.3">
      <c r="A346" s="587"/>
      <c r="B346" s="592"/>
      <c r="C346" s="593"/>
      <c r="D346" s="606"/>
      <c r="E346" s="519"/>
      <c r="F346" s="520"/>
      <c r="G346" s="525"/>
      <c r="H346" s="526"/>
      <c r="I346" s="531"/>
      <c r="J346" s="532"/>
      <c r="K346" s="514"/>
      <c r="L346" s="535"/>
      <c r="M346" s="538"/>
      <c r="N346" s="543"/>
      <c r="O346" s="544"/>
      <c r="P346" s="485"/>
      <c r="Q346" s="486"/>
      <c r="R346" s="519"/>
      <c r="S346" s="520"/>
      <c r="T346" s="489"/>
      <c r="U346" s="490"/>
      <c r="V346" s="493"/>
      <c r="W346" s="485"/>
      <c r="X346" s="496"/>
      <c r="Y346" s="486"/>
      <c r="Z346" s="499"/>
      <c r="AA346" s="504"/>
      <c r="AB346" s="505"/>
      <c r="AC346" s="476" t="s">
        <v>261</v>
      </c>
      <c r="AD346" s="477"/>
      <c r="AE346" s="478"/>
      <c r="AF346" s="102"/>
      <c r="AG346" s="102"/>
      <c r="AH346" s="102"/>
      <c r="AI346" s="102"/>
      <c r="AJ346" s="102"/>
      <c r="AK346" s="102"/>
      <c r="AL346" s="102"/>
      <c r="AM346" s="102"/>
      <c r="AN346" s="102"/>
      <c r="AO346" s="102"/>
      <c r="AP346" s="102"/>
      <c r="AQ346" s="103"/>
      <c r="AR346" s="105">
        <f t="shared" si="630"/>
        <v>0</v>
      </c>
      <c r="AS346" s="131" t="s">
        <v>161</v>
      </c>
      <c r="AT346" s="132">
        <f t="shared" ref="AT346:AX346" si="631">SUM(AT343:AT345)</f>
        <v>0</v>
      </c>
      <c r="AU346" s="132">
        <f t="shared" si="631"/>
        <v>0</v>
      </c>
      <c r="AV346" s="132">
        <f t="shared" si="631"/>
        <v>0</v>
      </c>
      <c r="AW346" s="133">
        <f t="shared" si="631"/>
        <v>0</v>
      </c>
      <c r="AX346" s="127">
        <f t="shared" si="631"/>
        <v>0</v>
      </c>
      <c r="AY346" s="144" t="s">
        <v>161</v>
      </c>
      <c r="AZ346" s="140">
        <f t="shared" ref="AZ346:BB346" si="632">SUM(AZ343:AZ345)</f>
        <v>0</v>
      </c>
      <c r="BA346" s="140">
        <f t="shared" si="632"/>
        <v>0</v>
      </c>
      <c r="BB346" s="140">
        <f t="shared" si="632"/>
        <v>0</v>
      </c>
      <c r="BC346" s="479" t="s">
        <v>263</v>
      </c>
      <c r="BD346" s="480"/>
      <c r="BE346" s="15"/>
      <c r="BF346" s="18"/>
      <c r="BG346" s="15"/>
      <c r="BH346" s="18"/>
      <c r="BI346" s="15"/>
      <c r="BJ346" s="18"/>
      <c r="BK346" s="15"/>
      <c r="BL346" s="18"/>
      <c r="BM346" s="15"/>
      <c r="BN346" s="18"/>
      <c r="BO346" s="15"/>
      <c r="BP346" s="18"/>
      <c r="BQ346" s="109">
        <f t="shared" si="617"/>
        <v>0</v>
      </c>
      <c r="BR346" s="568"/>
      <c r="BS346" s="573"/>
      <c r="BT346" s="574"/>
      <c r="BU346" s="559"/>
      <c r="BV346" s="562"/>
      <c r="BW346" s="565"/>
      <c r="BX346" s="617"/>
    </row>
    <row r="347" spans="1:76" ht="15.75" thickTop="1" x14ac:dyDescent="0.25">
      <c r="A347" s="585">
        <v>85</v>
      </c>
      <c r="B347" s="588"/>
      <c r="C347" s="589"/>
      <c r="D347" s="604"/>
      <c r="E347" s="515"/>
      <c r="F347" s="516"/>
      <c r="G347" s="521"/>
      <c r="H347" s="522"/>
      <c r="I347" s="527"/>
      <c r="J347" s="528"/>
      <c r="K347" s="512"/>
      <c r="L347" s="533"/>
      <c r="M347" s="536"/>
      <c r="N347" s="539"/>
      <c r="O347" s="540"/>
      <c r="P347" s="481"/>
      <c r="Q347" s="482"/>
      <c r="R347" s="515"/>
      <c r="S347" s="516"/>
      <c r="T347" s="487"/>
      <c r="U347" s="488"/>
      <c r="V347" s="491"/>
      <c r="W347" s="481"/>
      <c r="X347" s="494"/>
      <c r="Y347" s="482"/>
      <c r="Z347" s="497"/>
      <c r="AA347" s="500" t="s">
        <v>326</v>
      </c>
      <c r="AB347" s="501"/>
      <c r="AC347" s="506" t="s">
        <v>257</v>
      </c>
      <c r="AD347" s="507"/>
      <c r="AE347" s="507"/>
      <c r="AF347" s="510"/>
      <c r="AG347" s="510"/>
      <c r="AH347" s="510"/>
      <c r="AI347" s="510"/>
      <c r="AJ347" s="510"/>
      <c r="AK347" s="510"/>
      <c r="AL347" s="510"/>
      <c r="AM347" s="510"/>
      <c r="AN347" s="510"/>
      <c r="AO347" s="510"/>
      <c r="AP347" s="510"/>
      <c r="AQ347" s="465"/>
      <c r="AR347" s="467">
        <f t="shared" ref="AR347" si="633">SUM(AF347:AQ348)</f>
        <v>0</v>
      </c>
      <c r="AS347" s="119" t="s">
        <v>257</v>
      </c>
      <c r="AT347" s="120"/>
      <c r="AU347" s="120"/>
      <c r="AV347" s="120"/>
      <c r="AW347" s="121"/>
      <c r="AX347" s="125">
        <f t="shared" ref="AX347:AX349" si="634">SUM(AT347:AW347)</f>
        <v>0</v>
      </c>
      <c r="AY347" s="141" t="s">
        <v>257</v>
      </c>
      <c r="AZ347" s="137"/>
      <c r="BA347" s="137"/>
      <c r="BB347" s="134">
        <f t="shared" ref="BB347:BB349" si="635">AZ347-BA347</f>
        <v>0</v>
      </c>
      <c r="BC347" s="469" t="s">
        <v>258</v>
      </c>
      <c r="BD347" s="470"/>
      <c r="BE347" s="13"/>
      <c r="BF347" s="16"/>
      <c r="BG347" s="13"/>
      <c r="BH347" s="16"/>
      <c r="BI347" s="13"/>
      <c r="BJ347" s="16"/>
      <c r="BK347" s="13"/>
      <c r="BL347" s="16"/>
      <c r="BM347" s="13"/>
      <c r="BN347" s="16"/>
      <c r="BO347" s="13"/>
      <c r="BP347" s="16"/>
      <c r="BQ347" s="106">
        <f t="shared" si="617"/>
        <v>0</v>
      </c>
      <c r="BR347" s="566"/>
      <c r="BS347" s="569"/>
      <c r="BT347" s="570"/>
      <c r="BU347" s="557"/>
      <c r="BV347" s="560"/>
      <c r="BW347" s="563"/>
      <c r="BX347" s="615"/>
    </row>
    <row r="348" spans="1:76" x14ac:dyDescent="0.25">
      <c r="A348" s="586"/>
      <c r="B348" s="590"/>
      <c r="C348" s="591"/>
      <c r="D348" s="605"/>
      <c r="E348" s="517"/>
      <c r="F348" s="518"/>
      <c r="G348" s="523"/>
      <c r="H348" s="524"/>
      <c r="I348" s="529"/>
      <c r="J348" s="530"/>
      <c r="K348" s="513"/>
      <c r="L348" s="534"/>
      <c r="M348" s="537"/>
      <c r="N348" s="541"/>
      <c r="O348" s="542"/>
      <c r="P348" s="483"/>
      <c r="Q348" s="484"/>
      <c r="R348" s="517"/>
      <c r="S348" s="518"/>
      <c r="T348" s="487"/>
      <c r="U348" s="488"/>
      <c r="V348" s="492"/>
      <c r="W348" s="483"/>
      <c r="X348" s="495"/>
      <c r="Y348" s="484"/>
      <c r="Z348" s="498"/>
      <c r="AA348" s="502"/>
      <c r="AB348" s="503"/>
      <c r="AC348" s="508"/>
      <c r="AD348" s="509"/>
      <c r="AE348" s="509"/>
      <c r="AF348" s="511"/>
      <c r="AG348" s="511"/>
      <c r="AH348" s="511"/>
      <c r="AI348" s="511"/>
      <c r="AJ348" s="511"/>
      <c r="AK348" s="511"/>
      <c r="AL348" s="511"/>
      <c r="AM348" s="511"/>
      <c r="AN348" s="511"/>
      <c r="AO348" s="511"/>
      <c r="AP348" s="511"/>
      <c r="AQ348" s="466"/>
      <c r="AR348" s="468"/>
      <c r="AS348" s="122" t="s">
        <v>259</v>
      </c>
      <c r="AT348" s="123"/>
      <c r="AU348" s="123"/>
      <c r="AV348" s="123"/>
      <c r="AW348" s="124"/>
      <c r="AX348" s="126">
        <f t="shared" si="634"/>
        <v>0</v>
      </c>
      <c r="AY348" s="142" t="s">
        <v>259</v>
      </c>
      <c r="AZ348" s="138"/>
      <c r="BA348" s="138"/>
      <c r="BB348" s="135">
        <f t="shared" si="635"/>
        <v>0</v>
      </c>
      <c r="BC348" s="474" t="s">
        <v>260</v>
      </c>
      <c r="BD348" s="475"/>
      <c r="BE348" s="14"/>
      <c r="BF348" s="17"/>
      <c r="BG348" s="14"/>
      <c r="BH348" s="17"/>
      <c r="BI348" s="14"/>
      <c r="BJ348" s="17"/>
      <c r="BK348" s="14"/>
      <c r="BL348" s="17"/>
      <c r="BM348" s="14"/>
      <c r="BN348" s="17"/>
      <c r="BO348" s="14"/>
      <c r="BP348" s="17"/>
      <c r="BQ348" s="107">
        <f t="shared" si="617"/>
        <v>0</v>
      </c>
      <c r="BR348" s="567"/>
      <c r="BS348" s="571"/>
      <c r="BT348" s="572"/>
      <c r="BU348" s="558"/>
      <c r="BV348" s="561"/>
      <c r="BW348" s="564"/>
      <c r="BX348" s="616"/>
    </row>
    <row r="349" spans="1:76" ht="15.75" thickBot="1" x14ac:dyDescent="0.3">
      <c r="A349" s="586"/>
      <c r="B349" s="590"/>
      <c r="C349" s="591"/>
      <c r="D349" s="605"/>
      <c r="E349" s="517"/>
      <c r="F349" s="518"/>
      <c r="G349" s="523"/>
      <c r="H349" s="524"/>
      <c r="I349" s="529"/>
      <c r="J349" s="530"/>
      <c r="K349" s="513"/>
      <c r="L349" s="534"/>
      <c r="M349" s="537"/>
      <c r="N349" s="541"/>
      <c r="O349" s="542"/>
      <c r="P349" s="483"/>
      <c r="Q349" s="484"/>
      <c r="R349" s="517"/>
      <c r="S349" s="518"/>
      <c r="T349" s="487"/>
      <c r="U349" s="488"/>
      <c r="V349" s="492"/>
      <c r="W349" s="483"/>
      <c r="X349" s="495"/>
      <c r="Y349" s="484"/>
      <c r="Z349" s="498"/>
      <c r="AA349" s="502"/>
      <c r="AB349" s="503"/>
      <c r="AC349" s="471" t="s">
        <v>259</v>
      </c>
      <c r="AD349" s="472"/>
      <c r="AE349" s="473"/>
      <c r="AF349" s="100"/>
      <c r="AG349" s="100"/>
      <c r="AH349" s="100"/>
      <c r="AI349" s="100"/>
      <c r="AJ349" s="100"/>
      <c r="AK349" s="100"/>
      <c r="AL349" s="100"/>
      <c r="AM349" s="100"/>
      <c r="AN349" s="100"/>
      <c r="AO349" s="100"/>
      <c r="AP349" s="100"/>
      <c r="AQ349" s="101"/>
      <c r="AR349" s="104">
        <f t="shared" ref="AR349:AR350" si="636">SUM(AF349:AQ349)</f>
        <v>0</v>
      </c>
      <c r="AS349" s="128" t="s">
        <v>261</v>
      </c>
      <c r="AT349" s="129"/>
      <c r="AU349" s="129"/>
      <c r="AV349" s="129"/>
      <c r="AW349" s="130"/>
      <c r="AX349" s="126">
        <f t="shared" si="634"/>
        <v>0</v>
      </c>
      <c r="AY349" s="143" t="s">
        <v>261</v>
      </c>
      <c r="AZ349" s="139"/>
      <c r="BA349" s="139"/>
      <c r="BB349" s="136">
        <f t="shared" si="635"/>
        <v>0</v>
      </c>
      <c r="BC349" s="474" t="s">
        <v>262</v>
      </c>
      <c r="BD349" s="475"/>
      <c r="BE349" s="14"/>
      <c r="BF349" s="17"/>
      <c r="BG349" s="14"/>
      <c r="BH349" s="17"/>
      <c r="BI349" s="14"/>
      <c r="BJ349" s="17"/>
      <c r="BK349" s="14"/>
      <c r="BL349" s="17"/>
      <c r="BM349" s="14"/>
      <c r="BN349" s="17"/>
      <c r="BO349" s="14"/>
      <c r="BP349" s="17"/>
      <c r="BQ349" s="108">
        <f t="shared" si="617"/>
        <v>0</v>
      </c>
      <c r="BR349" s="567"/>
      <c r="BS349" s="571"/>
      <c r="BT349" s="572"/>
      <c r="BU349" s="558"/>
      <c r="BV349" s="561"/>
      <c r="BW349" s="564"/>
      <c r="BX349" s="616"/>
    </row>
    <row r="350" spans="1:76" ht="15.75" thickBot="1" x14ac:dyDescent="0.3">
      <c r="A350" s="587"/>
      <c r="B350" s="592"/>
      <c r="C350" s="593"/>
      <c r="D350" s="606"/>
      <c r="E350" s="519"/>
      <c r="F350" s="520"/>
      <c r="G350" s="525"/>
      <c r="H350" s="526"/>
      <c r="I350" s="531"/>
      <c r="J350" s="532"/>
      <c r="K350" s="514"/>
      <c r="L350" s="535"/>
      <c r="M350" s="538"/>
      <c r="N350" s="543"/>
      <c r="O350" s="544"/>
      <c r="P350" s="485"/>
      <c r="Q350" s="486"/>
      <c r="R350" s="519"/>
      <c r="S350" s="520"/>
      <c r="T350" s="489"/>
      <c r="U350" s="490"/>
      <c r="V350" s="493"/>
      <c r="W350" s="485"/>
      <c r="X350" s="496"/>
      <c r="Y350" s="486"/>
      <c r="Z350" s="499"/>
      <c r="AA350" s="504"/>
      <c r="AB350" s="505"/>
      <c r="AC350" s="476" t="s">
        <v>261</v>
      </c>
      <c r="AD350" s="477"/>
      <c r="AE350" s="478"/>
      <c r="AF350" s="102"/>
      <c r="AG350" s="102"/>
      <c r="AH350" s="102"/>
      <c r="AI350" s="102"/>
      <c r="AJ350" s="102"/>
      <c r="AK350" s="102"/>
      <c r="AL350" s="102"/>
      <c r="AM350" s="102"/>
      <c r="AN350" s="102"/>
      <c r="AO350" s="102"/>
      <c r="AP350" s="102"/>
      <c r="AQ350" s="103"/>
      <c r="AR350" s="105">
        <f t="shared" si="636"/>
        <v>0</v>
      </c>
      <c r="AS350" s="131" t="s">
        <v>161</v>
      </c>
      <c r="AT350" s="132">
        <f t="shared" ref="AT350:AX350" si="637">SUM(AT347:AT349)</f>
        <v>0</v>
      </c>
      <c r="AU350" s="132">
        <f t="shared" si="637"/>
        <v>0</v>
      </c>
      <c r="AV350" s="132">
        <f t="shared" si="637"/>
        <v>0</v>
      </c>
      <c r="AW350" s="133">
        <f t="shared" si="637"/>
        <v>0</v>
      </c>
      <c r="AX350" s="127">
        <f t="shared" si="637"/>
        <v>0</v>
      </c>
      <c r="AY350" s="144" t="s">
        <v>161</v>
      </c>
      <c r="AZ350" s="140">
        <f t="shared" ref="AZ350:BB350" si="638">SUM(AZ347:AZ349)</f>
        <v>0</v>
      </c>
      <c r="BA350" s="140">
        <f t="shared" si="638"/>
        <v>0</v>
      </c>
      <c r="BB350" s="140">
        <f t="shared" si="638"/>
        <v>0</v>
      </c>
      <c r="BC350" s="479" t="s">
        <v>263</v>
      </c>
      <c r="BD350" s="480"/>
      <c r="BE350" s="15"/>
      <c r="BF350" s="18"/>
      <c r="BG350" s="15"/>
      <c r="BH350" s="18"/>
      <c r="BI350" s="15"/>
      <c r="BJ350" s="18"/>
      <c r="BK350" s="15"/>
      <c r="BL350" s="18"/>
      <c r="BM350" s="15"/>
      <c r="BN350" s="18"/>
      <c r="BO350" s="15"/>
      <c r="BP350" s="18"/>
      <c r="BQ350" s="109">
        <f t="shared" si="617"/>
        <v>0</v>
      </c>
      <c r="BR350" s="568"/>
      <c r="BS350" s="573"/>
      <c r="BT350" s="574"/>
      <c r="BU350" s="559"/>
      <c r="BV350" s="562"/>
      <c r="BW350" s="565"/>
      <c r="BX350" s="617"/>
    </row>
    <row r="351" spans="1:76" ht="15.75" thickTop="1" x14ac:dyDescent="0.25">
      <c r="A351" s="585">
        <v>86</v>
      </c>
      <c r="B351" s="588"/>
      <c r="C351" s="589"/>
      <c r="D351" s="604"/>
      <c r="E351" s="515"/>
      <c r="F351" s="516"/>
      <c r="G351" s="521"/>
      <c r="H351" s="522"/>
      <c r="I351" s="527"/>
      <c r="J351" s="528"/>
      <c r="K351" s="512"/>
      <c r="L351" s="533"/>
      <c r="M351" s="536"/>
      <c r="N351" s="539"/>
      <c r="O351" s="540"/>
      <c r="P351" s="481"/>
      <c r="Q351" s="482"/>
      <c r="R351" s="515"/>
      <c r="S351" s="516"/>
      <c r="T351" s="487"/>
      <c r="U351" s="488"/>
      <c r="V351" s="491"/>
      <c r="W351" s="481"/>
      <c r="X351" s="494"/>
      <c r="Y351" s="482"/>
      <c r="Z351" s="497"/>
      <c r="AA351" s="500" t="s">
        <v>327</v>
      </c>
      <c r="AB351" s="501"/>
      <c r="AC351" s="506" t="s">
        <v>257</v>
      </c>
      <c r="AD351" s="507"/>
      <c r="AE351" s="507"/>
      <c r="AF351" s="510"/>
      <c r="AG351" s="510"/>
      <c r="AH351" s="510"/>
      <c r="AI351" s="510"/>
      <c r="AJ351" s="510"/>
      <c r="AK351" s="510"/>
      <c r="AL351" s="510"/>
      <c r="AM351" s="510"/>
      <c r="AN351" s="510"/>
      <c r="AO351" s="510"/>
      <c r="AP351" s="510"/>
      <c r="AQ351" s="465"/>
      <c r="AR351" s="467">
        <f t="shared" ref="AR351" si="639">SUM(AF351:AQ352)</f>
        <v>0</v>
      </c>
      <c r="AS351" s="119" t="s">
        <v>257</v>
      </c>
      <c r="AT351" s="120"/>
      <c r="AU351" s="120"/>
      <c r="AV351" s="120"/>
      <c r="AW351" s="121"/>
      <c r="AX351" s="125">
        <f t="shared" ref="AX351:AX353" si="640">SUM(AT351:AW351)</f>
        <v>0</v>
      </c>
      <c r="AY351" s="141" t="s">
        <v>257</v>
      </c>
      <c r="AZ351" s="137"/>
      <c r="BA351" s="137"/>
      <c r="BB351" s="134">
        <f t="shared" ref="BB351:BB353" si="641">AZ351-BA351</f>
        <v>0</v>
      </c>
      <c r="BC351" s="469" t="s">
        <v>258</v>
      </c>
      <c r="BD351" s="470"/>
      <c r="BE351" s="13"/>
      <c r="BF351" s="16"/>
      <c r="BG351" s="13"/>
      <c r="BH351" s="16"/>
      <c r="BI351" s="13"/>
      <c r="BJ351" s="16"/>
      <c r="BK351" s="13"/>
      <c r="BL351" s="16"/>
      <c r="BM351" s="13"/>
      <c r="BN351" s="16"/>
      <c r="BO351" s="13"/>
      <c r="BP351" s="16"/>
      <c r="BQ351" s="106">
        <f t="shared" si="617"/>
        <v>0</v>
      </c>
      <c r="BR351" s="566"/>
      <c r="BS351" s="569"/>
      <c r="BT351" s="570"/>
      <c r="BU351" s="557"/>
      <c r="BV351" s="560"/>
      <c r="BW351" s="563"/>
      <c r="BX351" s="615"/>
    </row>
    <row r="352" spans="1:76" x14ac:dyDescent="0.25">
      <c r="A352" s="586"/>
      <c r="B352" s="590"/>
      <c r="C352" s="591"/>
      <c r="D352" s="605"/>
      <c r="E352" s="517"/>
      <c r="F352" s="518"/>
      <c r="G352" s="523"/>
      <c r="H352" s="524"/>
      <c r="I352" s="529"/>
      <c r="J352" s="530"/>
      <c r="K352" s="513"/>
      <c r="L352" s="534"/>
      <c r="M352" s="537"/>
      <c r="N352" s="541"/>
      <c r="O352" s="542"/>
      <c r="P352" s="483"/>
      <c r="Q352" s="484"/>
      <c r="R352" s="517"/>
      <c r="S352" s="518"/>
      <c r="T352" s="487"/>
      <c r="U352" s="488"/>
      <c r="V352" s="492"/>
      <c r="W352" s="483"/>
      <c r="X352" s="495"/>
      <c r="Y352" s="484"/>
      <c r="Z352" s="498"/>
      <c r="AA352" s="502"/>
      <c r="AB352" s="503"/>
      <c r="AC352" s="508"/>
      <c r="AD352" s="509"/>
      <c r="AE352" s="509"/>
      <c r="AF352" s="511"/>
      <c r="AG352" s="511"/>
      <c r="AH352" s="511"/>
      <c r="AI352" s="511"/>
      <c r="AJ352" s="511"/>
      <c r="AK352" s="511"/>
      <c r="AL352" s="511"/>
      <c r="AM352" s="511"/>
      <c r="AN352" s="511"/>
      <c r="AO352" s="511"/>
      <c r="AP352" s="511"/>
      <c r="AQ352" s="466"/>
      <c r="AR352" s="468"/>
      <c r="AS352" s="122" t="s">
        <v>259</v>
      </c>
      <c r="AT352" s="123"/>
      <c r="AU352" s="123"/>
      <c r="AV352" s="123"/>
      <c r="AW352" s="124"/>
      <c r="AX352" s="126">
        <f t="shared" si="640"/>
        <v>0</v>
      </c>
      <c r="AY352" s="142" t="s">
        <v>259</v>
      </c>
      <c r="AZ352" s="138"/>
      <c r="BA352" s="138"/>
      <c r="BB352" s="135">
        <f t="shared" si="641"/>
        <v>0</v>
      </c>
      <c r="BC352" s="474" t="s">
        <v>260</v>
      </c>
      <c r="BD352" s="475"/>
      <c r="BE352" s="14"/>
      <c r="BF352" s="17"/>
      <c r="BG352" s="14"/>
      <c r="BH352" s="17"/>
      <c r="BI352" s="14"/>
      <c r="BJ352" s="17"/>
      <c r="BK352" s="14"/>
      <c r="BL352" s="17"/>
      <c r="BM352" s="14"/>
      <c r="BN352" s="17"/>
      <c r="BO352" s="14"/>
      <c r="BP352" s="17"/>
      <c r="BQ352" s="107">
        <f t="shared" si="617"/>
        <v>0</v>
      </c>
      <c r="BR352" s="567"/>
      <c r="BS352" s="571"/>
      <c r="BT352" s="572"/>
      <c r="BU352" s="558"/>
      <c r="BV352" s="561"/>
      <c r="BW352" s="564"/>
      <c r="BX352" s="616"/>
    </row>
    <row r="353" spans="1:76" ht="15.75" thickBot="1" x14ac:dyDescent="0.3">
      <c r="A353" s="586"/>
      <c r="B353" s="590"/>
      <c r="C353" s="591"/>
      <c r="D353" s="605"/>
      <c r="E353" s="517"/>
      <c r="F353" s="518"/>
      <c r="G353" s="523"/>
      <c r="H353" s="524"/>
      <c r="I353" s="529"/>
      <c r="J353" s="530"/>
      <c r="K353" s="513"/>
      <c r="L353" s="534"/>
      <c r="M353" s="537"/>
      <c r="N353" s="541"/>
      <c r="O353" s="542"/>
      <c r="P353" s="483"/>
      <c r="Q353" s="484"/>
      <c r="R353" s="517"/>
      <c r="S353" s="518"/>
      <c r="T353" s="487"/>
      <c r="U353" s="488"/>
      <c r="V353" s="492"/>
      <c r="W353" s="483"/>
      <c r="X353" s="495"/>
      <c r="Y353" s="484"/>
      <c r="Z353" s="498"/>
      <c r="AA353" s="502"/>
      <c r="AB353" s="503"/>
      <c r="AC353" s="471" t="s">
        <v>259</v>
      </c>
      <c r="AD353" s="472"/>
      <c r="AE353" s="473"/>
      <c r="AF353" s="100"/>
      <c r="AG353" s="100"/>
      <c r="AH353" s="100"/>
      <c r="AI353" s="100"/>
      <c r="AJ353" s="100"/>
      <c r="AK353" s="100"/>
      <c r="AL353" s="100"/>
      <c r="AM353" s="100"/>
      <c r="AN353" s="100"/>
      <c r="AO353" s="100"/>
      <c r="AP353" s="100"/>
      <c r="AQ353" s="101"/>
      <c r="AR353" s="104">
        <f t="shared" ref="AR353:AR354" si="642">SUM(AF353:AQ353)</f>
        <v>0</v>
      </c>
      <c r="AS353" s="128" t="s">
        <v>261</v>
      </c>
      <c r="AT353" s="129"/>
      <c r="AU353" s="129"/>
      <c r="AV353" s="129"/>
      <c r="AW353" s="130"/>
      <c r="AX353" s="126">
        <f t="shared" si="640"/>
        <v>0</v>
      </c>
      <c r="AY353" s="143" t="s">
        <v>261</v>
      </c>
      <c r="AZ353" s="139"/>
      <c r="BA353" s="139"/>
      <c r="BB353" s="136">
        <f t="shared" si="641"/>
        <v>0</v>
      </c>
      <c r="BC353" s="474" t="s">
        <v>262</v>
      </c>
      <c r="BD353" s="475"/>
      <c r="BE353" s="14"/>
      <c r="BF353" s="17"/>
      <c r="BG353" s="14"/>
      <c r="BH353" s="17"/>
      <c r="BI353" s="14"/>
      <c r="BJ353" s="17"/>
      <c r="BK353" s="14"/>
      <c r="BL353" s="17"/>
      <c r="BM353" s="14"/>
      <c r="BN353" s="17"/>
      <c r="BO353" s="14"/>
      <c r="BP353" s="17"/>
      <c r="BQ353" s="108">
        <f t="shared" si="617"/>
        <v>0</v>
      </c>
      <c r="BR353" s="567"/>
      <c r="BS353" s="571"/>
      <c r="BT353" s="572"/>
      <c r="BU353" s="558"/>
      <c r="BV353" s="561"/>
      <c r="BW353" s="564"/>
      <c r="BX353" s="616"/>
    </row>
    <row r="354" spans="1:76" ht="15.75" thickBot="1" x14ac:dyDescent="0.3">
      <c r="A354" s="587"/>
      <c r="B354" s="592"/>
      <c r="C354" s="593"/>
      <c r="D354" s="606"/>
      <c r="E354" s="519"/>
      <c r="F354" s="520"/>
      <c r="G354" s="525"/>
      <c r="H354" s="526"/>
      <c r="I354" s="531"/>
      <c r="J354" s="532"/>
      <c r="K354" s="514"/>
      <c r="L354" s="535"/>
      <c r="M354" s="538"/>
      <c r="N354" s="543"/>
      <c r="O354" s="544"/>
      <c r="P354" s="485"/>
      <c r="Q354" s="486"/>
      <c r="R354" s="519"/>
      <c r="S354" s="520"/>
      <c r="T354" s="489"/>
      <c r="U354" s="490"/>
      <c r="V354" s="493"/>
      <c r="W354" s="485"/>
      <c r="X354" s="496"/>
      <c r="Y354" s="486"/>
      <c r="Z354" s="499"/>
      <c r="AA354" s="504"/>
      <c r="AB354" s="505"/>
      <c r="AC354" s="476" t="s">
        <v>261</v>
      </c>
      <c r="AD354" s="477"/>
      <c r="AE354" s="478"/>
      <c r="AF354" s="102"/>
      <c r="AG354" s="102"/>
      <c r="AH354" s="102"/>
      <c r="AI354" s="102"/>
      <c r="AJ354" s="102"/>
      <c r="AK354" s="102"/>
      <c r="AL354" s="102"/>
      <c r="AM354" s="102"/>
      <c r="AN354" s="102"/>
      <c r="AO354" s="102"/>
      <c r="AP354" s="102"/>
      <c r="AQ354" s="103"/>
      <c r="AR354" s="105">
        <f t="shared" si="642"/>
        <v>0</v>
      </c>
      <c r="AS354" s="131" t="s">
        <v>161</v>
      </c>
      <c r="AT354" s="132">
        <f t="shared" ref="AT354:AX354" si="643">SUM(AT351:AT353)</f>
        <v>0</v>
      </c>
      <c r="AU354" s="132">
        <f t="shared" si="643"/>
        <v>0</v>
      </c>
      <c r="AV354" s="132">
        <f t="shared" si="643"/>
        <v>0</v>
      </c>
      <c r="AW354" s="133">
        <f t="shared" si="643"/>
        <v>0</v>
      </c>
      <c r="AX354" s="127">
        <f t="shared" si="643"/>
        <v>0</v>
      </c>
      <c r="AY354" s="144" t="s">
        <v>161</v>
      </c>
      <c r="AZ354" s="140">
        <f t="shared" ref="AZ354:BB354" si="644">SUM(AZ351:AZ353)</f>
        <v>0</v>
      </c>
      <c r="BA354" s="140">
        <f t="shared" si="644"/>
        <v>0</v>
      </c>
      <c r="BB354" s="140">
        <f t="shared" si="644"/>
        <v>0</v>
      </c>
      <c r="BC354" s="479" t="s">
        <v>263</v>
      </c>
      <c r="BD354" s="480"/>
      <c r="BE354" s="15"/>
      <c r="BF354" s="18"/>
      <c r="BG354" s="15"/>
      <c r="BH354" s="18"/>
      <c r="BI354" s="15"/>
      <c r="BJ354" s="18"/>
      <c r="BK354" s="15"/>
      <c r="BL354" s="18"/>
      <c r="BM354" s="15"/>
      <c r="BN354" s="18"/>
      <c r="BO354" s="15"/>
      <c r="BP354" s="18"/>
      <c r="BQ354" s="109">
        <f t="shared" si="617"/>
        <v>0</v>
      </c>
      <c r="BR354" s="568"/>
      <c r="BS354" s="573"/>
      <c r="BT354" s="574"/>
      <c r="BU354" s="559"/>
      <c r="BV354" s="562"/>
      <c r="BW354" s="565"/>
      <c r="BX354" s="617"/>
    </row>
    <row r="355" spans="1:76" ht="15.75" thickTop="1" x14ac:dyDescent="0.25">
      <c r="A355" s="585">
        <v>87</v>
      </c>
      <c r="B355" s="588"/>
      <c r="C355" s="589"/>
      <c r="D355" s="604"/>
      <c r="E355" s="515"/>
      <c r="F355" s="516"/>
      <c r="G355" s="521"/>
      <c r="H355" s="522"/>
      <c r="I355" s="527"/>
      <c r="J355" s="528"/>
      <c r="K355" s="512"/>
      <c r="L355" s="533"/>
      <c r="M355" s="536"/>
      <c r="N355" s="539"/>
      <c r="O355" s="540"/>
      <c r="P355" s="481"/>
      <c r="Q355" s="482"/>
      <c r="R355" s="515"/>
      <c r="S355" s="516"/>
      <c r="T355" s="487"/>
      <c r="U355" s="488"/>
      <c r="V355" s="491"/>
      <c r="W355" s="481"/>
      <c r="X355" s="494"/>
      <c r="Y355" s="482"/>
      <c r="Z355" s="497"/>
      <c r="AA355" s="500" t="s">
        <v>328</v>
      </c>
      <c r="AB355" s="501"/>
      <c r="AC355" s="506" t="s">
        <v>257</v>
      </c>
      <c r="AD355" s="507"/>
      <c r="AE355" s="507"/>
      <c r="AF355" s="510"/>
      <c r="AG355" s="510"/>
      <c r="AH355" s="510"/>
      <c r="AI355" s="510"/>
      <c r="AJ355" s="510"/>
      <c r="AK355" s="510"/>
      <c r="AL355" s="510"/>
      <c r="AM355" s="510"/>
      <c r="AN355" s="510"/>
      <c r="AO355" s="510"/>
      <c r="AP355" s="510"/>
      <c r="AQ355" s="465"/>
      <c r="AR355" s="467">
        <f t="shared" ref="AR355" si="645">SUM(AF355:AQ356)</f>
        <v>0</v>
      </c>
      <c r="AS355" s="119" t="s">
        <v>257</v>
      </c>
      <c r="AT355" s="120"/>
      <c r="AU355" s="120"/>
      <c r="AV355" s="120"/>
      <c r="AW355" s="121"/>
      <c r="AX355" s="125">
        <f t="shared" ref="AX355:AX357" si="646">SUM(AT355:AW355)</f>
        <v>0</v>
      </c>
      <c r="AY355" s="141" t="s">
        <v>257</v>
      </c>
      <c r="AZ355" s="137"/>
      <c r="BA355" s="137"/>
      <c r="BB355" s="134">
        <f t="shared" ref="BB355:BB357" si="647">AZ355-BA355</f>
        <v>0</v>
      </c>
      <c r="BC355" s="469" t="s">
        <v>258</v>
      </c>
      <c r="BD355" s="470"/>
      <c r="BE355" s="13"/>
      <c r="BF355" s="16"/>
      <c r="BG355" s="13"/>
      <c r="BH355" s="16"/>
      <c r="BI355" s="13"/>
      <c r="BJ355" s="16"/>
      <c r="BK355" s="13"/>
      <c r="BL355" s="16"/>
      <c r="BM355" s="13"/>
      <c r="BN355" s="16"/>
      <c r="BO355" s="13"/>
      <c r="BP355" s="16"/>
      <c r="BQ355" s="106">
        <f t="shared" si="617"/>
        <v>0</v>
      </c>
      <c r="BR355" s="566"/>
      <c r="BS355" s="569"/>
      <c r="BT355" s="570"/>
      <c r="BU355" s="557"/>
      <c r="BV355" s="560"/>
      <c r="BW355" s="563"/>
      <c r="BX355" s="615"/>
    </row>
    <row r="356" spans="1:76" x14ac:dyDescent="0.25">
      <c r="A356" s="586"/>
      <c r="B356" s="590"/>
      <c r="C356" s="591"/>
      <c r="D356" s="605"/>
      <c r="E356" s="517"/>
      <c r="F356" s="518"/>
      <c r="G356" s="523"/>
      <c r="H356" s="524"/>
      <c r="I356" s="529"/>
      <c r="J356" s="530"/>
      <c r="K356" s="513"/>
      <c r="L356" s="534"/>
      <c r="M356" s="537"/>
      <c r="N356" s="541"/>
      <c r="O356" s="542"/>
      <c r="P356" s="483"/>
      <c r="Q356" s="484"/>
      <c r="R356" s="517"/>
      <c r="S356" s="518"/>
      <c r="T356" s="487"/>
      <c r="U356" s="488"/>
      <c r="V356" s="492"/>
      <c r="W356" s="483"/>
      <c r="X356" s="495"/>
      <c r="Y356" s="484"/>
      <c r="Z356" s="498"/>
      <c r="AA356" s="502"/>
      <c r="AB356" s="503"/>
      <c r="AC356" s="508"/>
      <c r="AD356" s="509"/>
      <c r="AE356" s="509"/>
      <c r="AF356" s="511"/>
      <c r="AG356" s="511"/>
      <c r="AH356" s="511"/>
      <c r="AI356" s="511"/>
      <c r="AJ356" s="511"/>
      <c r="AK356" s="511"/>
      <c r="AL356" s="511"/>
      <c r="AM356" s="511"/>
      <c r="AN356" s="511"/>
      <c r="AO356" s="511"/>
      <c r="AP356" s="511"/>
      <c r="AQ356" s="466"/>
      <c r="AR356" s="468"/>
      <c r="AS356" s="122" t="s">
        <v>259</v>
      </c>
      <c r="AT356" s="123"/>
      <c r="AU356" s="123"/>
      <c r="AV356" s="123"/>
      <c r="AW356" s="124"/>
      <c r="AX356" s="126">
        <f t="shared" si="646"/>
        <v>0</v>
      </c>
      <c r="AY356" s="142" t="s">
        <v>259</v>
      </c>
      <c r="AZ356" s="138"/>
      <c r="BA356" s="138"/>
      <c r="BB356" s="135">
        <f t="shared" si="647"/>
        <v>0</v>
      </c>
      <c r="BC356" s="474" t="s">
        <v>260</v>
      </c>
      <c r="BD356" s="475"/>
      <c r="BE356" s="14"/>
      <c r="BF356" s="17"/>
      <c r="BG356" s="14"/>
      <c r="BH356" s="17"/>
      <c r="BI356" s="14"/>
      <c r="BJ356" s="17"/>
      <c r="BK356" s="14"/>
      <c r="BL356" s="17"/>
      <c r="BM356" s="14"/>
      <c r="BN356" s="17"/>
      <c r="BO356" s="14"/>
      <c r="BP356" s="17"/>
      <c r="BQ356" s="107">
        <f t="shared" si="617"/>
        <v>0</v>
      </c>
      <c r="BR356" s="567"/>
      <c r="BS356" s="571"/>
      <c r="BT356" s="572"/>
      <c r="BU356" s="558"/>
      <c r="BV356" s="561"/>
      <c r="BW356" s="564"/>
      <c r="BX356" s="616"/>
    </row>
    <row r="357" spans="1:76" ht="15.75" thickBot="1" x14ac:dyDescent="0.3">
      <c r="A357" s="586"/>
      <c r="B357" s="590"/>
      <c r="C357" s="591"/>
      <c r="D357" s="605"/>
      <c r="E357" s="517"/>
      <c r="F357" s="518"/>
      <c r="G357" s="523"/>
      <c r="H357" s="524"/>
      <c r="I357" s="529"/>
      <c r="J357" s="530"/>
      <c r="K357" s="513"/>
      <c r="L357" s="534"/>
      <c r="M357" s="537"/>
      <c r="N357" s="541"/>
      <c r="O357" s="542"/>
      <c r="P357" s="483"/>
      <c r="Q357" s="484"/>
      <c r="R357" s="517"/>
      <c r="S357" s="518"/>
      <c r="T357" s="487"/>
      <c r="U357" s="488"/>
      <c r="V357" s="492"/>
      <c r="W357" s="483"/>
      <c r="X357" s="495"/>
      <c r="Y357" s="484"/>
      <c r="Z357" s="498"/>
      <c r="AA357" s="502"/>
      <c r="AB357" s="503"/>
      <c r="AC357" s="471" t="s">
        <v>259</v>
      </c>
      <c r="AD357" s="472"/>
      <c r="AE357" s="473"/>
      <c r="AF357" s="100"/>
      <c r="AG357" s="100"/>
      <c r="AH357" s="100"/>
      <c r="AI357" s="100"/>
      <c r="AJ357" s="100"/>
      <c r="AK357" s="100"/>
      <c r="AL357" s="100"/>
      <c r="AM357" s="100"/>
      <c r="AN357" s="100"/>
      <c r="AO357" s="100"/>
      <c r="AP357" s="100"/>
      <c r="AQ357" s="101"/>
      <c r="AR357" s="104">
        <f t="shared" ref="AR357:AR358" si="648">SUM(AF357:AQ357)</f>
        <v>0</v>
      </c>
      <c r="AS357" s="128" t="s">
        <v>261</v>
      </c>
      <c r="AT357" s="129"/>
      <c r="AU357" s="129"/>
      <c r="AV357" s="129"/>
      <c r="AW357" s="130"/>
      <c r="AX357" s="126">
        <f t="shared" si="646"/>
        <v>0</v>
      </c>
      <c r="AY357" s="143" t="s">
        <v>261</v>
      </c>
      <c r="AZ357" s="139"/>
      <c r="BA357" s="139"/>
      <c r="BB357" s="136">
        <f t="shared" si="647"/>
        <v>0</v>
      </c>
      <c r="BC357" s="474" t="s">
        <v>262</v>
      </c>
      <c r="BD357" s="475"/>
      <c r="BE357" s="14"/>
      <c r="BF357" s="17"/>
      <c r="BG357" s="14"/>
      <c r="BH357" s="17"/>
      <c r="BI357" s="14"/>
      <c r="BJ357" s="17"/>
      <c r="BK357" s="14"/>
      <c r="BL357" s="17"/>
      <c r="BM357" s="14"/>
      <c r="BN357" s="17"/>
      <c r="BO357" s="14"/>
      <c r="BP357" s="17"/>
      <c r="BQ357" s="108">
        <f t="shared" si="617"/>
        <v>0</v>
      </c>
      <c r="BR357" s="567"/>
      <c r="BS357" s="571"/>
      <c r="BT357" s="572"/>
      <c r="BU357" s="558"/>
      <c r="BV357" s="561"/>
      <c r="BW357" s="564"/>
      <c r="BX357" s="616"/>
    </row>
    <row r="358" spans="1:76" ht="15.75" thickBot="1" x14ac:dyDescent="0.3">
      <c r="A358" s="587"/>
      <c r="B358" s="592"/>
      <c r="C358" s="593"/>
      <c r="D358" s="606"/>
      <c r="E358" s="519"/>
      <c r="F358" s="520"/>
      <c r="G358" s="525"/>
      <c r="H358" s="526"/>
      <c r="I358" s="531"/>
      <c r="J358" s="532"/>
      <c r="K358" s="514"/>
      <c r="L358" s="535"/>
      <c r="M358" s="538"/>
      <c r="N358" s="543"/>
      <c r="O358" s="544"/>
      <c r="P358" s="485"/>
      <c r="Q358" s="486"/>
      <c r="R358" s="519"/>
      <c r="S358" s="520"/>
      <c r="T358" s="489"/>
      <c r="U358" s="490"/>
      <c r="V358" s="493"/>
      <c r="W358" s="485"/>
      <c r="X358" s="496"/>
      <c r="Y358" s="486"/>
      <c r="Z358" s="499"/>
      <c r="AA358" s="504"/>
      <c r="AB358" s="505"/>
      <c r="AC358" s="476" t="s">
        <v>261</v>
      </c>
      <c r="AD358" s="477"/>
      <c r="AE358" s="478"/>
      <c r="AF358" s="102"/>
      <c r="AG358" s="102"/>
      <c r="AH358" s="102"/>
      <c r="AI358" s="102"/>
      <c r="AJ358" s="102"/>
      <c r="AK358" s="102"/>
      <c r="AL358" s="102"/>
      <c r="AM358" s="102"/>
      <c r="AN358" s="102"/>
      <c r="AO358" s="102"/>
      <c r="AP358" s="102"/>
      <c r="AQ358" s="103"/>
      <c r="AR358" s="105">
        <f t="shared" si="648"/>
        <v>0</v>
      </c>
      <c r="AS358" s="131" t="s">
        <v>161</v>
      </c>
      <c r="AT358" s="132">
        <f t="shared" ref="AT358:AX358" si="649">SUM(AT355:AT357)</f>
        <v>0</v>
      </c>
      <c r="AU358" s="132">
        <f t="shared" si="649"/>
        <v>0</v>
      </c>
      <c r="AV358" s="132">
        <f t="shared" si="649"/>
        <v>0</v>
      </c>
      <c r="AW358" s="133">
        <f t="shared" si="649"/>
        <v>0</v>
      </c>
      <c r="AX358" s="127">
        <f t="shared" si="649"/>
        <v>0</v>
      </c>
      <c r="AY358" s="144" t="s">
        <v>161</v>
      </c>
      <c r="AZ358" s="140">
        <f t="shared" ref="AZ358:BB358" si="650">SUM(AZ355:AZ357)</f>
        <v>0</v>
      </c>
      <c r="BA358" s="140">
        <f t="shared" si="650"/>
        <v>0</v>
      </c>
      <c r="BB358" s="140">
        <f t="shared" si="650"/>
        <v>0</v>
      </c>
      <c r="BC358" s="479" t="s">
        <v>263</v>
      </c>
      <c r="BD358" s="480"/>
      <c r="BE358" s="15"/>
      <c r="BF358" s="18"/>
      <c r="BG358" s="15"/>
      <c r="BH358" s="18"/>
      <c r="BI358" s="15"/>
      <c r="BJ358" s="18"/>
      <c r="BK358" s="15"/>
      <c r="BL358" s="18"/>
      <c r="BM358" s="15"/>
      <c r="BN358" s="18"/>
      <c r="BO358" s="15"/>
      <c r="BP358" s="18"/>
      <c r="BQ358" s="109">
        <f t="shared" si="617"/>
        <v>0</v>
      </c>
      <c r="BR358" s="568"/>
      <c r="BS358" s="573"/>
      <c r="BT358" s="574"/>
      <c r="BU358" s="559"/>
      <c r="BV358" s="562"/>
      <c r="BW358" s="565"/>
      <c r="BX358" s="617"/>
    </row>
    <row r="359" spans="1:76" ht="15.75" thickTop="1" x14ac:dyDescent="0.25">
      <c r="A359" s="585">
        <v>88</v>
      </c>
      <c r="B359" s="588"/>
      <c r="C359" s="589"/>
      <c r="D359" s="604"/>
      <c r="E359" s="515"/>
      <c r="F359" s="516"/>
      <c r="G359" s="521"/>
      <c r="H359" s="522"/>
      <c r="I359" s="527"/>
      <c r="J359" s="528"/>
      <c r="K359" s="512"/>
      <c r="L359" s="533"/>
      <c r="M359" s="536"/>
      <c r="N359" s="539"/>
      <c r="O359" s="540"/>
      <c r="P359" s="481"/>
      <c r="Q359" s="482"/>
      <c r="R359" s="515"/>
      <c r="S359" s="516"/>
      <c r="T359" s="487"/>
      <c r="U359" s="488"/>
      <c r="V359" s="491"/>
      <c r="W359" s="481"/>
      <c r="X359" s="494"/>
      <c r="Y359" s="482"/>
      <c r="Z359" s="497"/>
      <c r="AA359" s="500" t="s">
        <v>329</v>
      </c>
      <c r="AB359" s="501"/>
      <c r="AC359" s="506" t="s">
        <v>257</v>
      </c>
      <c r="AD359" s="507"/>
      <c r="AE359" s="507"/>
      <c r="AF359" s="510"/>
      <c r="AG359" s="510"/>
      <c r="AH359" s="510"/>
      <c r="AI359" s="510"/>
      <c r="AJ359" s="510"/>
      <c r="AK359" s="510"/>
      <c r="AL359" s="510"/>
      <c r="AM359" s="510"/>
      <c r="AN359" s="510"/>
      <c r="AO359" s="510"/>
      <c r="AP359" s="510"/>
      <c r="AQ359" s="465"/>
      <c r="AR359" s="467">
        <f t="shared" ref="AR359" si="651">SUM(AF359:AQ360)</f>
        <v>0</v>
      </c>
      <c r="AS359" s="119" t="s">
        <v>257</v>
      </c>
      <c r="AT359" s="120"/>
      <c r="AU359" s="120"/>
      <c r="AV359" s="120"/>
      <c r="AW359" s="121"/>
      <c r="AX359" s="125">
        <f t="shared" ref="AX359:AX361" si="652">SUM(AT359:AW359)</f>
        <v>0</v>
      </c>
      <c r="AY359" s="141" t="s">
        <v>257</v>
      </c>
      <c r="AZ359" s="137"/>
      <c r="BA359" s="137"/>
      <c r="BB359" s="134">
        <f t="shared" ref="BB359:BB361" si="653">AZ359-BA359</f>
        <v>0</v>
      </c>
      <c r="BC359" s="469" t="s">
        <v>258</v>
      </c>
      <c r="BD359" s="470"/>
      <c r="BE359" s="13"/>
      <c r="BF359" s="16"/>
      <c r="BG359" s="13"/>
      <c r="BH359" s="16"/>
      <c r="BI359" s="13"/>
      <c r="BJ359" s="16"/>
      <c r="BK359" s="13"/>
      <c r="BL359" s="16"/>
      <c r="BM359" s="13"/>
      <c r="BN359" s="16"/>
      <c r="BO359" s="13"/>
      <c r="BP359" s="16"/>
      <c r="BQ359" s="106">
        <f t="shared" si="617"/>
        <v>0</v>
      </c>
      <c r="BR359" s="566"/>
      <c r="BS359" s="569"/>
      <c r="BT359" s="570"/>
      <c r="BU359" s="557"/>
      <c r="BV359" s="560"/>
      <c r="BW359" s="563"/>
      <c r="BX359" s="615"/>
    </row>
    <row r="360" spans="1:76" x14ac:dyDescent="0.25">
      <c r="A360" s="586"/>
      <c r="B360" s="590"/>
      <c r="C360" s="591"/>
      <c r="D360" s="605"/>
      <c r="E360" s="517"/>
      <c r="F360" s="518"/>
      <c r="G360" s="523"/>
      <c r="H360" s="524"/>
      <c r="I360" s="529"/>
      <c r="J360" s="530"/>
      <c r="K360" s="513"/>
      <c r="L360" s="534"/>
      <c r="M360" s="537"/>
      <c r="N360" s="541"/>
      <c r="O360" s="542"/>
      <c r="P360" s="483"/>
      <c r="Q360" s="484"/>
      <c r="R360" s="517"/>
      <c r="S360" s="518"/>
      <c r="T360" s="487"/>
      <c r="U360" s="488"/>
      <c r="V360" s="492"/>
      <c r="W360" s="483"/>
      <c r="X360" s="495"/>
      <c r="Y360" s="484"/>
      <c r="Z360" s="498"/>
      <c r="AA360" s="502"/>
      <c r="AB360" s="503"/>
      <c r="AC360" s="508"/>
      <c r="AD360" s="509"/>
      <c r="AE360" s="509"/>
      <c r="AF360" s="511"/>
      <c r="AG360" s="511"/>
      <c r="AH360" s="511"/>
      <c r="AI360" s="511"/>
      <c r="AJ360" s="511"/>
      <c r="AK360" s="511"/>
      <c r="AL360" s="511"/>
      <c r="AM360" s="511"/>
      <c r="AN360" s="511"/>
      <c r="AO360" s="511"/>
      <c r="AP360" s="511"/>
      <c r="AQ360" s="466"/>
      <c r="AR360" s="468"/>
      <c r="AS360" s="122" t="s">
        <v>259</v>
      </c>
      <c r="AT360" s="123"/>
      <c r="AU360" s="123"/>
      <c r="AV360" s="123"/>
      <c r="AW360" s="124"/>
      <c r="AX360" s="126">
        <f t="shared" si="652"/>
        <v>0</v>
      </c>
      <c r="AY360" s="142" t="s">
        <v>259</v>
      </c>
      <c r="AZ360" s="138"/>
      <c r="BA360" s="138"/>
      <c r="BB360" s="135">
        <f t="shared" si="653"/>
        <v>0</v>
      </c>
      <c r="BC360" s="474" t="s">
        <v>260</v>
      </c>
      <c r="BD360" s="475"/>
      <c r="BE360" s="14"/>
      <c r="BF360" s="17"/>
      <c r="BG360" s="14"/>
      <c r="BH360" s="17"/>
      <c r="BI360" s="14"/>
      <c r="BJ360" s="17"/>
      <c r="BK360" s="14"/>
      <c r="BL360" s="17"/>
      <c r="BM360" s="14"/>
      <c r="BN360" s="17"/>
      <c r="BO360" s="14"/>
      <c r="BP360" s="17"/>
      <c r="BQ360" s="107">
        <f t="shared" si="617"/>
        <v>0</v>
      </c>
      <c r="BR360" s="567"/>
      <c r="BS360" s="571"/>
      <c r="BT360" s="572"/>
      <c r="BU360" s="558"/>
      <c r="BV360" s="561"/>
      <c r="BW360" s="564"/>
      <c r="BX360" s="616"/>
    </row>
    <row r="361" spans="1:76" ht="15.75" thickBot="1" x14ac:dyDescent="0.3">
      <c r="A361" s="586"/>
      <c r="B361" s="590"/>
      <c r="C361" s="591"/>
      <c r="D361" s="605"/>
      <c r="E361" s="517"/>
      <c r="F361" s="518"/>
      <c r="G361" s="523"/>
      <c r="H361" s="524"/>
      <c r="I361" s="529"/>
      <c r="J361" s="530"/>
      <c r="K361" s="513"/>
      <c r="L361" s="534"/>
      <c r="M361" s="537"/>
      <c r="N361" s="541"/>
      <c r="O361" s="542"/>
      <c r="P361" s="483"/>
      <c r="Q361" s="484"/>
      <c r="R361" s="517"/>
      <c r="S361" s="518"/>
      <c r="T361" s="487"/>
      <c r="U361" s="488"/>
      <c r="V361" s="492"/>
      <c r="W361" s="483"/>
      <c r="X361" s="495"/>
      <c r="Y361" s="484"/>
      <c r="Z361" s="498"/>
      <c r="AA361" s="502"/>
      <c r="AB361" s="503"/>
      <c r="AC361" s="471" t="s">
        <v>259</v>
      </c>
      <c r="AD361" s="472"/>
      <c r="AE361" s="473"/>
      <c r="AF361" s="100"/>
      <c r="AG361" s="100"/>
      <c r="AH361" s="100"/>
      <c r="AI361" s="100"/>
      <c r="AJ361" s="100"/>
      <c r="AK361" s="100"/>
      <c r="AL361" s="100"/>
      <c r="AM361" s="100"/>
      <c r="AN361" s="100"/>
      <c r="AO361" s="100"/>
      <c r="AP361" s="100"/>
      <c r="AQ361" s="101"/>
      <c r="AR361" s="104">
        <f t="shared" ref="AR361:AR362" si="654">SUM(AF361:AQ361)</f>
        <v>0</v>
      </c>
      <c r="AS361" s="128" t="s">
        <v>261</v>
      </c>
      <c r="AT361" s="129"/>
      <c r="AU361" s="129"/>
      <c r="AV361" s="129"/>
      <c r="AW361" s="130"/>
      <c r="AX361" s="126">
        <f t="shared" si="652"/>
        <v>0</v>
      </c>
      <c r="AY361" s="143" t="s">
        <v>261</v>
      </c>
      <c r="AZ361" s="139"/>
      <c r="BA361" s="139"/>
      <c r="BB361" s="136">
        <f t="shared" si="653"/>
        <v>0</v>
      </c>
      <c r="BC361" s="474" t="s">
        <v>262</v>
      </c>
      <c r="BD361" s="475"/>
      <c r="BE361" s="14"/>
      <c r="BF361" s="17"/>
      <c r="BG361" s="14"/>
      <c r="BH361" s="17"/>
      <c r="BI361" s="14"/>
      <c r="BJ361" s="17"/>
      <c r="BK361" s="14"/>
      <c r="BL361" s="17"/>
      <c r="BM361" s="14"/>
      <c r="BN361" s="17"/>
      <c r="BO361" s="14"/>
      <c r="BP361" s="17"/>
      <c r="BQ361" s="108">
        <f t="shared" si="617"/>
        <v>0</v>
      </c>
      <c r="BR361" s="567"/>
      <c r="BS361" s="571"/>
      <c r="BT361" s="572"/>
      <c r="BU361" s="558"/>
      <c r="BV361" s="561"/>
      <c r="BW361" s="564"/>
      <c r="BX361" s="616"/>
    </row>
    <row r="362" spans="1:76" ht="15.75" thickBot="1" x14ac:dyDescent="0.3">
      <c r="A362" s="587"/>
      <c r="B362" s="592"/>
      <c r="C362" s="593"/>
      <c r="D362" s="606"/>
      <c r="E362" s="519"/>
      <c r="F362" s="520"/>
      <c r="G362" s="525"/>
      <c r="H362" s="526"/>
      <c r="I362" s="531"/>
      <c r="J362" s="532"/>
      <c r="K362" s="514"/>
      <c r="L362" s="535"/>
      <c r="M362" s="538"/>
      <c r="N362" s="543"/>
      <c r="O362" s="544"/>
      <c r="P362" s="485"/>
      <c r="Q362" s="486"/>
      <c r="R362" s="519"/>
      <c r="S362" s="520"/>
      <c r="T362" s="489"/>
      <c r="U362" s="490"/>
      <c r="V362" s="493"/>
      <c r="W362" s="485"/>
      <c r="X362" s="496"/>
      <c r="Y362" s="486"/>
      <c r="Z362" s="499"/>
      <c r="AA362" s="504"/>
      <c r="AB362" s="505"/>
      <c r="AC362" s="476" t="s">
        <v>261</v>
      </c>
      <c r="AD362" s="477"/>
      <c r="AE362" s="478"/>
      <c r="AF362" s="102"/>
      <c r="AG362" s="102"/>
      <c r="AH362" s="102"/>
      <c r="AI362" s="102"/>
      <c r="AJ362" s="102"/>
      <c r="AK362" s="102"/>
      <c r="AL362" s="102"/>
      <c r="AM362" s="102"/>
      <c r="AN362" s="102"/>
      <c r="AO362" s="102"/>
      <c r="AP362" s="102"/>
      <c r="AQ362" s="103"/>
      <c r="AR362" s="105">
        <f t="shared" si="654"/>
        <v>0</v>
      </c>
      <c r="AS362" s="131" t="s">
        <v>161</v>
      </c>
      <c r="AT362" s="132">
        <f t="shared" ref="AT362:AX362" si="655">SUM(AT359:AT361)</f>
        <v>0</v>
      </c>
      <c r="AU362" s="132">
        <f t="shared" si="655"/>
        <v>0</v>
      </c>
      <c r="AV362" s="132">
        <f t="shared" si="655"/>
        <v>0</v>
      </c>
      <c r="AW362" s="133">
        <f t="shared" si="655"/>
        <v>0</v>
      </c>
      <c r="AX362" s="127">
        <f t="shared" si="655"/>
        <v>0</v>
      </c>
      <c r="AY362" s="144" t="s">
        <v>161</v>
      </c>
      <c r="AZ362" s="140">
        <f t="shared" ref="AZ362:BB362" si="656">SUM(AZ359:AZ361)</f>
        <v>0</v>
      </c>
      <c r="BA362" s="140">
        <f t="shared" si="656"/>
        <v>0</v>
      </c>
      <c r="BB362" s="140">
        <f t="shared" si="656"/>
        <v>0</v>
      </c>
      <c r="BC362" s="479" t="s">
        <v>263</v>
      </c>
      <c r="BD362" s="480"/>
      <c r="BE362" s="15"/>
      <c r="BF362" s="18"/>
      <c r="BG362" s="15"/>
      <c r="BH362" s="18"/>
      <c r="BI362" s="15"/>
      <c r="BJ362" s="18"/>
      <c r="BK362" s="15"/>
      <c r="BL362" s="18"/>
      <c r="BM362" s="15"/>
      <c r="BN362" s="18"/>
      <c r="BO362" s="15"/>
      <c r="BP362" s="18"/>
      <c r="BQ362" s="109">
        <f t="shared" si="617"/>
        <v>0</v>
      </c>
      <c r="BR362" s="568"/>
      <c r="BS362" s="573"/>
      <c r="BT362" s="574"/>
      <c r="BU362" s="559"/>
      <c r="BV362" s="562"/>
      <c r="BW362" s="565"/>
      <c r="BX362" s="617"/>
    </row>
    <row r="363" spans="1:76" ht="15.75" thickTop="1" x14ac:dyDescent="0.25">
      <c r="A363" s="585">
        <v>89</v>
      </c>
      <c r="B363" s="588"/>
      <c r="C363" s="589"/>
      <c r="D363" s="604"/>
      <c r="E363" s="515"/>
      <c r="F363" s="516"/>
      <c r="G363" s="521"/>
      <c r="H363" s="522"/>
      <c r="I363" s="527"/>
      <c r="J363" s="528"/>
      <c r="K363" s="512"/>
      <c r="L363" s="533"/>
      <c r="M363" s="536"/>
      <c r="N363" s="539"/>
      <c r="O363" s="540"/>
      <c r="P363" s="481"/>
      <c r="Q363" s="482"/>
      <c r="R363" s="515"/>
      <c r="S363" s="516"/>
      <c r="T363" s="487"/>
      <c r="U363" s="488"/>
      <c r="V363" s="491"/>
      <c r="W363" s="481"/>
      <c r="X363" s="494"/>
      <c r="Y363" s="482"/>
      <c r="Z363" s="497"/>
      <c r="AA363" s="500" t="s">
        <v>330</v>
      </c>
      <c r="AB363" s="501"/>
      <c r="AC363" s="506" t="s">
        <v>257</v>
      </c>
      <c r="AD363" s="507"/>
      <c r="AE363" s="507"/>
      <c r="AF363" s="510"/>
      <c r="AG363" s="510"/>
      <c r="AH363" s="510"/>
      <c r="AI363" s="510"/>
      <c r="AJ363" s="510"/>
      <c r="AK363" s="510"/>
      <c r="AL363" s="510"/>
      <c r="AM363" s="510"/>
      <c r="AN363" s="510"/>
      <c r="AO363" s="510"/>
      <c r="AP363" s="510"/>
      <c r="AQ363" s="465"/>
      <c r="AR363" s="467">
        <f t="shared" ref="AR363" si="657">SUM(AF363:AQ364)</f>
        <v>0</v>
      </c>
      <c r="AS363" s="119" t="s">
        <v>257</v>
      </c>
      <c r="AT363" s="120"/>
      <c r="AU363" s="120"/>
      <c r="AV363" s="120"/>
      <c r="AW363" s="121"/>
      <c r="AX363" s="125">
        <f t="shared" ref="AX363:AX365" si="658">SUM(AT363:AW363)</f>
        <v>0</v>
      </c>
      <c r="AY363" s="141" t="s">
        <v>257</v>
      </c>
      <c r="AZ363" s="137"/>
      <c r="BA363" s="137"/>
      <c r="BB363" s="134">
        <f t="shared" ref="BB363:BB365" si="659">AZ363-BA363</f>
        <v>0</v>
      </c>
      <c r="BC363" s="469" t="s">
        <v>258</v>
      </c>
      <c r="BD363" s="470"/>
      <c r="BE363" s="13"/>
      <c r="BF363" s="16"/>
      <c r="BG363" s="13"/>
      <c r="BH363" s="16"/>
      <c r="BI363" s="13"/>
      <c r="BJ363" s="16"/>
      <c r="BK363" s="13"/>
      <c r="BL363" s="16"/>
      <c r="BM363" s="13"/>
      <c r="BN363" s="16"/>
      <c r="BO363" s="13"/>
      <c r="BP363" s="16"/>
      <c r="BQ363" s="106">
        <f t="shared" si="617"/>
        <v>0</v>
      </c>
      <c r="BR363" s="566"/>
      <c r="BS363" s="569"/>
      <c r="BT363" s="570"/>
      <c r="BU363" s="557"/>
      <c r="BV363" s="560"/>
      <c r="BW363" s="563"/>
      <c r="BX363" s="615"/>
    </row>
    <row r="364" spans="1:76" x14ac:dyDescent="0.25">
      <c r="A364" s="586"/>
      <c r="B364" s="590"/>
      <c r="C364" s="591"/>
      <c r="D364" s="605"/>
      <c r="E364" s="517"/>
      <c r="F364" s="518"/>
      <c r="G364" s="523"/>
      <c r="H364" s="524"/>
      <c r="I364" s="529"/>
      <c r="J364" s="530"/>
      <c r="K364" s="513"/>
      <c r="L364" s="534"/>
      <c r="M364" s="537"/>
      <c r="N364" s="541"/>
      <c r="O364" s="542"/>
      <c r="P364" s="483"/>
      <c r="Q364" s="484"/>
      <c r="R364" s="517"/>
      <c r="S364" s="518"/>
      <c r="T364" s="487"/>
      <c r="U364" s="488"/>
      <c r="V364" s="492"/>
      <c r="W364" s="483"/>
      <c r="X364" s="495"/>
      <c r="Y364" s="484"/>
      <c r="Z364" s="498"/>
      <c r="AA364" s="502"/>
      <c r="AB364" s="503"/>
      <c r="AC364" s="508"/>
      <c r="AD364" s="509"/>
      <c r="AE364" s="509"/>
      <c r="AF364" s="511"/>
      <c r="AG364" s="511"/>
      <c r="AH364" s="511"/>
      <c r="AI364" s="511"/>
      <c r="AJ364" s="511"/>
      <c r="AK364" s="511"/>
      <c r="AL364" s="511"/>
      <c r="AM364" s="511"/>
      <c r="AN364" s="511"/>
      <c r="AO364" s="511"/>
      <c r="AP364" s="511"/>
      <c r="AQ364" s="466"/>
      <c r="AR364" s="468"/>
      <c r="AS364" s="122" t="s">
        <v>259</v>
      </c>
      <c r="AT364" s="123"/>
      <c r="AU364" s="123"/>
      <c r="AV364" s="123"/>
      <c r="AW364" s="124"/>
      <c r="AX364" s="126">
        <f t="shared" si="658"/>
        <v>0</v>
      </c>
      <c r="AY364" s="142" t="s">
        <v>259</v>
      </c>
      <c r="AZ364" s="138"/>
      <c r="BA364" s="138"/>
      <c r="BB364" s="135">
        <f t="shared" si="659"/>
        <v>0</v>
      </c>
      <c r="BC364" s="474" t="s">
        <v>260</v>
      </c>
      <c r="BD364" s="475"/>
      <c r="BE364" s="14"/>
      <c r="BF364" s="17"/>
      <c r="BG364" s="14"/>
      <c r="BH364" s="17"/>
      <c r="BI364" s="14"/>
      <c r="BJ364" s="17"/>
      <c r="BK364" s="14"/>
      <c r="BL364" s="17"/>
      <c r="BM364" s="14"/>
      <c r="BN364" s="17"/>
      <c r="BO364" s="14"/>
      <c r="BP364" s="17"/>
      <c r="BQ364" s="107">
        <f t="shared" si="617"/>
        <v>0</v>
      </c>
      <c r="BR364" s="567"/>
      <c r="BS364" s="571"/>
      <c r="BT364" s="572"/>
      <c r="BU364" s="558"/>
      <c r="BV364" s="561"/>
      <c r="BW364" s="564"/>
      <c r="BX364" s="616"/>
    </row>
    <row r="365" spans="1:76" ht="15.75" thickBot="1" x14ac:dyDescent="0.3">
      <c r="A365" s="586"/>
      <c r="B365" s="590"/>
      <c r="C365" s="591"/>
      <c r="D365" s="605"/>
      <c r="E365" s="517"/>
      <c r="F365" s="518"/>
      <c r="G365" s="523"/>
      <c r="H365" s="524"/>
      <c r="I365" s="529"/>
      <c r="J365" s="530"/>
      <c r="K365" s="513"/>
      <c r="L365" s="534"/>
      <c r="M365" s="537"/>
      <c r="N365" s="541"/>
      <c r="O365" s="542"/>
      <c r="P365" s="483"/>
      <c r="Q365" s="484"/>
      <c r="R365" s="517"/>
      <c r="S365" s="518"/>
      <c r="T365" s="487"/>
      <c r="U365" s="488"/>
      <c r="V365" s="492"/>
      <c r="W365" s="483"/>
      <c r="X365" s="495"/>
      <c r="Y365" s="484"/>
      <c r="Z365" s="498"/>
      <c r="AA365" s="502"/>
      <c r="AB365" s="503"/>
      <c r="AC365" s="471" t="s">
        <v>259</v>
      </c>
      <c r="AD365" s="472"/>
      <c r="AE365" s="473"/>
      <c r="AF365" s="100"/>
      <c r="AG365" s="100"/>
      <c r="AH365" s="100"/>
      <c r="AI365" s="100"/>
      <c r="AJ365" s="100"/>
      <c r="AK365" s="100"/>
      <c r="AL365" s="100"/>
      <c r="AM365" s="100"/>
      <c r="AN365" s="100"/>
      <c r="AO365" s="100"/>
      <c r="AP365" s="100"/>
      <c r="AQ365" s="101"/>
      <c r="AR365" s="104">
        <f t="shared" ref="AR365:AR366" si="660">SUM(AF365:AQ365)</f>
        <v>0</v>
      </c>
      <c r="AS365" s="128" t="s">
        <v>261</v>
      </c>
      <c r="AT365" s="129"/>
      <c r="AU365" s="129"/>
      <c r="AV365" s="129"/>
      <c r="AW365" s="130"/>
      <c r="AX365" s="126">
        <f t="shared" si="658"/>
        <v>0</v>
      </c>
      <c r="AY365" s="143" t="s">
        <v>261</v>
      </c>
      <c r="AZ365" s="139"/>
      <c r="BA365" s="139"/>
      <c r="BB365" s="136">
        <f t="shared" si="659"/>
        <v>0</v>
      </c>
      <c r="BC365" s="474" t="s">
        <v>262</v>
      </c>
      <c r="BD365" s="475"/>
      <c r="BE365" s="14"/>
      <c r="BF365" s="17"/>
      <c r="BG365" s="14"/>
      <c r="BH365" s="17"/>
      <c r="BI365" s="14"/>
      <c r="BJ365" s="17"/>
      <c r="BK365" s="14"/>
      <c r="BL365" s="17"/>
      <c r="BM365" s="14"/>
      <c r="BN365" s="17"/>
      <c r="BO365" s="14"/>
      <c r="BP365" s="17"/>
      <c r="BQ365" s="108">
        <f t="shared" si="617"/>
        <v>0</v>
      </c>
      <c r="BR365" s="567"/>
      <c r="BS365" s="571"/>
      <c r="BT365" s="572"/>
      <c r="BU365" s="558"/>
      <c r="BV365" s="561"/>
      <c r="BW365" s="564"/>
      <c r="BX365" s="616"/>
    </row>
    <row r="366" spans="1:76" ht="15.75" thickBot="1" x14ac:dyDescent="0.3">
      <c r="A366" s="587"/>
      <c r="B366" s="592"/>
      <c r="C366" s="593"/>
      <c r="D366" s="606"/>
      <c r="E366" s="519"/>
      <c r="F366" s="520"/>
      <c r="G366" s="525"/>
      <c r="H366" s="526"/>
      <c r="I366" s="531"/>
      <c r="J366" s="532"/>
      <c r="K366" s="514"/>
      <c r="L366" s="535"/>
      <c r="M366" s="538"/>
      <c r="N366" s="543"/>
      <c r="O366" s="544"/>
      <c r="P366" s="485"/>
      <c r="Q366" s="486"/>
      <c r="R366" s="519"/>
      <c r="S366" s="520"/>
      <c r="T366" s="489"/>
      <c r="U366" s="490"/>
      <c r="V366" s="493"/>
      <c r="W366" s="485"/>
      <c r="X366" s="496"/>
      <c r="Y366" s="486"/>
      <c r="Z366" s="499"/>
      <c r="AA366" s="504"/>
      <c r="AB366" s="505"/>
      <c r="AC366" s="476" t="s">
        <v>261</v>
      </c>
      <c r="AD366" s="477"/>
      <c r="AE366" s="478"/>
      <c r="AF366" s="102"/>
      <c r="AG366" s="102"/>
      <c r="AH366" s="102"/>
      <c r="AI366" s="102"/>
      <c r="AJ366" s="102"/>
      <c r="AK366" s="102"/>
      <c r="AL366" s="102"/>
      <c r="AM366" s="102"/>
      <c r="AN366" s="102"/>
      <c r="AO366" s="102"/>
      <c r="AP366" s="102"/>
      <c r="AQ366" s="103"/>
      <c r="AR366" s="105">
        <f t="shared" si="660"/>
        <v>0</v>
      </c>
      <c r="AS366" s="131" t="s">
        <v>161</v>
      </c>
      <c r="AT366" s="132">
        <f t="shared" ref="AT366:AX366" si="661">SUM(AT363:AT365)</f>
        <v>0</v>
      </c>
      <c r="AU366" s="132">
        <f t="shared" si="661"/>
        <v>0</v>
      </c>
      <c r="AV366" s="132">
        <f t="shared" si="661"/>
        <v>0</v>
      </c>
      <c r="AW366" s="133">
        <f t="shared" si="661"/>
        <v>0</v>
      </c>
      <c r="AX366" s="127">
        <f t="shared" si="661"/>
        <v>0</v>
      </c>
      <c r="AY366" s="144" t="s">
        <v>161</v>
      </c>
      <c r="AZ366" s="140">
        <f t="shared" ref="AZ366:BB366" si="662">SUM(AZ363:AZ365)</f>
        <v>0</v>
      </c>
      <c r="BA366" s="140">
        <f t="shared" si="662"/>
        <v>0</v>
      </c>
      <c r="BB366" s="140">
        <f t="shared" si="662"/>
        <v>0</v>
      </c>
      <c r="BC366" s="479" t="s">
        <v>263</v>
      </c>
      <c r="BD366" s="480"/>
      <c r="BE366" s="15"/>
      <c r="BF366" s="18"/>
      <c r="BG366" s="15"/>
      <c r="BH366" s="18"/>
      <c r="BI366" s="15"/>
      <c r="BJ366" s="18"/>
      <c r="BK366" s="15"/>
      <c r="BL366" s="18"/>
      <c r="BM366" s="15"/>
      <c r="BN366" s="18"/>
      <c r="BO366" s="15"/>
      <c r="BP366" s="18"/>
      <c r="BQ366" s="109">
        <f t="shared" si="617"/>
        <v>0</v>
      </c>
      <c r="BR366" s="568"/>
      <c r="BS366" s="573"/>
      <c r="BT366" s="574"/>
      <c r="BU366" s="559"/>
      <c r="BV366" s="562"/>
      <c r="BW366" s="565"/>
      <c r="BX366" s="617"/>
    </row>
    <row r="367" spans="1:76" ht="15.75" thickTop="1" x14ac:dyDescent="0.25">
      <c r="A367" s="585">
        <v>90</v>
      </c>
      <c r="B367" s="588"/>
      <c r="C367" s="589"/>
      <c r="D367" s="604"/>
      <c r="E367" s="515"/>
      <c r="F367" s="516"/>
      <c r="G367" s="521"/>
      <c r="H367" s="522"/>
      <c r="I367" s="527"/>
      <c r="J367" s="528"/>
      <c r="K367" s="512"/>
      <c r="L367" s="533"/>
      <c r="M367" s="536"/>
      <c r="N367" s="539"/>
      <c r="O367" s="540"/>
      <c r="P367" s="481"/>
      <c r="Q367" s="482"/>
      <c r="R367" s="515"/>
      <c r="S367" s="516"/>
      <c r="T367" s="487"/>
      <c r="U367" s="488"/>
      <c r="V367" s="491"/>
      <c r="W367" s="481"/>
      <c r="X367" s="494"/>
      <c r="Y367" s="482"/>
      <c r="Z367" s="497"/>
      <c r="AA367" s="500" t="s">
        <v>331</v>
      </c>
      <c r="AB367" s="501"/>
      <c r="AC367" s="506" t="s">
        <v>257</v>
      </c>
      <c r="AD367" s="507"/>
      <c r="AE367" s="507"/>
      <c r="AF367" s="510"/>
      <c r="AG367" s="510"/>
      <c r="AH367" s="510"/>
      <c r="AI367" s="510"/>
      <c r="AJ367" s="510"/>
      <c r="AK367" s="510"/>
      <c r="AL367" s="510"/>
      <c r="AM367" s="510"/>
      <c r="AN367" s="510"/>
      <c r="AO367" s="510"/>
      <c r="AP367" s="510"/>
      <c r="AQ367" s="465"/>
      <c r="AR367" s="467">
        <f t="shared" ref="AR367" si="663">SUM(AF367:AQ368)</f>
        <v>0</v>
      </c>
      <c r="AS367" s="119" t="s">
        <v>257</v>
      </c>
      <c r="AT367" s="120"/>
      <c r="AU367" s="120"/>
      <c r="AV367" s="120"/>
      <c r="AW367" s="121"/>
      <c r="AX367" s="125">
        <f t="shared" ref="AX367:AX369" si="664">SUM(AT367:AW367)</f>
        <v>0</v>
      </c>
      <c r="AY367" s="141" t="s">
        <v>257</v>
      </c>
      <c r="AZ367" s="137"/>
      <c r="BA367" s="137"/>
      <c r="BB367" s="134">
        <f t="shared" ref="BB367:BB369" si="665">AZ367-BA367</f>
        <v>0</v>
      </c>
      <c r="BC367" s="469" t="s">
        <v>258</v>
      </c>
      <c r="BD367" s="470"/>
      <c r="BE367" s="13"/>
      <c r="BF367" s="16"/>
      <c r="BG367" s="13"/>
      <c r="BH367" s="16"/>
      <c r="BI367" s="13"/>
      <c r="BJ367" s="16"/>
      <c r="BK367" s="13"/>
      <c r="BL367" s="16"/>
      <c r="BM367" s="13"/>
      <c r="BN367" s="16"/>
      <c r="BO367" s="13"/>
      <c r="BP367" s="16"/>
      <c r="BQ367" s="106">
        <f t="shared" si="617"/>
        <v>0</v>
      </c>
      <c r="BR367" s="566"/>
      <c r="BS367" s="569"/>
      <c r="BT367" s="570"/>
      <c r="BU367" s="557"/>
      <c r="BV367" s="560"/>
      <c r="BW367" s="563"/>
      <c r="BX367" s="615"/>
    </row>
    <row r="368" spans="1:76" x14ac:dyDescent="0.25">
      <c r="A368" s="586"/>
      <c r="B368" s="590"/>
      <c r="C368" s="591"/>
      <c r="D368" s="605"/>
      <c r="E368" s="517"/>
      <c r="F368" s="518"/>
      <c r="G368" s="523"/>
      <c r="H368" s="524"/>
      <c r="I368" s="529"/>
      <c r="J368" s="530"/>
      <c r="K368" s="513"/>
      <c r="L368" s="534"/>
      <c r="M368" s="537"/>
      <c r="N368" s="541"/>
      <c r="O368" s="542"/>
      <c r="P368" s="483"/>
      <c r="Q368" s="484"/>
      <c r="R368" s="517"/>
      <c r="S368" s="518"/>
      <c r="T368" s="487"/>
      <c r="U368" s="488"/>
      <c r="V368" s="492"/>
      <c r="W368" s="483"/>
      <c r="X368" s="495"/>
      <c r="Y368" s="484"/>
      <c r="Z368" s="498"/>
      <c r="AA368" s="502"/>
      <c r="AB368" s="503"/>
      <c r="AC368" s="508"/>
      <c r="AD368" s="509"/>
      <c r="AE368" s="509"/>
      <c r="AF368" s="511"/>
      <c r="AG368" s="511"/>
      <c r="AH368" s="511"/>
      <c r="AI368" s="511"/>
      <c r="AJ368" s="511"/>
      <c r="AK368" s="511"/>
      <c r="AL368" s="511"/>
      <c r="AM368" s="511"/>
      <c r="AN368" s="511"/>
      <c r="AO368" s="511"/>
      <c r="AP368" s="511"/>
      <c r="AQ368" s="466"/>
      <c r="AR368" s="468"/>
      <c r="AS368" s="122" t="s">
        <v>259</v>
      </c>
      <c r="AT368" s="123"/>
      <c r="AU368" s="123"/>
      <c r="AV368" s="123"/>
      <c r="AW368" s="124"/>
      <c r="AX368" s="126">
        <f t="shared" si="664"/>
        <v>0</v>
      </c>
      <c r="AY368" s="142" t="s">
        <v>259</v>
      </c>
      <c r="AZ368" s="138"/>
      <c r="BA368" s="138"/>
      <c r="BB368" s="135">
        <f t="shared" si="665"/>
        <v>0</v>
      </c>
      <c r="BC368" s="474" t="s">
        <v>260</v>
      </c>
      <c r="BD368" s="475"/>
      <c r="BE368" s="14"/>
      <c r="BF368" s="17"/>
      <c r="BG368" s="14"/>
      <c r="BH368" s="17"/>
      <c r="BI368" s="14"/>
      <c r="BJ368" s="17"/>
      <c r="BK368" s="14"/>
      <c r="BL368" s="17"/>
      <c r="BM368" s="14"/>
      <c r="BN368" s="17"/>
      <c r="BO368" s="14"/>
      <c r="BP368" s="17"/>
      <c r="BQ368" s="107">
        <f t="shared" si="617"/>
        <v>0</v>
      </c>
      <c r="BR368" s="567"/>
      <c r="BS368" s="571"/>
      <c r="BT368" s="572"/>
      <c r="BU368" s="558"/>
      <c r="BV368" s="561"/>
      <c r="BW368" s="564"/>
      <c r="BX368" s="616"/>
    </row>
    <row r="369" spans="1:76" ht="15.75" thickBot="1" x14ac:dyDescent="0.3">
      <c r="A369" s="586"/>
      <c r="B369" s="590"/>
      <c r="C369" s="591"/>
      <c r="D369" s="605"/>
      <c r="E369" s="517"/>
      <c r="F369" s="518"/>
      <c r="G369" s="523"/>
      <c r="H369" s="524"/>
      <c r="I369" s="529"/>
      <c r="J369" s="530"/>
      <c r="K369" s="513"/>
      <c r="L369" s="534"/>
      <c r="M369" s="537"/>
      <c r="N369" s="541"/>
      <c r="O369" s="542"/>
      <c r="P369" s="483"/>
      <c r="Q369" s="484"/>
      <c r="R369" s="517"/>
      <c r="S369" s="518"/>
      <c r="T369" s="487"/>
      <c r="U369" s="488"/>
      <c r="V369" s="492"/>
      <c r="W369" s="483"/>
      <c r="X369" s="495"/>
      <c r="Y369" s="484"/>
      <c r="Z369" s="498"/>
      <c r="AA369" s="502"/>
      <c r="AB369" s="503"/>
      <c r="AC369" s="471" t="s">
        <v>259</v>
      </c>
      <c r="AD369" s="472"/>
      <c r="AE369" s="473"/>
      <c r="AF369" s="100"/>
      <c r="AG369" s="100"/>
      <c r="AH369" s="100"/>
      <c r="AI369" s="100"/>
      <c r="AJ369" s="100"/>
      <c r="AK369" s="100"/>
      <c r="AL369" s="100"/>
      <c r="AM369" s="100"/>
      <c r="AN369" s="100"/>
      <c r="AO369" s="100"/>
      <c r="AP369" s="100"/>
      <c r="AQ369" s="101"/>
      <c r="AR369" s="104">
        <f t="shared" ref="AR369:AR370" si="666">SUM(AF369:AQ369)</f>
        <v>0</v>
      </c>
      <c r="AS369" s="128" t="s">
        <v>261</v>
      </c>
      <c r="AT369" s="129"/>
      <c r="AU369" s="129"/>
      <c r="AV369" s="129"/>
      <c r="AW369" s="130"/>
      <c r="AX369" s="126">
        <f t="shared" si="664"/>
        <v>0</v>
      </c>
      <c r="AY369" s="143" t="s">
        <v>261</v>
      </c>
      <c r="AZ369" s="139"/>
      <c r="BA369" s="139"/>
      <c r="BB369" s="136">
        <f t="shared" si="665"/>
        <v>0</v>
      </c>
      <c r="BC369" s="474" t="s">
        <v>262</v>
      </c>
      <c r="BD369" s="475"/>
      <c r="BE369" s="14"/>
      <c r="BF369" s="17"/>
      <c r="BG369" s="14"/>
      <c r="BH369" s="17"/>
      <c r="BI369" s="14"/>
      <c r="BJ369" s="17"/>
      <c r="BK369" s="14"/>
      <c r="BL369" s="17"/>
      <c r="BM369" s="14"/>
      <c r="BN369" s="17"/>
      <c r="BO369" s="14"/>
      <c r="BP369" s="17"/>
      <c r="BQ369" s="108">
        <f t="shared" si="617"/>
        <v>0</v>
      </c>
      <c r="BR369" s="567"/>
      <c r="BS369" s="571"/>
      <c r="BT369" s="572"/>
      <c r="BU369" s="558"/>
      <c r="BV369" s="561"/>
      <c r="BW369" s="564"/>
      <c r="BX369" s="616"/>
    </row>
    <row r="370" spans="1:76" ht="15.75" thickBot="1" x14ac:dyDescent="0.3">
      <c r="A370" s="587"/>
      <c r="B370" s="592"/>
      <c r="C370" s="593"/>
      <c r="D370" s="606"/>
      <c r="E370" s="519"/>
      <c r="F370" s="520"/>
      <c r="G370" s="525"/>
      <c r="H370" s="526"/>
      <c r="I370" s="531"/>
      <c r="J370" s="532"/>
      <c r="K370" s="514"/>
      <c r="L370" s="535"/>
      <c r="M370" s="538"/>
      <c r="N370" s="543"/>
      <c r="O370" s="544"/>
      <c r="P370" s="485"/>
      <c r="Q370" s="486"/>
      <c r="R370" s="519"/>
      <c r="S370" s="520"/>
      <c r="T370" s="489"/>
      <c r="U370" s="490"/>
      <c r="V370" s="493"/>
      <c r="W370" s="485"/>
      <c r="X370" s="496"/>
      <c r="Y370" s="486"/>
      <c r="Z370" s="499"/>
      <c r="AA370" s="504"/>
      <c r="AB370" s="505"/>
      <c r="AC370" s="476" t="s">
        <v>261</v>
      </c>
      <c r="AD370" s="477"/>
      <c r="AE370" s="478"/>
      <c r="AF370" s="102"/>
      <c r="AG370" s="102"/>
      <c r="AH370" s="102"/>
      <c r="AI370" s="102"/>
      <c r="AJ370" s="102"/>
      <c r="AK370" s="102"/>
      <c r="AL370" s="102"/>
      <c r="AM370" s="102"/>
      <c r="AN370" s="102"/>
      <c r="AO370" s="102"/>
      <c r="AP370" s="102"/>
      <c r="AQ370" s="103"/>
      <c r="AR370" s="105">
        <f t="shared" si="666"/>
        <v>0</v>
      </c>
      <c r="AS370" s="131" t="s">
        <v>161</v>
      </c>
      <c r="AT370" s="132">
        <f t="shared" ref="AT370:AX370" si="667">SUM(AT367:AT369)</f>
        <v>0</v>
      </c>
      <c r="AU370" s="132">
        <f t="shared" si="667"/>
        <v>0</v>
      </c>
      <c r="AV370" s="132">
        <f t="shared" si="667"/>
        <v>0</v>
      </c>
      <c r="AW370" s="133">
        <f t="shared" si="667"/>
        <v>0</v>
      </c>
      <c r="AX370" s="127">
        <f t="shared" si="667"/>
        <v>0</v>
      </c>
      <c r="AY370" s="144" t="s">
        <v>161</v>
      </c>
      <c r="AZ370" s="140">
        <f t="shared" ref="AZ370:BB370" si="668">SUM(AZ367:AZ369)</f>
        <v>0</v>
      </c>
      <c r="BA370" s="140">
        <f t="shared" si="668"/>
        <v>0</v>
      </c>
      <c r="BB370" s="140">
        <f t="shared" si="668"/>
        <v>0</v>
      </c>
      <c r="BC370" s="479" t="s">
        <v>263</v>
      </c>
      <c r="BD370" s="480"/>
      <c r="BE370" s="15"/>
      <c r="BF370" s="18"/>
      <c r="BG370" s="15"/>
      <c r="BH370" s="18"/>
      <c r="BI370" s="15"/>
      <c r="BJ370" s="18"/>
      <c r="BK370" s="15"/>
      <c r="BL370" s="18"/>
      <c r="BM370" s="15"/>
      <c r="BN370" s="18"/>
      <c r="BO370" s="15"/>
      <c r="BP370" s="18"/>
      <c r="BQ370" s="109">
        <f t="shared" si="617"/>
        <v>0</v>
      </c>
      <c r="BR370" s="568"/>
      <c r="BS370" s="573"/>
      <c r="BT370" s="574"/>
      <c r="BU370" s="559"/>
      <c r="BV370" s="562"/>
      <c r="BW370" s="565"/>
      <c r="BX370" s="617"/>
    </row>
    <row r="371" spans="1:76" ht="15.75" thickTop="1" x14ac:dyDescent="0.25">
      <c r="A371" s="585">
        <v>91</v>
      </c>
      <c r="B371" s="588"/>
      <c r="C371" s="589"/>
      <c r="D371" s="604"/>
      <c r="E371" s="515"/>
      <c r="F371" s="516"/>
      <c r="G371" s="521"/>
      <c r="H371" s="522"/>
      <c r="I371" s="527"/>
      <c r="J371" s="528"/>
      <c r="K371" s="512"/>
      <c r="L371" s="533"/>
      <c r="M371" s="536"/>
      <c r="N371" s="539"/>
      <c r="O371" s="540"/>
      <c r="P371" s="481"/>
      <c r="Q371" s="482"/>
      <c r="R371" s="515"/>
      <c r="S371" s="516"/>
      <c r="T371" s="487"/>
      <c r="U371" s="488"/>
      <c r="V371" s="491"/>
      <c r="W371" s="481"/>
      <c r="X371" s="494"/>
      <c r="Y371" s="482"/>
      <c r="Z371" s="497"/>
      <c r="AA371" s="500" t="s">
        <v>332</v>
      </c>
      <c r="AB371" s="501"/>
      <c r="AC371" s="506" t="s">
        <v>257</v>
      </c>
      <c r="AD371" s="507"/>
      <c r="AE371" s="507"/>
      <c r="AF371" s="510"/>
      <c r="AG371" s="510"/>
      <c r="AH371" s="510"/>
      <c r="AI371" s="510"/>
      <c r="AJ371" s="510"/>
      <c r="AK371" s="510"/>
      <c r="AL371" s="510"/>
      <c r="AM371" s="510"/>
      <c r="AN371" s="510"/>
      <c r="AO371" s="510"/>
      <c r="AP371" s="510"/>
      <c r="AQ371" s="465"/>
      <c r="AR371" s="467">
        <f t="shared" ref="AR371" si="669">SUM(AF371:AQ372)</f>
        <v>0</v>
      </c>
      <c r="AS371" s="119" t="s">
        <v>257</v>
      </c>
      <c r="AT371" s="120"/>
      <c r="AU371" s="120"/>
      <c r="AV371" s="120"/>
      <c r="AW371" s="121"/>
      <c r="AX371" s="125">
        <f t="shared" ref="AX371:AX373" si="670">SUM(AT371:AW371)</f>
        <v>0</v>
      </c>
      <c r="AY371" s="141" t="s">
        <v>257</v>
      </c>
      <c r="AZ371" s="137"/>
      <c r="BA371" s="137"/>
      <c r="BB371" s="134">
        <f t="shared" ref="BB371:BB373" si="671">AZ371-BA371</f>
        <v>0</v>
      </c>
      <c r="BC371" s="469" t="s">
        <v>258</v>
      </c>
      <c r="BD371" s="470"/>
      <c r="BE371" s="13"/>
      <c r="BF371" s="16"/>
      <c r="BG371" s="13"/>
      <c r="BH371" s="16"/>
      <c r="BI371" s="13"/>
      <c r="BJ371" s="16"/>
      <c r="BK371" s="13"/>
      <c r="BL371" s="16"/>
      <c r="BM371" s="13"/>
      <c r="BN371" s="16"/>
      <c r="BO371" s="13"/>
      <c r="BP371" s="16"/>
      <c r="BQ371" s="106">
        <f t="shared" si="617"/>
        <v>0</v>
      </c>
      <c r="BR371" s="566"/>
      <c r="BS371" s="569"/>
      <c r="BT371" s="570"/>
      <c r="BU371" s="557"/>
      <c r="BV371" s="560"/>
      <c r="BW371" s="563"/>
      <c r="BX371" s="615"/>
    </row>
    <row r="372" spans="1:76" x14ac:dyDescent="0.25">
      <c r="A372" s="586"/>
      <c r="B372" s="590"/>
      <c r="C372" s="591"/>
      <c r="D372" s="605"/>
      <c r="E372" s="517"/>
      <c r="F372" s="518"/>
      <c r="G372" s="523"/>
      <c r="H372" s="524"/>
      <c r="I372" s="529"/>
      <c r="J372" s="530"/>
      <c r="K372" s="513"/>
      <c r="L372" s="534"/>
      <c r="M372" s="537"/>
      <c r="N372" s="541"/>
      <c r="O372" s="542"/>
      <c r="P372" s="483"/>
      <c r="Q372" s="484"/>
      <c r="R372" s="517"/>
      <c r="S372" s="518"/>
      <c r="T372" s="487"/>
      <c r="U372" s="488"/>
      <c r="V372" s="492"/>
      <c r="W372" s="483"/>
      <c r="X372" s="495"/>
      <c r="Y372" s="484"/>
      <c r="Z372" s="498"/>
      <c r="AA372" s="502"/>
      <c r="AB372" s="503"/>
      <c r="AC372" s="508"/>
      <c r="AD372" s="509"/>
      <c r="AE372" s="509"/>
      <c r="AF372" s="511"/>
      <c r="AG372" s="511"/>
      <c r="AH372" s="511"/>
      <c r="AI372" s="511"/>
      <c r="AJ372" s="511"/>
      <c r="AK372" s="511"/>
      <c r="AL372" s="511"/>
      <c r="AM372" s="511"/>
      <c r="AN372" s="511"/>
      <c r="AO372" s="511"/>
      <c r="AP372" s="511"/>
      <c r="AQ372" s="466"/>
      <c r="AR372" s="468"/>
      <c r="AS372" s="122" t="s">
        <v>259</v>
      </c>
      <c r="AT372" s="123"/>
      <c r="AU372" s="123"/>
      <c r="AV372" s="123"/>
      <c r="AW372" s="124"/>
      <c r="AX372" s="126">
        <f t="shared" si="670"/>
        <v>0</v>
      </c>
      <c r="AY372" s="142" t="s">
        <v>259</v>
      </c>
      <c r="AZ372" s="138"/>
      <c r="BA372" s="138"/>
      <c r="BB372" s="135">
        <f t="shared" si="671"/>
        <v>0</v>
      </c>
      <c r="BC372" s="474" t="s">
        <v>260</v>
      </c>
      <c r="BD372" s="475"/>
      <c r="BE372" s="14"/>
      <c r="BF372" s="17"/>
      <c r="BG372" s="14"/>
      <c r="BH372" s="17"/>
      <c r="BI372" s="14"/>
      <c r="BJ372" s="17"/>
      <c r="BK372" s="14"/>
      <c r="BL372" s="17"/>
      <c r="BM372" s="14"/>
      <c r="BN372" s="17"/>
      <c r="BO372" s="14"/>
      <c r="BP372" s="17"/>
      <c r="BQ372" s="107">
        <f t="shared" si="617"/>
        <v>0</v>
      </c>
      <c r="BR372" s="567"/>
      <c r="BS372" s="571"/>
      <c r="BT372" s="572"/>
      <c r="BU372" s="558"/>
      <c r="BV372" s="561"/>
      <c r="BW372" s="564"/>
      <c r="BX372" s="616"/>
    </row>
    <row r="373" spans="1:76" ht="15.75" thickBot="1" x14ac:dyDescent="0.3">
      <c r="A373" s="586"/>
      <c r="B373" s="590"/>
      <c r="C373" s="591"/>
      <c r="D373" s="605"/>
      <c r="E373" s="517"/>
      <c r="F373" s="518"/>
      <c r="G373" s="523"/>
      <c r="H373" s="524"/>
      <c r="I373" s="529"/>
      <c r="J373" s="530"/>
      <c r="K373" s="513"/>
      <c r="L373" s="534"/>
      <c r="M373" s="537"/>
      <c r="N373" s="541"/>
      <c r="O373" s="542"/>
      <c r="P373" s="483"/>
      <c r="Q373" s="484"/>
      <c r="R373" s="517"/>
      <c r="S373" s="518"/>
      <c r="T373" s="487"/>
      <c r="U373" s="488"/>
      <c r="V373" s="492"/>
      <c r="W373" s="483"/>
      <c r="X373" s="495"/>
      <c r="Y373" s="484"/>
      <c r="Z373" s="498"/>
      <c r="AA373" s="502"/>
      <c r="AB373" s="503"/>
      <c r="AC373" s="471" t="s">
        <v>259</v>
      </c>
      <c r="AD373" s="472"/>
      <c r="AE373" s="473"/>
      <c r="AF373" s="100"/>
      <c r="AG373" s="100"/>
      <c r="AH373" s="100"/>
      <c r="AI373" s="100"/>
      <c r="AJ373" s="100"/>
      <c r="AK373" s="100"/>
      <c r="AL373" s="100"/>
      <c r="AM373" s="100"/>
      <c r="AN373" s="100"/>
      <c r="AO373" s="100"/>
      <c r="AP373" s="100"/>
      <c r="AQ373" s="101"/>
      <c r="AR373" s="104">
        <f t="shared" ref="AR373:AR374" si="672">SUM(AF373:AQ373)</f>
        <v>0</v>
      </c>
      <c r="AS373" s="128" t="s">
        <v>261</v>
      </c>
      <c r="AT373" s="129"/>
      <c r="AU373" s="129"/>
      <c r="AV373" s="129"/>
      <c r="AW373" s="130"/>
      <c r="AX373" s="126">
        <f t="shared" si="670"/>
        <v>0</v>
      </c>
      <c r="AY373" s="143" t="s">
        <v>261</v>
      </c>
      <c r="AZ373" s="139"/>
      <c r="BA373" s="139"/>
      <c r="BB373" s="136">
        <f t="shared" si="671"/>
        <v>0</v>
      </c>
      <c r="BC373" s="474" t="s">
        <v>262</v>
      </c>
      <c r="BD373" s="475"/>
      <c r="BE373" s="14"/>
      <c r="BF373" s="17"/>
      <c r="BG373" s="14"/>
      <c r="BH373" s="17"/>
      <c r="BI373" s="14"/>
      <c r="BJ373" s="17"/>
      <c r="BK373" s="14"/>
      <c r="BL373" s="17"/>
      <c r="BM373" s="14"/>
      <c r="BN373" s="17"/>
      <c r="BO373" s="14"/>
      <c r="BP373" s="17"/>
      <c r="BQ373" s="108">
        <f t="shared" si="617"/>
        <v>0</v>
      </c>
      <c r="BR373" s="567"/>
      <c r="BS373" s="571"/>
      <c r="BT373" s="572"/>
      <c r="BU373" s="558"/>
      <c r="BV373" s="561"/>
      <c r="BW373" s="564"/>
      <c r="BX373" s="616"/>
    </row>
    <row r="374" spans="1:76" ht="15.75" thickBot="1" x14ac:dyDescent="0.3">
      <c r="A374" s="587"/>
      <c r="B374" s="592"/>
      <c r="C374" s="593"/>
      <c r="D374" s="606"/>
      <c r="E374" s="519"/>
      <c r="F374" s="520"/>
      <c r="G374" s="525"/>
      <c r="H374" s="526"/>
      <c r="I374" s="531"/>
      <c r="J374" s="532"/>
      <c r="K374" s="514"/>
      <c r="L374" s="535"/>
      <c r="M374" s="538"/>
      <c r="N374" s="543"/>
      <c r="O374" s="544"/>
      <c r="P374" s="485"/>
      <c r="Q374" s="486"/>
      <c r="R374" s="519"/>
      <c r="S374" s="520"/>
      <c r="T374" s="489"/>
      <c r="U374" s="490"/>
      <c r="V374" s="493"/>
      <c r="W374" s="485"/>
      <c r="X374" s="496"/>
      <c r="Y374" s="486"/>
      <c r="Z374" s="499"/>
      <c r="AA374" s="504"/>
      <c r="AB374" s="505"/>
      <c r="AC374" s="476" t="s">
        <v>261</v>
      </c>
      <c r="AD374" s="477"/>
      <c r="AE374" s="478"/>
      <c r="AF374" s="102"/>
      <c r="AG374" s="102"/>
      <c r="AH374" s="102"/>
      <c r="AI374" s="102"/>
      <c r="AJ374" s="102"/>
      <c r="AK374" s="102"/>
      <c r="AL374" s="102"/>
      <c r="AM374" s="102"/>
      <c r="AN374" s="102"/>
      <c r="AO374" s="102"/>
      <c r="AP374" s="102"/>
      <c r="AQ374" s="103"/>
      <c r="AR374" s="105">
        <f t="shared" si="672"/>
        <v>0</v>
      </c>
      <c r="AS374" s="131" t="s">
        <v>161</v>
      </c>
      <c r="AT374" s="132">
        <f t="shared" ref="AT374:AX374" si="673">SUM(AT371:AT373)</f>
        <v>0</v>
      </c>
      <c r="AU374" s="132">
        <f t="shared" si="673"/>
        <v>0</v>
      </c>
      <c r="AV374" s="132">
        <f t="shared" si="673"/>
        <v>0</v>
      </c>
      <c r="AW374" s="133">
        <f t="shared" si="673"/>
        <v>0</v>
      </c>
      <c r="AX374" s="127">
        <f t="shared" si="673"/>
        <v>0</v>
      </c>
      <c r="AY374" s="144" t="s">
        <v>161</v>
      </c>
      <c r="AZ374" s="140">
        <f t="shared" ref="AZ374:BB374" si="674">SUM(AZ371:AZ373)</f>
        <v>0</v>
      </c>
      <c r="BA374" s="140">
        <f t="shared" si="674"/>
        <v>0</v>
      </c>
      <c r="BB374" s="140">
        <f t="shared" si="674"/>
        <v>0</v>
      </c>
      <c r="BC374" s="479" t="s">
        <v>263</v>
      </c>
      <c r="BD374" s="480"/>
      <c r="BE374" s="15"/>
      <c r="BF374" s="18"/>
      <c r="BG374" s="15"/>
      <c r="BH374" s="18"/>
      <c r="BI374" s="15"/>
      <c r="BJ374" s="18"/>
      <c r="BK374" s="15"/>
      <c r="BL374" s="18"/>
      <c r="BM374" s="15"/>
      <c r="BN374" s="18"/>
      <c r="BO374" s="15"/>
      <c r="BP374" s="18"/>
      <c r="BQ374" s="109">
        <f t="shared" si="617"/>
        <v>0</v>
      </c>
      <c r="BR374" s="568"/>
      <c r="BS374" s="573"/>
      <c r="BT374" s="574"/>
      <c r="BU374" s="559"/>
      <c r="BV374" s="562"/>
      <c r="BW374" s="565"/>
      <c r="BX374" s="617"/>
    </row>
    <row r="375" spans="1:76" ht="15.75" thickTop="1" x14ac:dyDescent="0.25">
      <c r="A375" s="585">
        <v>92</v>
      </c>
      <c r="B375" s="588"/>
      <c r="C375" s="589"/>
      <c r="D375" s="604"/>
      <c r="E375" s="515"/>
      <c r="F375" s="516"/>
      <c r="G375" s="521"/>
      <c r="H375" s="522"/>
      <c r="I375" s="527"/>
      <c r="J375" s="528"/>
      <c r="K375" s="512"/>
      <c r="L375" s="533"/>
      <c r="M375" s="536"/>
      <c r="N375" s="539"/>
      <c r="O375" s="540"/>
      <c r="P375" s="481"/>
      <c r="Q375" s="482"/>
      <c r="R375" s="515"/>
      <c r="S375" s="516"/>
      <c r="T375" s="487"/>
      <c r="U375" s="488"/>
      <c r="V375" s="491"/>
      <c r="W375" s="481"/>
      <c r="X375" s="494"/>
      <c r="Y375" s="482"/>
      <c r="Z375" s="497"/>
      <c r="AA375" s="500" t="s">
        <v>333</v>
      </c>
      <c r="AB375" s="501"/>
      <c r="AC375" s="506" t="s">
        <v>257</v>
      </c>
      <c r="AD375" s="507"/>
      <c r="AE375" s="507"/>
      <c r="AF375" s="510"/>
      <c r="AG375" s="510"/>
      <c r="AH375" s="510"/>
      <c r="AI375" s="510"/>
      <c r="AJ375" s="510"/>
      <c r="AK375" s="510"/>
      <c r="AL375" s="510"/>
      <c r="AM375" s="510"/>
      <c r="AN375" s="510"/>
      <c r="AO375" s="510"/>
      <c r="AP375" s="510"/>
      <c r="AQ375" s="465"/>
      <c r="AR375" s="467">
        <f t="shared" ref="AR375" si="675">SUM(AF375:AQ376)</f>
        <v>0</v>
      </c>
      <c r="AS375" s="119" t="s">
        <v>257</v>
      </c>
      <c r="AT375" s="120"/>
      <c r="AU375" s="120"/>
      <c r="AV375" s="120"/>
      <c r="AW375" s="121"/>
      <c r="AX375" s="125">
        <f t="shared" ref="AX375:AX377" si="676">SUM(AT375:AW375)</f>
        <v>0</v>
      </c>
      <c r="AY375" s="141" t="s">
        <v>257</v>
      </c>
      <c r="AZ375" s="137"/>
      <c r="BA375" s="137"/>
      <c r="BB375" s="134">
        <f t="shared" ref="BB375:BB377" si="677">AZ375-BA375</f>
        <v>0</v>
      </c>
      <c r="BC375" s="469" t="s">
        <v>258</v>
      </c>
      <c r="BD375" s="470"/>
      <c r="BE375" s="13"/>
      <c r="BF375" s="16"/>
      <c r="BG375" s="13"/>
      <c r="BH375" s="16"/>
      <c r="BI375" s="13"/>
      <c r="BJ375" s="16"/>
      <c r="BK375" s="13"/>
      <c r="BL375" s="16"/>
      <c r="BM375" s="13"/>
      <c r="BN375" s="16"/>
      <c r="BO375" s="13"/>
      <c r="BP375" s="16"/>
      <c r="BQ375" s="106">
        <f t="shared" si="617"/>
        <v>0</v>
      </c>
      <c r="BR375" s="566"/>
      <c r="BS375" s="569"/>
      <c r="BT375" s="570"/>
      <c r="BU375" s="557"/>
      <c r="BV375" s="560"/>
      <c r="BW375" s="563"/>
      <c r="BX375" s="615"/>
    </row>
    <row r="376" spans="1:76" x14ac:dyDescent="0.25">
      <c r="A376" s="586"/>
      <c r="B376" s="590"/>
      <c r="C376" s="591"/>
      <c r="D376" s="605"/>
      <c r="E376" s="517"/>
      <c r="F376" s="518"/>
      <c r="G376" s="523"/>
      <c r="H376" s="524"/>
      <c r="I376" s="529"/>
      <c r="J376" s="530"/>
      <c r="K376" s="513"/>
      <c r="L376" s="534"/>
      <c r="M376" s="537"/>
      <c r="N376" s="541"/>
      <c r="O376" s="542"/>
      <c r="P376" s="483"/>
      <c r="Q376" s="484"/>
      <c r="R376" s="517"/>
      <c r="S376" s="518"/>
      <c r="T376" s="487"/>
      <c r="U376" s="488"/>
      <c r="V376" s="492"/>
      <c r="W376" s="483"/>
      <c r="X376" s="495"/>
      <c r="Y376" s="484"/>
      <c r="Z376" s="498"/>
      <c r="AA376" s="502"/>
      <c r="AB376" s="503"/>
      <c r="AC376" s="508"/>
      <c r="AD376" s="509"/>
      <c r="AE376" s="509"/>
      <c r="AF376" s="511"/>
      <c r="AG376" s="511"/>
      <c r="AH376" s="511"/>
      <c r="AI376" s="511"/>
      <c r="AJ376" s="511"/>
      <c r="AK376" s="511"/>
      <c r="AL376" s="511"/>
      <c r="AM376" s="511"/>
      <c r="AN376" s="511"/>
      <c r="AO376" s="511"/>
      <c r="AP376" s="511"/>
      <c r="AQ376" s="466"/>
      <c r="AR376" s="468"/>
      <c r="AS376" s="122" t="s">
        <v>259</v>
      </c>
      <c r="AT376" s="123"/>
      <c r="AU376" s="123"/>
      <c r="AV376" s="123"/>
      <c r="AW376" s="124"/>
      <c r="AX376" s="126">
        <f t="shared" si="676"/>
        <v>0</v>
      </c>
      <c r="AY376" s="142" t="s">
        <v>259</v>
      </c>
      <c r="AZ376" s="138"/>
      <c r="BA376" s="138"/>
      <c r="BB376" s="135">
        <f t="shared" si="677"/>
        <v>0</v>
      </c>
      <c r="BC376" s="474" t="s">
        <v>260</v>
      </c>
      <c r="BD376" s="475"/>
      <c r="BE376" s="14"/>
      <c r="BF376" s="17"/>
      <c r="BG376" s="14"/>
      <c r="BH376" s="17"/>
      <c r="BI376" s="14"/>
      <c r="BJ376" s="17"/>
      <c r="BK376" s="14"/>
      <c r="BL376" s="17"/>
      <c r="BM376" s="14"/>
      <c r="BN376" s="17"/>
      <c r="BO376" s="14"/>
      <c r="BP376" s="17"/>
      <c r="BQ376" s="107">
        <f t="shared" si="617"/>
        <v>0</v>
      </c>
      <c r="BR376" s="567"/>
      <c r="BS376" s="571"/>
      <c r="BT376" s="572"/>
      <c r="BU376" s="558"/>
      <c r="BV376" s="561"/>
      <c r="BW376" s="564"/>
      <c r="BX376" s="616"/>
    </row>
    <row r="377" spans="1:76" ht="15.75" thickBot="1" x14ac:dyDescent="0.3">
      <c r="A377" s="586"/>
      <c r="B377" s="590"/>
      <c r="C377" s="591"/>
      <c r="D377" s="605"/>
      <c r="E377" s="517"/>
      <c r="F377" s="518"/>
      <c r="G377" s="523"/>
      <c r="H377" s="524"/>
      <c r="I377" s="529"/>
      <c r="J377" s="530"/>
      <c r="K377" s="513"/>
      <c r="L377" s="534"/>
      <c r="M377" s="537"/>
      <c r="N377" s="541"/>
      <c r="O377" s="542"/>
      <c r="P377" s="483"/>
      <c r="Q377" s="484"/>
      <c r="R377" s="517"/>
      <c r="S377" s="518"/>
      <c r="T377" s="487"/>
      <c r="U377" s="488"/>
      <c r="V377" s="492"/>
      <c r="W377" s="483"/>
      <c r="X377" s="495"/>
      <c r="Y377" s="484"/>
      <c r="Z377" s="498"/>
      <c r="AA377" s="502"/>
      <c r="AB377" s="503"/>
      <c r="AC377" s="471" t="s">
        <v>259</v>
      </c>
      <c r="AD377" s="472"/>
      <c r="AE377" s="473"/>
      <c r="AF377" s="100"/>
      <c r="AG377" s="100"/>
      <c r="AH377" s="100"/>
      <c r="AI377" s="100"/>
      <c r="AJ377" s="100"/>
      <c r="AK377" s="100"/>
      <c r="AL377" s="100"/>
      <c r="AM377" s="100"/>
      <c r="AN377" s="100"/>
      <c r="AO377" s="100"/>
      <c r="AP377" s="100"/>
      <c r="AQ377" s="101"/>
      <c r="AR377" s="104">
        <f t="shared" ref="AR377:AR378" si="678">SUM(AF377:AQ377)</f>
        <v>0</v>
      </c>
      <c r="AS377" s="128" t="s">
        <v>261</v>
      </c>
      <c r="AT377" s="129"/>
      <c r="AU377" s="129"/>
      <c r="AV377" s="129"/>
      <c r="AW377" s="130"/>
      <c r="AX377" s="126">
        <f t="shared" si="676"/>
        <v>0</v>
      </c>
      <c r="AY377" s="143" t="s">
        <v>261</v>
      </c>
      <c r="AZ377" s="139"/>
      <c r="BA377" s="139"/>
      <c r="BB377" s="136">
        <f t="shared" si="677"/>
        <v>0</v>
      </c>
      <c r="BC377" s="474" t="s">
        <v>262</v>
      </c>
      <c r="BD377" s="475"/>
      <c r="BE377" s="14"/>
      <c r="BF377" s="17"/>
      <c r="BG377" s="14"/>
      <c r="BH377" s="17"/>
      <c r="BI377" s="14"/>
      <c r="BJ377" s="17"/>
      <c r="BK377" s="14"/>
      <c r="BL377" s="17"/>
      <c r="BM377" s="14"/>
      <c r="BN377" s="17"/>
      <c r="BO377" s="14"/>
      <c r="BP377" s="17"/>
      <c r="BQ377" s="108">
        <f t="shared" si="617"/>
        <v>0</v>
      </c>
      <c r="BR377" s="567"/>
      <c r="BS377" s="571"/>
      <c r="BT377" s="572"/>
      <c r="BU377" s="558"/>
      <c r="BV377" s="561"/>
      <c r="BW377" s="564"/>
      <c r="BX377" s="616"/>
    </row>
    <row r="378" spans="1:76" ht="15.75" thickBot="1" x14ac:dyDescent="0.3">
      <c r="A378" s="587"/>
      <c r="B378" s="592"/>
      <c r="C378" s="593"/>
      <c r="D378" s="606"/>
      <c r="E378" s="519"/>
      <c r="F378" s="520"/>
      <c r="G378" s="525"/>
      <c r="H378" s="526"/>
      <c r="I378" s="531"/>
      <c r="J378" s="532"/>
      <c r="K378" s="514"/>
      <c r="L378" s="535"/>
      <c r="M378" s="538"/>
      <c r="N378" s="543"/>
      <c r="O378" s="544"/>
      <c r="P378" s="485"/>
      <c r="Q378" s="486"/>
      <c r="R378" s="519"/>
      <c r="S378" s="520"/>
      <c r="T378" s="489"/>
      <c r="U378" s="490"/>
      <c r="V378" s="493"/>
      <c r="W378" s="485"/>
      <c r="X378" s="496"/>
      <c r="Y378" s="486"/>
      <c r="Z378" s="499"/>
      <c r="AA378" s="504"/>
      <c r="AB378" s="505"/>
      <c r="AC378" s="476" t="s">
        <v>261</v>
      </c>
      <c r="AD378" s="477"/>
      <c r="AE378" s="478"/>
      <c r="AF378" s="102"/>
      <c r="AG378" s="102"/>
      <c r="AH378" s="102"/>
      <c r="AI378" s="102"/>
      <c r="AJ378" s="102"/>
      <c r="AK378" s="102"/>
      <c r="AL378" s="102"/>
      <c r="AM378" s="102"/>
      <c r="AN378" s="102"/>
      <c r="AO378" s="102"/>
      <c r="AP378" s="102"/>
      <c r="AQ378" s="103"/>
      <c r="AR378" s="105">
        <f t="shared" si="678"/>
        <v>0</v>
      </c>
      <c r="AS378" s="131" t="s">
        <v>161</v>
      </c>
      <c r="AT378" s="132">
        <f t="shared" ref="AT378:AX378" si="679">SUM(AT375:AT377)</f>
        <v>0</v>
      </c>
      <c r="AU378" s="132">
        <f t="shared" si="679"/>
        <v>0</v>
      </c>
      <c r="AV378" s="132">
        <f t="shared" si="679"/>
        <v>0</v>
      </c>
      <c r="AW378" s="133">
        <f t="shared" si="679"/>
        <v>0</v>
      </c>
      <c r="AX378" s="127">
        <f t="shared" si="679"/>
        <v>0</v>
      </c>
      <c r="AY378" s="144" t="s">
        <v>161</v>
      </c>
      <c r="AZ378" s="140">
        <f t="shared" ref="AZ378:BB378" si="680">SUM(AZ375:AZ377)</f>
        <v>0</v>
      </c>
      <c r="BA378" s="140">
        <f t="shared" si="680"/>
        <v>0</v>
      </c>
      <c r="BB378" s="140">
        <f t="shared" si="680"/>
        <v>0</v>
      </c>
      <c r="BC378" s="479" t="s">
        <v>263</v>
      </c>
      <c r="BD378" s="480"/>
      <c r="BE378" s="15"/>
      <c r="BF378" s="18"/>
      <c r="BG378" s="15"/>
      <c r="BH378" s="18"/>
      <c r="BI378" s="15"/>
      <c r="BJ378" s="18"/>
      <c r="BK378" s="15"/>
      <c r="BL378" s="18"/>
      <c r="BM378" s="15"/>
      <c r="BN378" s="18"/>
      <c r="BO378" s="15"/>
      <c r="BP378" s="18"/>
      <c r="BQ378" s="109">
        <f t="shared" si="617"/>
        <v>0</v>
      </c>
      <c r="BR378" s="568"/>
      <c r="BS378" s="573"/>
      <c r="BT378" s="574"/>
      <c r="BU378" s="559"/>
      <c r="BV378" s="562"/>
      <c r="BW378" s="565"/>
      <c r="BX378" s="617"/>
    </row>
    <row r="379" spans="1:76" ht="15.75" thickTop="1" x14ac:dyDescent="0.25">
      <c r="A379" s="585">
        <v>93</v>
      </c>
      <c r="B379" s="588"/>
      <c r="C379" s="589"/>
      <c r="D379" s="604"/>
      <c r="E379" s="515"/>
      <c r="F379" s="516"/>
      <c r="G379" s="521"/>
      <c r="H379" s="522"/>
      <c r="I379" s="527"/>
      <c r="J379" s="528"/>
      <c r="K379" s="512"/>
      <c r="L379" s="533"/>
      <c r="M379" s="536"/>
      <c r="N379" s="539"/>
      <c r="O379" s="540"/>
      <c r="P379" s="481"/>
      <c r="Q379" s="482"/>
      <c r="R379" s="515"/>
      <c r="S379" s="516"/>
      <c r="T379" s="487"/>
      <c r="U379" s="488"/>
      <c r="V379" s="491"/>
      <c r="W379" s="481"/>
      <c r="X379" s="494"/>
      <c r="Y379" s="482"/>
      <c r="Z379" s="497"/>
      <c r="AA379" s="500" t="s">
        <v>334</v>
      </c>
      <c r="AB379" s="501"/>
      <c r="AC379" s="506" t="s">
        <v>257</v>
      </c>
      <c r="AD379" s="507"/>
      <c r="AE379" s="507"/>
      <c r="AF379" s="510"/>
      <c r="AG379" s="510"/>
      <c r="AH379" s="510"/>
      <c r="AI379" s="510"/>
      <c r="AJ379" s="510"/>
      <c r="AK379" s="510"/>
      <c r="AL379" s="510"/>
      <c r="AM379" s="510"/>
      <c r="AN379" s="510"/>
      <c r="AO379" s="510"/>
      <c r="AP379" s="510"/>
      <c r="AQ379" s="465"/>
      <c r="AR379" s="467">
        <f t="shared" ref="AR379" si="681">SUM(AF379:AQ380)</f>
        <v>0</v>
      </c>
      <c r="AS379" s="119" t="s">
        <v>257</v>
      </c>
      <c r="AT379" s="120"/>
      <c r="AU379" s="120"/>
      <c r="AV379" s="120"/>
      <c r="AW379" s="121"/>
      <c r="AX379" s="125">
        <f t="shared" ref="AX379:AX381" si="682">SUM(AT379:AW379)</f>
        <v>0</v>
      </c>
      <c r="AY379" s="141" t="s">
        <v>257</v>
      </c>
      <c r="AZ379" s="137"/>
      <c r="BA379" s="137"/>
      <c r="BB379" s="134">
        <f t="shared" ref="BB379:BB381" si="683">AZ379-BA379</f>
        <v>0</v>
      </c>
      <c r="BC379" s="469" t="s">
        <v>258</v>
      </c>
      <c r="BD379" s="470"/>
      <c r="BE379" s="13"/>
      <c r="BF379" s="16"/>
      <c r="BG379" s="13"/>
      <c r="BH379" s="16"/>
      <c r="BI379" s="13"/>
      <c r="BJ379" s="16"/>
      <c r="BK379" s="13"/>
      <c r="BL379" s="16"/>
      <c r="BM379" s="13"/>
      <c r="BN379" s="16"/>
      <c r="BO379" s="13"/>
      <c r="BP379" s="16"/>
      <c r="BQ379" s="106">
        <f t="shared" si="617"/>
        <v>0</v>
      </c>
      <c r="BR379" s="566"/>
      <c r="BS379" s="569"/>
      <c r="BT379" s="570"/>
      <c r="BU379" s="557"/>
      <c r="BV379" s="560"/>
      <c r="BW379" s="563"/>
      <c r="BX379" s="615"/>
    </row>
    <row r="380" spans="1:76" x14ac:dyDescent="0.25">
      <c r="A380" s="586"/>
      <c r="B380" s="590"/>
      <c r="C380" s="591"/>
      <c r="D380" s="605"/>
      <c r="E380" s="517"/>
      <c r="F380" s="518"/>
      <c r="G380" s="523"/>
      <c r="H380" s="524"/>
      <c r="I380" s="529"/>
      <c r="J380" s="530"/>
      <c r="K380" s="513"/>
      <c r="L380" s="534"/>
      <c r="M380" s="537"/>
      <c r="N380" s="541"/>
      <c r="O380" s="542"/>
      <c r="P380" s="483"/>
      <c r="Q380" s="484"/>
      <c r="R380" s="517"/>
      <c r="S380" s="518"/>
      <c r="T380" s="487"/>
      <c r="U380" s="488"/>
      <c r="V380" s="492"/>
      <c r="W380" s="483"/>
      <c r="X380" s="495"/>
      <c r="Y380" s="484"/>
      <c r="Z380" s="498"/>
      <c r="AA380" s="502"/>
      <c r="AB380" s="503"/>
      <c r="AC380" s="508"/>
      <c r="AD380" s="509"/>
      <c r="AE380" s="509"/>
      <c r="AF380" s="511"/>
      <c r="AG380" s="511"/>
      <c r="AH380" s="511"/>
      <c r="AI380" s="511"/>
      <c r="AJ380" s="511"/>
      <c r="AK380" s="511"/>
      <c r="AL380" s="511"/>
      <c r="AM380" s="511"/>
      <c r="AN380" s="511"/>
      <c r="AO380" s="511"/>
      <c r="AP380" s="511"/>
      <c r="AQ380" s="466"/>
      <c r="AR380" s="468"/>
      <c r="AS380" s="122" t="s">
        <v>259</v>
      </c>
      <c r="AT380" s="123"/>
      <c r="AU380" s="123"/>
      <c r="AV380" s="123"/>
      <c r="AW380" s="124"/>
      <c r="AX380" s="126">
        <f t="shared" si="682"/>
        <v>0</v>
      </c>
      <c r="AY380" s="142" t="s">
        <v>259</v>
      </c>
      <c r="AZ380" s="138"/>
      <c r="BA380" s="138"/>
      <c r="BB380" s="135">
        <f t="shared" si="683"/>
        <v>0</v>
      </c>
      <c r="BC380" s="474" t="s">
        <v>260</v>
      </c>
      <c r="BD380" s="475"/>
      <c r="BE380" s="14"/>
      <c r="BF380" s="17"/>
      <c r="BG380" s="14"/>
      <c r="BH380" s="17"/>
      <c r="BI380" s="14"/>
      <c r="BJ380" s="17"/>
      <c r="BK380" s="14"/>
      <c r="BL380" s="17"/>
      <c r="BM380" s="14"/>
      <c r="BN380" s="17"/>
      <c r="BO380" s="14"/>
      <c r="BP380" s="17"/>
      <c r="BQ380" s="107">
        <f t="shared" si="617"/>
        <v>0</v>
      </c>
      <c r="BR380" s="567"/>
      <c r="BS380" s="571"/>
      <c r="BT380" s="572"/>
      <c r="BU380" s="558"/>
      <c r="BV380" s="561"/>
      <c r="BW380" s="564"/>
      <c r="BX380" s="616"/>
    </row>
    <row r="381" spans="1:76" ht="15.75" thickBot="1" x14ac:dyDescent="0.3">
      <c r="A381" s="586"/>
      <c r="B381" s="590"/>
      <c r="C381" s="591"/>
      <c r="D381" s="605"/>
      <c r="E381" s="517"/>
      <c r="F381" s="518"/>
      <c r="G381" s="523"/>
      <c r="H381" s="524"/>
      <c r="I381" s="529"/>
      <c r="J381" s="530"/>
      <c r="K381" s="513"/>
      <c r="L381" s="534"/>
      <c r="M381" s="537"/>
      <c r="N381" s="541"/>
      <c r="O381" s="542"/>
      <c r="P381" s="483"/>
      <c r="Q381" s="484"/>
      <c r="R381" s="517"/>
      <c r="S381" s="518"/>
      <c r="T381" s="487"/>
      <c r="U381" s="488"/>
      <c r="V381" s="492"/>
      <c r="W381" s="483"/>
      <c r="X381" s="495"/>
      <c r="Y381" s="484"/>
      <c r="Z381" s="498"/>
      <c r="AA381" s="502"/>
      <c r="AB381" s="503"/>
      <c r="AC381" s="471" t="s">
        <v>259</v>
      </c>
      <c r="AD381" s="472"/>
      <c r="AE381" s="473"/>
      <c r="AF381" s="100"/>
      <c r="AG381" s="100"/>
      <c r="AH381" s="100"/>
      <c r="AI381" s="100"/>
      <c r="AJ381" s="100"/>
      <c r="AK381" s="100"/>
      <c r="AL381" s="100"/>
      <c r="AM381" s="100"/>
      <c r="AN381" s="100"/>
      <c r="AO381" s="100"/>
      <c r="AP381" s="100"/>
      <c r="AQ381" s="101"/>
      <c r="AR381" s="104">
        <f t="shared" ref="AR381:AR382" si="684">SUM(AF381:AQ381)</f>
        <v>0</v>
      </c>
      <c r="AS381" s="128" t="s">
        <v>261</v>
      </c>
      <c r="AT381" s="129"/>
      <c r="AU381" s="129"/>
      <c r="AV381" s="129"/>
      <c r="AW381" s="130"/>
      <c r="AX381" s="126">
        <f t="shared" si="682"/>
        <v>0</v>
      </c>
      <c r="AY381" s="143" t="s">
        <v>261</v>
      </c>
      <c r="AZ381" s="139"/>
      <c r="BA381" s="139"/>
      <c r="BB381" s="136">
        <f t="shared" si="683"/>
        <v>0</v>
      </c>
      <c r="BC381" s="474" t="s">
        <v>262</v>
      </c>
      <c r="BD381" s="475"/>
      <c r="BE381" s="14"/>
      <c r="BF381" s="17"/>
      <c r="BG381" s="14"/>
      <c r="BH381" s="17"/>
      <c r="BI381" s="14"/>
      <c r="BJ381" s="17"/>
      <c r="BK381" s="14"/>
      <c r="BL381" s="17"/>
      <c r="BM381" s="14"/>
      <c r="BN381" s="17"/>
      <c r="BO381" s="14"/>
      <c r="BP381" s="17"/>
      <c r="BQ381" s="108">
        <f t="shared" si="617"/>
        <v>0</v>
      </c>
      <c r="BR381" s="567"/>
      <c r="BS381" s="571"/>
      <c r="BT381" s="572"/>
      <c r="BU381" s="558"/>
      <c r="BV381" s="561"/>
      <c r="BW381" s="564"/>
      <c r="BX381" s="616"/>
    </row>
    <row r="382" spans="1:76" ht="15.75" thickBot="1" x14ac:dyDescent="0.3">
      <c r="A382" s="587"/>
      <c r="B382" s="592"/>
      <c r="C382" s="593"/>
      <c r="D382" s="606"/>
      <c r="E382" s="519"/>
      <c r="F382" s="520"/>
      <c r="G382" s="525"/>
      <c r="H382" s="526"/>
      <c r="I382" s="531"/>
      <c r="J382" s="532"/>
      <c r="K382" s="514"/>
      <c r="L382" s="535"/>
      <c r="M382" s="538"/>
      <c r="N382" s="543"/>
      <c r="O382" s="544"/>
      <c r="P382" s="485"/>
      <c r="Q382" s="486"/>
      <c r="R382" s="519"/>
      <c r="S382" s="520"/>
      <c r="T382" s="489"/>
      <c r="U382" s="490"/>
      <c r="V382" s="493"/>
      <c r="W382" s="485"/>
      <c r="X382" s="496"/>
      <c r="Y382" s="486"/>
      <c r="Z382" s="499"/>
      <c r="AA382" s="504"/>
      <c r="AB382" s="505"/>
      <c r="AC382" s="476" t="s">
        <v>261</v>
      </c>
      <c r="AD382" s="477"/>
      <c r="AE382" s="478"/>
      <c r="AF382" s="102"/>
      <c r="AG382" s="102"/>
      <c r="AH382" s="102"/>
      <c r="AI382" s="102"/>
      <c r="AJ382" s="102"/>
      <c r="AK382" s="102"/>
      <c r="AL382" s="102"/>
      <c r="AM382" s="102"/>
      <c r="AN382" s="102"/>
      <c r="AO382" s="102"/>
      <c r="AP382" s="102"/>
      <c r="AQ382" s="103"/>
      <c r="AR382" s="105">
        <f t="shared" si="684"/>
        <v>0</v>
      </c>
      <c r="AS382" s="131" t="s">
        <v>161</v>
      </c>
      <c r="AT382" s="132">
        <f t="shared" ref="AT382:AX382" si="685">SUM(AT379:AT381)</f>
        <v>0</v>
      </c>
      <c r="AU382" s="132">
        <f t="shared" si="685"/>
        <v>0</v>
      </c>
      <c r="AV382" s="132">
        <f t="shared" si="685"/>
        <v>0</v>
      </c>
      <c r="AW382" s="133">
        <f t="shared" si="685"/>
        <v>0</v>
      </c>
      <c r="AX382" s="127">
        <f t="shared" si="685"/>
        <v>0</v>
      </c>
      <c r="AY382" s="144" t="s">
        <v>161</v>
      </c>
      <c r="AZ382" s="140">
        <f t="shared" ref="AZ382:BB382" si="686">SUM(AZ379:AZ381)</f>
        <v>0</v>
      </c>
      <c r="BA382" s="140">
        <f t="shared" si="686"/>
        <v>0</v>
      </c>
      <c r="BB382" s="140">
        <f t="shared" si="686"/>
        <v>0</v>
      </c>
      <c r="BC382" s="479" t="s">
        <v>263</v>
      </c>
      <c r="BD382" s="480"/>
      <c r="BE382" s="15"/>
      <c r="BF382" s="18"/>
      <c r="BG382" s="15"/>
      <c r="BH382" s="18"/>
      <c r="BI382" s="15"/>
      <c r="BJ382" s="18"/>
      <c r="BK382" s="15"/>
      <c r="BL382" s="18"/>
      <c r="BM382" s="15"/>
      <c r="BN382" s="18"/>
      <c r="BO382" s="15"/>
      <c r="BP382" s="18"/>
      <c r="BQ382" s="109">
        <f t="shared" si="617"/>
        <v>0</v>
      </c>
      <c r="BR382" s="568"/>
      <c r="BS382" s="573"/>
      <c r="BT382" s="574"/>
      <c r="BU382" s="559"/>
      <c r="BV382" s="562"/>
      <c r="BW382" s="565"/>
      <c r="BX382" s="617"/>
    </row>
    <row r="383" spans="1:76" ht="15.75" thickTop="1" x14ac:dyDescent="0.25">
      <c r="A383" s="585">
        <v>94</v>
      </c>
      <c r="B383" s="588"/>
      <c r="C383" s="589"/>
      <c r="D383" s="604"/>
      <c r="E383" s="515"/>
      <c r="F383" s="516"/>
      <c r="G383" s="521"/>
      <c r="H383" s="522"/>
      <c r="I383" s="527"/>
      <c r="J383" s="528"/>
      <c r="K383" s="512"/>
      <c r="L383" s="533"/>
      <c r="M383" s="536"/>
      <c r="N383" s="539"/>
      <c r="O383" s="540"/>
      <c r="P383" s="481"/>
      <c r="Q383" s="482"/>
      <c r="R383" s="515"/>
      <c r="S383" s="516"/>
      <c r="T383" s="487"/>
      <c r="U383" s="488"/>
      <c r="V383" s="491"/>
      <c r="W383" s="481"/>
      <c r="X383" s="494"/>
      <c r="Y383" s="482"/>
      <c r="Z383" s="497"/>
      <c r="AA383" s="500" t="s">
        <v>335</v>
      </c>
      <c r="AB383" s="501"/>
      <c r="AC383" s="506" t="s">
        <v>257</v>
      </c>
      <c r="AD383" s="507"/>
      <c r="AE383" s="507"/>
      <c r="AF383" s="510"/>
      <c r="AG383" s="510"/>
      <c r="AH383" s="510"/>
      <c r="AI383" s="510"/>
      <c r="AJ383" s="510"/>
      <c r="AK383" s="510"/>
      <c r="AL383" s="510"/>
      <c r="AM383" s="510"/>
      <c r="AN383" s="510"/>
      <c r="AO383" s="510"/>
      <c r="AP383" s="510"/>
      <c r="AQ383" s="465"/>
      <c r="AR383" s="467">
        <f t="shared" ref="AR383" si="687">SUM(AF383:AQ384)</f>
        <v>0</v>
      </c>
      <c r="AS383" s="119" t="s">
        <v>257</v>
      </c>
      <c r="AT383" s="120"/>
      <c r="AU383" s="120"/>
      <c r="AV383" s="120"/>
      <c r="AW383" s="121"/>
      <c r="AX383" s="125">
        <f t="shared" ref="AX383:AX385" si="688">SUM(AT383:AW383)</f>
        <v>0</v>
      </c>
      <c r="AY383" s="141" t="s">
        <v>257</v>
      </c>
      <c r="AZ383" s="137"/>
      <c r="BA383" s="137"/>
      <c r="BB383" s="134">
        <f t="shared" ref="BB383:BB385" si="689">AZ383-BA383</f>
        <v>0</v>
      </c>
      <c r="BC383" s="469" t="s">
        <v>258</v>
      </c>
      <c r="BD383" s="470"/>
      <c r="BE383" s="13"/>
      <c r="BF383" s="16"/>
      <c r="BG383" s="13"/>
      <c r="BH383" s="16"/>
      <c r="BI383" s="13"/>
      <c r="BJ383" s="16"/>
      <c r="BK383" s="13"/>
      <c r="BL383" s="16"/>
      <c r="BM383" s="13"/>
      <c r="BN383" s="16"/>
      <c r="BO383" s="13"/>
      <c r="BP383" s="16"/>
      <c r="BQ383" s="106">
        <f t="shared" si="617"/>
        <v>0</v>
      </c>
      <c r="BR383" s="566"/>
      <c r="BS383" s="569"/>
      <c r="BT383" s="570"/>
      <c r="BU383" s="557"/>
      <c r="BV383" s="560"/>
      <c r="BW383" s="563"/>
      <c r="BX383" s="615"/>
    </row>
    <row r="384" spans="1:76" x14ac:dyDescent="0.25">
      <c r="A384" s="586"/>
      <c r="B384" s="590"/>
      <c r="C384" s="591"/>
      <c r="D384" s="605"/>
      <c r="E384" s="517"/>
      <c r="F384" s="518"/>
      <c r="G384" s="523"/>
      <c r="H384" s="524"/>
      <c r="I384" s="529"/>
      <c r="J384" s="530"/>
      <c r="K384" s="513"/>
      <c r="L384" s="534"/>
      <c r="M384" s="537"/>
      <c r="N384" s="541"/>
      <c r="O384" s="542"/>
      <c r="P384" s="483"/>
      <c r="Q384" s="484"/>
      <c r="R384" s="517"/>
      <c r="S384" s="518"/>
      <c r="T384" s="487"/>
      <c r="U384" s="488"/>
      <c r="V384" s="492"/>
      <c r="W384" s="483"/>
      <c r="X384" s="495"/>
      <c r="Y384" s="484"/>
      <c r="Z384" s="498"/>
      <c r="AA384" s="502"/>
      <c r="AB384" s="503"/>
      <c r="AC384" s="508"/>
      <c r="AD384" s="509"/>
      <c r="AE384" s="509"/>
      <c r="AF384" s="511"/>
      <c r="AG384" s="511"/>
      <c r="AH384" s="511"/>
      <c r="AI384" s="511"/>
      <c r="AJ384" s="511"/>
      <c r="AK384" s="511"/>
      <c r="AL384" s="511"/>
      <c r="AM384" s="511"/>
      <c r="AN384" s="511"/>
      <c r="AO384" s="511"/>
      <c r="AP384" s="511"/>
      <c r="AQ384" s="466"/>
      <c r="AR384" s="468"/>
      <c r="AS384" s="122" t="s">
        <v>259</v>
      </c>
      <c r="AT384" s="123"/>
      <c r="AU384" s="123"/>
      <c r="AV384" s="123"/>
      <c r="AW384" s="124"/>
      <c r="AX384" s="126">
        <f t="shared" si="688"/>
        <v>0</v>
      </c>
      <c r="AY384" s="142" t="s">
        <v>259</v>
      </c>
      <c r="AZ384" s="138"/>
      <c r="BA384" s="138"/>
      <c r="BB384" s="135">
        <f t="shared" si="689"/>
        <v>0</v>
      </c>
      <c r="BC384" s="474" t="s">
        <v>260</v>
      </c>
      <c r="BD384" s="475"/>
      <c r="BE384" s="14"/>
      <c r="BF384" s="17"/>
      <c r="BG384" s="14"/>
      <c r="BH384" s="17"/>
      <c r="BI384" s="14"/>
      <c r="BJ384" s="17"/>
      <c r="BK384" s="14"/>
      <c r="BL384" s="17"/>
      <c r="BM384" s="14"/>
      <c r="BN384" s="17"/>
      <c r="BO384" s="14"/>
      <c r="BP384" s="17"/>
      <c r="BQ384" s="107">
        <f t="shared" si="617"/>
        <v>0</v>
      </c>
      <c r="BR384" s="567"/>
      <c r="BS384" s="571"/>
      <c r="BT384" s="572"/>
      <c r="BU384" s="558"/>
      <c r="BV384" s="561"/>
      <c r="BW384" s="564"/>
      <c r="BX384" s="616"/>
    </row>
    <row r="385" spans="1:76" ht="15.75" thickBot="1" x14ac:dyDescent="0.3">
      <c r="A385" s="586"/>
      <c r="B385" s="590"/>
      <c r="C385" s="591"/>
      <c r="D385" s="605"/>
      <c r="E385" s="517"/>
      <c r="F385" s="518"/>
      <c r="G385" s="523"/>
      <c r="H385" s="524"/>
      <c r="I385" s="529"/>
      <c r="J385" s="530"/>
      <c r="K385" s="513"/>
      <c r="L385" s="534"/>
      <c r="M385" s="537"/>
      <c r="N385" s="541"/>
      <c r="O385" s="542"/>
      <c r="P385" s="483"/>
      <c r="Q385" s="484"/>
      <c r="R385" s="517"/>
      <c r="S385" s="518"/>
      <c r="T385" s="487"/>
      <c r="U385" s="488"/>
      <c r="V385" s="492"/>
      <c r="W385" s="483"/>
      <c r="X385" s="495"/>
      <c r="Y385" s="484"/>
      <c r="Z385" s="498"/>
      <c r="AA385" s="502"/>
      <c r="AB385" s="503"/>
      <c r="AC385" s="471" t="s">
        <v>259</v>
      </c>
      <c r="AD385" s="472"/>
      <c r="AE385" s="473"/>
      <c r="AF385" s="100"/>
      <c r="AG385" s="100"/>
      <c r="AH385" s="100"/>
      <c r="AI385" s="100"/>
      <c r="AJ385" s="100"/>
      <c r="AK385" s="100"/>
      <c r="AL385" s="100"/>
      <c r="AM385" s="100"/>
      <c r="AN385" s="100"/>
      <c r="AO385" s="100"/>
      <c r="AP385" s="100"/>
      <c r="AQ385" s="101"/>
      <c r="AR385" s="104">
        <f t="shared" ref="AR385:AR386" si="690">SUM(AF385:AQ385)</f>
        <v>0</v>
      </c>
      <c r="AS385" s="128" t="s">
        <v>261</v>
      </c>
      <c r="AT385" s="129"/>
      <c r="AU385" s="129"/>
      <c r="AV385" s="129"/>
      <c r="AW385" s="130"/>
      <c r="AX385" s="126">
        <f t="shared" si="688"/>
        <v>0</v>
      </c>
      <c r="AY385" s="143" t="s">
        <v>261</v>
      </c>
      <c r="AZ385" s="139"/>
      <c r="BA385" s="139"/>
      <c r="BB385" s="136">
        <f t="shared" si="689"/>
        <v>0</v>
      </c>
      <c r="BC385" s="474" t="s">
        <v>262</v>
      </c>
      <c r="BD385" s="475"/>
      <c r="BE385" s="14"/>
      <c r="BF385" s="17"/>
      <c r="BG385" s="14"/>
      <c r="BH385" s="17"/>
      <c r="BI385" s="14"/>
      <c r="BJ385" s="17"/>
      <c r="BK385" s="14"/>
      <c r="BL385" s="17"/>
      <c r="BM385" s="14"/>
      <c r="BN385" s="17"/>
      <c r="BO385" s="14"/>
      <c r="BP385" s="17"/>
      <c r="BQ385" s="108">
        <f t="shared" si="617"/>
        <v>0</v>
      </c>
      <c r="BR385" s="567"/>
      <c r="BS385" s="571"/>
      <c r="BT385" s="572"/>
      <c r="BU385" s="558"/>
      <c r="BV385" s="561"/>
      <c r="BW385" s="564"/>
      <c r="BX385" s="616"/>
    </row>
    <row r="386" spans="1:76" ht="15.75" thickBot="1" x14ac:dyDescent="0.3">
      <c r="A386" s="587"/>
      <c r="B386" s="592"/>
      <c r="C386" s="593"/>
      <c r="D386" s="606"/>
      <c r="E386" s="519"/>
      <c r="F386" s="520"/>
      <c r="G386" s="525"/>
      <c r="H386" s="526"/>
      <c r="I386" s="531"/>
      <c r="J386" s="532"/>
      <c r="K386" s="514"/>
      <c r="L386" s="535"/>
      <c r="M386" s="538"/>
      <c r="N386" s="543"/>
      <c r="O386" s="544"/>
      <c r="P386" s="485"/>
      <c r="Q386" s="486"/>
      <c r="R386" s="519"/>
      <c r="S386" s="520"/>
      <c r="T386" s="489"/>
      <c r="U386" s="490"/>
      <c r="V386" s="493"/>
      <c r="W386" s="485"/>
      <c r="X386" s="496"/>
      <c r="Y386" s="486"/>
      <c r="Z386" s="499"/>
      <c r="AA386" s="504"/>
      <c r="AB386" s="505"/>
      <c r="AC386" s="476" t="s">
        <v>261</v>
      </c>
      <c r="AD386" s="477"/>
      <c r="AE386" s="478"/>
      <c r="AF386" s="102"/>
      <c r="AG386" s="102"/>
      <c r="AH386" s="102"/>
      <c r="AI386" s="102"/>
      <c r="AJ386" s="102"/>
      <c r="AK386" s="102"/>
      <c r="AL386" s="102"/>
      <c r="AM386" s="102"/>
      <c r="AN386" s="102"/>
      <c r="AO386" s="102"/>
      <c r="AP386" s="102"/>
      <c r="AQ386" s="103"/>
      <c r="AR386" s="105">
        <f t="shared" si="690"/>
        <v>0</v>
      </c>
      <c r="AS386" s="131" t="s">
        <v>161</v>
      </c>
      <c r="AT386" s="132">
        <f t="shared" ref="AT386:AX386" si="691">SUM(AT383:AT385)</f>
        <v>0</v>
      </c>
      <c r="AU386" s="132">
        <f t="shared" si="691"/>
        <v>0</v>
      </c>
      <c r="AV386" s="132">
        <f t="shared" si="691"/>
        <v>0</v>
      </c>
      <c r="AW386" s="133">
        <f t="shared" si="691"/>
        <v>0</v>
      </c>
      <c r="AX386" s="127">
        <f t="shared" si="691"/>
        <v>0</v>
      </c>
      <c r="AY386" s="144" t="s">
        <v>161</v>
      </c>
      <c r="AZ386" s="140">
        <f t="shared" ref="AZ386:BB386" si="692">SUM(AZ383:AZ385)</f>
        <v>0</v>
      </c>
      <c r="BA386" s="140">
        <f t="shared" si="692"/>
        <v>0</v>
      </c>
      <c r="BB386" s="140">
        <f t="shared" si="692"/>
        <v>0</v>
      </c>
      <c r="BC386" s="479" t="s">
        <v>263</v>
      </c>
      <c r="BD386" s="480"/>
      <c r="BE386" s="15"/>
      <c r="BF386" s="18"/>
      <c r="BG386" s="15"/>
      <c r="BH386" s="18"/>
      <c r="BI386" s="15"/>
      <c r="BJ386" s="18"/>
      <c r="BK386" s="15"/>
      <c r="BL386" s="18"/>
      <c r="BM386" s="15"/>
      <c r="BN386" s="18"/>
      <c r="BO386" s="15"/>
      <c r="BP386" s="18"/>
      <c r="BQ386" s="109">
        <f t="shared" si="617"/>
        <v>0</v>
      </c>
      <c r="BR386" s="568"/>
      <c r="BS386" s="573"/>
      <c r="BT386" s="574"/>
      <c r="BU386" s="559"/>
      <c r="BV386" s="562"/>
      <c r="BW386" s="565"/>
      <c r="BX386" s="617"/>
    </row>
    <row r="387" spans="1:76" ht="15.75" thickTop="1" x14ac:dyDescent="0.25">
      <c r="A387" s="585">
        <v>95</v>
      </c>
      <c r="B387" s="588"/>
      <c r="C387" s="589"/>
      <c r="D387" s="604"/>
      <c r="E387" s="515"/>
      <c r="F387" s="516"/>
      <c r="G387" s="521"/>
      <c r="H387" s="522"/>
      <c r="I387" s="527"/>
      <c r="J387" s="528"/>
      <c r="K387" s="512"/>
      <c r="L387" s="533"/>
      <c r="M387" s="536"/>
      <c r="N387" s="539"/>
      <c r="O387" s="540"/>
      <c r="P387" s="481"/>
      <c r="Q387" s="482"/>
      <c r="R387" s="515"/>
      <c r="S387" s="516"/>
      <c r="T387" s="487"/>
      <c r="U387" s="488"/>
      <c r="V387" s="491"/>
      <c r="W387" s="481"/>
      <c r="X387" s="494"/>
      <c r="Y387" s="482"/>
      <c r="Z387" s="497"/>
      <c r="AA387" s="500" t="s">
        <v>336</v>
      </c>
      <c r="AB387" s="501"/>
      <c r="AC387" s="506" t="s">
        <v>257</v>
      </c>
      <c r="AD387" s="507"/>
      <c r="AE387" s="507"/>
      <c r="AF387" s="510"/>
      <c r="AG387" s="510"/>
      <c r="AH387" s="510"/>
      <c r="AI387" s="510"/>
      <c r="AJ387" s="510"/>
      <c r="AK387" s="510"/>
      <c r="AL387" s="510"/>
      <c r="AM387" s="510"/>
      <c r="AN387" s="510"/>
      <c r="AO387" s="510"/>
      <c r="AP387" s="510"/>
      <c r="AQ387" s="465"/>
      <c r="AR387" s="467">
        <f t="shared" ref="AR387" si="693">SUM(AF387:AQ388)</f>
        <v>0</v>
      </c>
      <c r="AS387" s="119" t="s">
        <v>257</v>
      </c>
      <c r="AT387" s="120"/>
      <c r="AU387" s="120"/>
      <c r="AV387" s="120"/>
      <c r="AW387" s="121"/>
      <c r="AX387" s="125">
        <f t="shared" ref="AX387:AX389" si="694">SUM(AT387:AW387)</f>
        <v>0</v>
      </c>
      <c r="AY387" s="141" t="s">
        <v>257</v>
      </c>
      <c r="AZ387" s="137"/>
      <c r="BA387" s="137"/>
      <c r="BB387" s="134">
        <f t="shared" ref="BB387:BB389" si="695">AZ387-BA387</f>
        <v>0</v>
      </c>
      <c r="BC387" s="469" t="s">
        <v>258</v>
      </c>
      <c r="BD387" s="470"/>
      <c r="BE387" s="13"/>
      <c r="BF387" s="16"/>
      <c r="BG387" s="13"/>
      <c r="BH387" s="16"/>
      <c r="BI387" s="13"/>
      <c r="BJ387" s="16"/>
      <c r="BK387" s="13"/>
      <c r="BL387" s="16"/>
      <c r="BM387" s="13"/>
      <c r="BN387" s="16"/>
      <c r="BO387" s="13"/>
      <c r="BP387" s="16"/>
      <c r="BQ387" s="106">
        <f t="shared" si="617"/>
        <v>0</v>
      </c>
      <c r="BR387" s="566"/>
      <c r="BS387" s="569"/>
      <c r="BT387" s="570"/>
      <c r="BU387" s="557"/>
      <c r="BV387" s="560"/>
      <c r="BW387" s="563"/>
      <c r="BX387" s="615"/>
    </row>
    <row r="388" spans="1:76" x14ac:dyDescent="0.25">
      <c r="A388" s="586"/>
      <c r="B388" s="590"/>
      <c r="C388" s="591"/>
      <c r="D388" s="605"/>
      <c r="E388" s="517"/>
      <c r="F388" s="518"/>
      <c r="G388" s="523"/>
      <c r="H388" s="524"/>
      <c r="I388" s="529"/>
      <c r="J388" s="530"/>
      <c r="K388" s="513"/>
      <c r="L388" s="534"/>
      <c r="M388" s="537"/>
      <c r="N388" s="541"/>
      <c r="O388" s="542"/>
      <c r="P388" s="483"/>
      <c r="Q388" s="484"/>
      <c r="R388" s="517"/>
      <c r="S388" s="518"/>
      <c r="T388" s="487"/>
      <c r="U388" s="488"/>
      <c r="V388" s="492"/>
      <c r="W388" s="483"/>
      <c r="X388" s="495"/>
      <c r="Y388" s="484"/>
      <c r="Z388" s="498"/>
      <c r="AA388" s="502"/>
      <c r="AB388" s="503"/>
      <c r="AC388" s="508"/>
      <c r="AD388" s="509"/>
      <c r="AE388" s="509"/>
      <c r="AF388" s="511"/>
      <c r="AG388" s="511"/>
      <c r="AH388" s="511"/>
      <c r="AI388" s="511"/>
      <c r="AJ388" s="511"/>
      <c r="AK388" s="511"/>
      <c r="AL388" s="511"/>
      <c r="AM388" s="511"/>
      <c r="AN388" s="511"/>
      <c r="AO388" s="511"/>
      <c r="AP388" s="511"/>
      <c r="AQ388" s="466"/>
      <c r="AR388" s="468"/>
      <c r="AS388" s="122" t="s">
        <v>259</v>
      </c>
      <c r="AT388" s="123"/>
      <c r="AU388" s="123"/>
      <c r="AV388" s="123"/>
      <c r="AW388" s="124"/>
      <c r="AX388" s="126">
        <f t="shared" si="694"/>
        <v>0</v>
      </c>
      <c r="AY388" s="142" t="s">
        <v>259</v>
      </c>
      <c r="AZ388" s="138"/>
      <c r="BA388" s="138"/>
      <c r="BB388" s="135">
        <f t="shared" si="695"/>
        <v>0</v>
      </c>
      <c r="BC388" s="474" t="s">
        <v>260</v>
      </c>
      <c r="BD388" s="475"/>
      <c r="BE388" s="14"/>
      <c r="BF388" s="17"/>
      <c r="BG388" s="14"/>
      <c r="BH388" s="17"/>
      <c r="BI388" s="14"/>
      <c r="BJ388" s="17"/>
      <c r="BK388" s="14"/>
      <c r="BL388" s="17"/>
      <c r="BM388" s="14"/>
      <c r="BN388" s="17"/>
      <c r="BO388" s="14"/>
      <c r="BP388" s="17"/>
      <c r="BQ388" s="107">
        <f t="shared" si="617"/>
        <v>0</v>
      </c>
      <c r="BR388" s="567"/>
      <c r="BS388" s="571"/>
      <c r="BT388" s="572"/>
      <c r="BU388" s="558"/>
      <c r="BV388" s="561"/>
      <c r="BW388" s="564"/>
      <c r="BX388" s="616"/>
    </row>
    <row r="389" spans="1:76" ht="15.75" thickBot="1" x14ac:dyDescent="0.3">
      <c r="A389" s="586"/>
      <c r="B389" s="590"/>
      <c r="C389" s="591"/>
      <c r="D389" s="605"/>
      <c r="E389" s="517"/>
      <c r="F389" s="518"/>
      <c r="G389" s="523"/>
      <c r="H389" s="524"/>
      <c r="I389" s="529"/>
      <c r="J389" s="530"/>
      <c r="K389" s="513"/>
      <c r="L389" s="534"/>
      <c r="M389" s="537"/>
      <c r="N389" s="541"/>
      <c r="O389" s="542"/>
      <c r="P389" s="483"/>
      <c r="Q389" s="484"/>
      <c r="R389" s="517"/>
      <c r="S389" s="518"/>
      <c r="T389" s="487"/>
      <c r="U389" s="488"/>
      <c r="V389" s="492"/>
      <c r="W389" s="483"/>
      <c r="X389" s="495"/>
      <c r="Y389" s="484"/>
      <c r="Z389" s="498"/>
      <c r="AA389" s="502"/>
      <c r="AB389" s="503"/>
      <c r="AC389" s="471" t="s">
        <v>259</v>
      </c>
      <c r="AD389" s="472"/>
      <c r="AE389" s="473"/>
      <c r="AF389" s="100"/>
      <c r="AG389" s="100"/>
      <c r="AH389" s="100"/>
      <c r="AI389" s="100"/>
      <c r="AJ389" s="100"/>
      <c r="AK389" s="100"/>
      <c r="AL389" s="100"/>
      <c r="AM389" s="100"/>
      <c r="AN389" s="100"/>
      <c r="AO389" s="100"/>
      <c r="AP389" s="100"/>
      <c r="AQ389" s="101"/>
      <c r="AR389" s="104">
        <f t="shared" ref="AR389:AR390" si="696">SUM(AF389:AQ389)</f>
        <v>0</v>
      </c>
      <c r="AS389" s="128" t="s">
        <v>261</v>
      </c>
      <c r="AT389" s="129"/>
      <c r="AU389" s="129"/>
      <c r="AV389" s="129"/>
      <c r="AW389" s="130"/>
      <c r="AX389" s="126">
        <f t="shared" si="694"/>
        <v>0</v>
      </c>
      <c r="AY389" s="143" t="s">
        <v>261</v>
      </c>
      <c r="AZ389" s="139"/>
      <c r="BA389" s="139"/>
      <c r="BB389" s="136">
        <f t="shared" si="695"/>
        <v>0</v>
      </c>
      <c r="BC389" s="474" t="s">
        <v>262</v>
      </c>
      <c r="BD389" s="475"/>
      <c r="BE389" s="14"/>
      <c r="BF389" s="17"/>
      <c r="BG389" s="14"/>
      <c r="BH389" s="17"/>
      <c r="BI389" s="14"/>
      <c r="BJ389" s="17"/>
      <c r="BK389" s="14"/>
      <c r="BL389" s="17"/>
      <c r="BM389" s="14"/>
      <c r="BN389" s="17"/>
      <c r="BO389" s="14"/>
      <c r="BP389" s="17"/>
      <c r="BQ389" s="108">
        <f t="shared" si="617"/>
        <v>0</v>
      </c>
      <c r="BR389" s="567"/>
      <c r="BS389" s="571"/>
      <c r="BT389" s="572"/>
      <c r="BU389" s="558"/>
      <c r="BV389" s="561"/>
      <c r="BW389" s="564"/>
      <c r="BX389" s="616"/>
    </row>
    <row r="390" spans="1:76" ht="15.75" thickBot="1" x14ac:dyDescent="0.3">
      <c r="A390" s="587"/>
      <c r="B390" s="592"/>
      <c r="C390" s="593"/>
      <c r="D390" s="606"/>
      <c r="E390" s="519"/>
      <c r="F390" s="520"/>
      <c r="G390" s="525"/>
      <c r="H390" s="526"/>
      <c r="I390" s="531"/>
      <c r="J390" s="532"/>
      <c r="K390" s="514"/>
      <c r="L390" s="535"/>
      <c r="M390" s="538"/>
      <c r="N390" s="543"/>
      <c r="O390" s="544"/>
      <c r="P390" s="485"/>
      <c r="Q390" s="486"/>
      <c r="R390" s="519"/>
      <c r="S390" s="520"/>
      <c r="T390" s="489"/>
      <c r="U390" s="490"/>
      <c r="V390" s="493"/>
      <c r="W390" s="485"/>
      <c r="X390" s="496"/>
      <c r="Y390" s="486"/>
      <c r="Z390" s="499"/>
      <c r="AA390" s="504"/>
      <c r="AB390" s="505"/>
      <c r="AC390" s="476" t="s">
        <v>261</v>
      </c>
      <c r="AD390" s="477"/>
      <c r="AE390" s="478"/>
      <c r="AF390" s="102"/>
      <c r="AG390" s="102"/>
      <c r="AH390" s="102"/>
      <c r="AI390" s="102"/>
      <c r="AJ390" s="102"/>
      <c r="AK390" s="102"/>
      <c r="AL390" s="102"/>
      <c r="AM390" s="102"/>
      <c r="AN390" s="102"/>
      <c r="AO390" s="102"/>
      <c r="AP390" s="102"/>
      <c r="AQ390" s="103"/>
      <c r="AR390" s="105">
        <f t="shared" si="696"/>
        <v>0</v>
      </c>
      <c r="AS390" s="131" t="s">
        <v>161</v>
      </c>
      <c r="AT390" s="132">
        <f t="shared" ref="AT390:AX390" si="697">SUM(AT387:AT389)</f>
        <v>0</v>
      </c>
      <c r="AU390" s="132">
        <f t="shared" si="697"/>
        <v>0</v>
      </c>
      <c r="AV390" s="132">
        <f t="shared" si="697"/>
        <v>0</v>
      </c>
      <c r="AW390" s="133">
        <f t="shared" si="697"/>
        <v>0</v>
      </c>
      <c r="AX390" s="127">
        <f t="shared" si="697"/>
        <v>0</v>
      </c>
      <c r="AY390" s="144" t="s">
        <v>161</v>
      </c>
      <c r="AZ390" s="140">
        <f t="shared" ref="AZ390:BB390" si="698">SUM(AZ387:AZ389)</f>
        <v>0</v>
      </c>
      <c r="BA390" s="140">
        <f t="shared" si="698"/>
        <v>0</v>
      </c>
      <c r="BB390" s="140">
        <f t="shared" si="698"/>
        <v>0</v>
      </c>
      <c r="BC390" s="479" t="s">
        <v>263</v>
      </c>
      <c r="BD390" s="480"/>
      <c r="BE390" s="15"/>
      <c r="BF390" s="18"/>
      <c r="BG390" s="15"/>
      <c r="BH390" s="18"/>
      <c r="BI390" s="15"/>
      <c r="BJ390" s="18"/>
      <c r="BK390" s="15"/>
      <c r="BL390" s="18"/>
      <c r="BM390" s="15"/>
      <c r="BN390" s="18"/>
      <c r="BO390" s="15"/>
      <c r="BP390" s="18"/>
      <c r="BQ390" s="109">
        <f t="shared" si="617"/>
        <v>0</v>
      </c>
      <c r="BR390" s="568"/>
      <c r="BS390" s="573"/>
      <c r="BT390" s="574"/>
      <c r="BU390" s="559"/>
      <c r="BV390" s="562"/>
      <c r="BW390" s="565"/>
      <c r="BX390" s="617"/>
    </row>
    <row r="391" spans="1:76" ht="15.75" thickTop="1" x14ac:dyDescent="0.25">
      <c r="A391" s="585">
        <v>96</v>
      </c>
      <c r="B391" s="588"/>
      <c r="C391" s="589"/>
      <c r="D391" s="604"/>
      <c r="E391" s="515"/>
      <c r="F391" s="516"/>
      <c r="G391" s="521"/>
      <c r="H391" s="522"/>
      <c r="I391" s="527"/>
      <c r="J391" s="528"/>
      <c r="K391" s="512"/>
      <c r="L391" s="533"/>
      <c r="M391" s="536"/>
      <c r="N391" s="539"/>
      <c r="O391" s="540"/>
      <c r="P391" s="481"/>
      <c r="Q391" s="482"/>
      <c r="R391" s="515"/>
      <c r="S391" s="516"/>
      <c r="T391" s="487"/>
      <c r="U391" s="488"/>
      <c r="V391" s="491"/>
      <c r="W391" s="481"/>
      <c r="X391" s="494"/>
      <c r="Y391" s="482"/>
      <c r="Z391" s="497"/>
      <c r="AA391" s="500" t="s">
        <v>337</v>
      </c>
      <c r="AB391" s="501"/>
      <c r="AC391" s="506" t="s">
        <v>257</v>
      </c>
      <c r="AD391" s="507"/>
      <c r="AE391" s="507"/>
      <c r="AF391" s="510"/>
      <c r="AG391" s="510"/>
      <c r="AH391" s="510"/>
      <c r="AI391" s="510"/>
      <c r="AJ391" s="510"/>
      <c r="AK391" s="510"/>
      <c r="AL391" s="510"/>
      <c r="AM391" s="510"/>
      <c r="AN391" s="510"/>
      <c r="AO391" s="510"/>
      <c r="AP391" s="510"/>
      <c r="AQ391" s="465"/>
      <c r="AR391" s="467">
        <f t="shared" ref="AR391" si="699">SUM(AF391:AQ392)</f>
        <v>0</v>
      </c>
      <c r="AS391" s="119" t="s">
        <v>257</v>
      </c>
      <c r="AT391" s="120"/>
      <c r="AU391" s="120"/>
      <c r="AV391" s="120"/>
      <c r="AW391" s="121"/>
      <c r="AX391" s="125">
        <f t="shared" ref="AX391:AX393" si="700">SUM(AT391:AW391)</f>
        <v>0</v>
      </c>
      <c r="AY391" s="141" t="s">
        <v>257</v>
      </c>
      <c r="AZ391" s="137"/>
      <c r="BA391" s="137"/>
      <c r="BB391" s="134">
        <f t="shared" ref="BB391:BB393" si="701">AZ391-BA391</f>
        <v>0</v>
      </c>
      <c r="BC391" s="469" t="s">
        <v>258</v>
      </c>
      <c r="BD391" s="470"/>
      <c r="BE391" s="13"/>
      <c r="BF391" s="16"/>
      <c r="BG391" s="13"/>
      <c r="BH391" s="16"/>
      <c r="BI391" s="13"/>
      <c r="BJ391" s="16"/>
      <c r="BK391" s="13"/>
      <c r="BL391" s="16"/>
      <c r="BM391" s="13"/>
      <c r="BN391" s="16"/>
      <c r="BO391" s="13"/>
      <c r="BP391" s="16"/>
      <c r="BQ391" s="106">
        <f t="shared" si="617"/>
        <v>0</v>
      </c>
      <c r="BR391" s="566"/>
      <c r="BS391" s="569"/>
      <c r="BT391" s="570"/>
      <c r="BU391" s="557"/>
      <c r="BV391" s="560"/>
      <c r="BW391" s="563"/>
      <c r="BX391" s="615"/>
    </row>
    <row r="392" spans="1:76" x14ac:dyDescent="0.25">
      <c r="A392" s="586"/>
      <c r="B392" s="590"/>
      <c r="C392" s="591"/>
      <c r="D392" s="605"/>
      <c r="E392" s="517"/>
      <c r="F392" s="518"/>
      <c r="G392" s="523"/>
      <c r="H392" s="524"/>
      <c r="I392" s="529"/>
      <c r="J392" s="530"/>
      <c r="K392" s="513"/>
      <c r="L392" s="534"/>
      <c r="M392" s="537"/>
      <c r="N392" s="541"/>
      <c r="O392" s="542"/>
      <c r="P392" s="483"/>
      <c r="Q392" s="484"/>
      <c r="R392" s="517"/>
      <c r="S392" s="518"/>
      <c r="T392" s="487"/>
      <c r="U392" s="488"/>
      <c r="V392" s="492"/>
      <c r="W392" s="483"/>
      <c r="X392" s="495"/>
      <c r="Y392" s="484"/>
      <c r="Z392" s="498"/>
      <c r="AA392" s="502"/>
      <c r="AB392" s="503"/>
      <c r="AC392" s="508"/>
      <c r="AD392" s="509"/>
      <c r="AE392" s="509"/>
      <c r="AF392" s="511"/>
      <c r="AG392" s="511"/>
      <c r="AH392" s="511"/>
      <c r="AI392" s="511"/>
      <c r="AJ392" s="511"/>
      <c r="AK392" s="511"/>
      <c r="AL392" s="511"/>
      <c r="AM392" s="511"/>
      <c r="AN392" s="511"/>
      <c r="AO392" s="511"/>
      <c r="AP392" s="511"/>
      <c r="AQ392" s="466"/>
      <c r="AR392" s="468"/>
      <c r="AS392" s="122" t="s">
        <v>259</v>
      </c>
      <c r="AT392" s="123"/>
      <c r="AU392" s="123"/>
      <c r="AV392" s="123"/>
      <c r="AW392" s="124"/>
      <c r="AX392" s="126">
        <f t="shared" si="700"/>
        <v>0</v>
      </c>
      <c r="AY392" s="142" t="s">
        <v>259</v>
      </c>
      <c r="AZ392" s="138"/>
      <c r="BA392" s="138"/>
      <c r="BB392" s="135">
        <f t="shared" si="701"/>
        <v>0</v>
      </c>
      <c r="BC392" s="474" t="s">
        <v>260</v>
      </c>
      <c r="BD392" s="475"/>
      <c r="BE392" s="14"/>
      <c r="BF392" s="17"/>
      <c r="BG392" s="14"/>
      <c r="BH392" s="17"/>
      <c r="BI392" s="14"/>
      <c r="BJ392" s="17"/>
      <c r="BK392" s="14"/>
      <c r="BL392" s="17"/>
      <c r="BM392" s="14"/>
      <c r="BN392" s="17"/>
      <c r="BO392" s="14"/>
      <c r="BP392" s="17"/>
      <c r="BQ392" s="107">
        <f t="shared" si="617"/>
        <v>0</v>
      </c>
      <c r="BR392" s="567"/>
      <c r="BS392" s="571"/>
      <c r="BT392" s="572"/>
      <c r="BU392" s="558"/>
      <c r="BV392" s="561"/>
      <c r="BW392" s="564"/>
      <c r="BX392" s="616"/>
    </row>
    <row r="393" spans="1:76" ht="15.75" thickBot="1" x14ac:dyDescent="0.3">
      <c r="A393" s="586"/>
      <c r="B393" s="590"/>
      <c r="C393" s="591"/>
      <c r="D393" s="605"/>
      <c r="E393" s="517"/>
      <c r="F393" s="518"/>
      <c r="G393" s="523"/>
      <c r="H393" s="524"/>
      <c r="I393" s="529"/>
      <c r="J393" s="530"/>
      <c r="K393" s="513"/>
      <c r="L393" s="534"/>
      <c r="M393" s="537"/>
      <c r="N393" s="541"/>
      <c r="O393" s="542"/>
      <c r="P393" s="483"/>
      <c r="Q393" s="484"/>
      <c r="R393" s="517"/>
      <c r="S393" s="518"/>
      <c r="T393" s="487"/>
      <c r="U393" s="488"/>
      <c r="V393" s="492"/>
      <c r="W393" s="483"/>
      <c r="X393" s="495"/>
      <c r="Y393" s="484"/>
      <c r="Z393" s="498"/>
      <c r="AA393" s="502"/>
      <c r="AB393" s="503"/>
      <c r="AC393" s="471" t="s">
        <v>259</v>
      </c>
      <c r="AD393" s="472"/>
      <c r="AE393" s="473"/>
      <c r="AF393" s="100"/>
      <c r="AG393" s="100"/>
      <c r="AH393" s="100"/>
      <c r="AI393" s="100"/>
      <c r="AJ393" s="100"/>
      <c r="AK393" s="100"/>
      <c r="AL393" s="100"/>
      <c r="AM393" s="100"/>
      <c r="AN393" s="100"/>
      <c r="AO393" s="100"/>
      <c r="AP393" s="100"/>
      <c r="AQ393" s="101"/>
      <c r="AR393" s="104">
        <f t="shared" ref="AR393:AR394" si="702">SUM(AF393:AQ393)</f>
        <v>0</v>
      </c>
      <c r="AS393" s="128" t="s">
        <v>261</v>
      </c>
      <c r="AT393" s="129"/>
      <c r="AU393" s="129"/>
      <c r="AV393" s="129"/>
      <c r="AW393" s="130"/>
      <c r="AX393" s="126">
        <f t="shared" si="700"/>
        <v>0</v>
      </c>
      <c r="AY393" s="143" t="s">
        <v>261</v>
      </c>
      <c r="AZ393" s="139"/>
      <c r="BA393" s="139"/>
      <c r="BB393" s="136">
        <f t="shared" si="701"/>
        <v>0</v>
      </c>
      <c r="BC393" s="474" t="s">
        <v>262</v>
      </c>
      <c r="BD393" s="475"/>
      <c r="BE393" s="14"/>
      <c r="BF393" s="17"/>
      <c r="BG393" s="14"/>
      <c r="BH393" s="17"/>
      <c r="BI393" s="14"/>
      <c r="BJ393" s="17"/>
      <c r="BK393" s="14"/>
      <c r="BL393" s="17"/>
      <c r="BM393" s="14"/>
      <c r="BN393" s="17"/>
      <c r="BO393" s="14"/>
      <c r="BP393" s="17"/>
      <c r="BQ393" s="108">
        <f t="shared" si="617"/>
        <v>0</v>
      </c>
      <c r="BR393" s="567"/>
      <c r="BS393" s="571"/>
      <c r="BT393" s="572"/>
      <c r="BU393" s="558"/>
      <c r="BV393" s="561"/>
      <c r="BW393" s="564"/>
      <c r="BX393" s="616"/>
    </row>
    <row r="394" spans="1:76" ht="15.75" thickBot="1" x14ac:dyDescent="0.3">
      <c r="A394" s="587"/>
      <c r="B394" s="592"/>
      <c r="C394" s="593"/>
      <c r="D394" s="606"/>
      <c r="E394" s="519"/>
      <c r="F394" s="520"/>
      <c r="G394" s="525"/>
      <c r="H394" s="526"/>
      <c r="I394" s="531"/>
      <c r="J394" s="532"/>
      <c r="K394" s="514"/>
      <c r="L394" s="535"/>
      <c r="M394" s="538"/>
      <c r="N394" s="543"/>
      <c r="O394" s="544"/>
      <c r="P394" s="485"/>
      <c r="Q394" s="486"/>
      <c r="R394" s="519"/>
      <c r="S394" s="520"/>
      <c r="T394" s="489"/>
      <c r="U394" s="490"/>
      <c r="V394" s="493"/>
      <c r="W394" s="485"/>
      <c r="X394" s="496"/>
      <c r="Y394" s="486"/>
      <c r="Z394" s="499"/>
      <c r="AA394" s="504"/>
      <c r="AB394" s="505"/>
      <c r="AC394" s="476" t="s">
        <v>261</v>
      </c>
      <c r="AD394" s="477"/>
      <c r="AE394" s="478"/>
      <c r="AF394" s="102"/>
      <c r="AG394" s="102"/>
      <c r="AH394" s="102"/>
      <c r="AI394" s="102"/>
      <c r="AJ394" s="102"/>
      <c r="AK394" s="102"/>
      <c r="AL394" s="102"/>
      <c r="AM394" s="102"/>
      <c r="AN394" s="102"/>
      <c r="AO394" s="102"/>
      <c r="AP394" s="102"/>
      <c r="AQ394" s="103"/>
      <c r="AR394" s="105">
        <f t="shared" si="702"/>
        <v>0</v>
      </c>
      <c r="AS394" s="131" t="s">
        <v>161</v>
      </c>
      <c r="AT394" s="132">
        <f t="shared" ref="AT394:AX394" si="703">SUM(AT391:AT393)</f>
        <v>0</v>
      </c>
      <c r="AU394" s="132">
        <f t="shared" si="703"/>
        <v>0</v>
      </c>
      <c r="AV394" s="132">
        <f t="shared" si="703"/>
        <v>0</v>
      </c>
      <c r="AW394" s="133">
        <f t="shared" si="703"/>
        <v>0</v>
      </c>
      <c r="AX394" s="127">
        <f t="shared" si="703"/>
        <v>0</v>
      </c>
      <c r="AY394" s="144" t="s">
        <v>161</v>
      </c>
      <c r="AZ394" s="140">
        <f t="shared" ref="AZ394:BB394" si="704">SUM(AZ391:AZ393)</f>
        <v>0</v>
      </c>
      <c r="BA394" s="140">
        <f t="shared" si="704"/>
        <v>0</v>
      </c>
      <c r="BB394" s="140">
        <f t="shared" si="704"/>
        <v>0</v>
      </c>
      <c r="BC394" s="479" t="s">
        <v>263</v>
      </c>
      <c r="BD394" s="480"/>
      <c r="BE394" s="15"/>
      <c r="BF394" s="18"/>
      <c r="BG394" s="15"/>
      <c r="BH394" s="18"/>
      <c r="BI394" s="15"/>
      <c r="BJ394" s="18"/>
      <c r="BK394" s="15"/>
      <c r="BL394" s="18"/>
      <c r="BM394" s="15"/>
      <c r="BN394" s="18"/>
      <c r="BO394" s="15"/>
      <c r="BP394" s="18"/>
      <c r="BQ394" s="109">
        <f t="shared" si="617"/>
        <v>0</v>
      </c>
      <c r="BR394" s="568"/>
      <c r="BS394" s="573"/>
      <c r="BT394" s="574"/>
      <c r="BU394" s="559"/>
      <c r="BV394" s="562"/>
      <c r="BW394" s="565"/>
      <c r="BX394" s="617"/>
    </row>
    <row r="395" spans="1:76" ht="15.75" thickTop="1" x14ac:dyDescent="0.25">
      <c r="A395" s="585">
        <v>97</v>
      </c>
      <c r="B395" s="588"/>
      <c r="C395" s="589"/>
      <c r="D395" s="604"/>
      <c r="E395" s="515"/>
      <c r="F395" s="516"/>
      <c r="G395" s="521"/>
      <c r="H395" s="522"/>
      <c r="I395" s="527"/>
      <c r="J395" s="528"/>
      <c r="K395" s="512"/>
      <c r="L395" s="533"/>
      <c r="M395" s="536"/>
      <c r="N395" s="539"/>
      <c r="O395" s="540"/>
      <c r="P395" s="481"/>
      <c r="Q395" s="482"/>
      <c r="R395" s="515"/>
      <c r="S395" s="516"/>
      <c r="T395" s="487"/>
      <c r="U395" s="488"/>
      <c r="V395" s="491"/>
      <c r="W395" s="481"/>
      <c r="X395" s="494"/>
      <c r="Y395" s="482"/>
      <c r="Z395" s="497"/>
      <c r="AA395" s="500" t="s">
        <v>338</v>
      </c>
      <c r="AB395" s="501"/>
      <c r="AC395" s="506" t="s">
        <v>257</v>
      </c>
      <c r="AD395" s="507"/>
      <c r="AE395" s="507"/>
      <c r="AF395" s="510"/>
      <c r="AG395" s="510"/>
      <c r="AH395" s="510"/>
      <c r="AI395" s="510"/>
      <c r="AJ395" s="510"/>
      <c r="AK395" s="510"/>
      <c r="AL395" s="510"/>
      <c r="AM395" s="510"/>
      <c r="AN395" s="510"/>
      <c r="AO395" s="510"/>
      <c r="AP395" s="510"/>
      <c r="AQ395" s="465"/>
      <c r="AR395" s="467">
        <f t="shared" ref="AR395" si="705">SUM(AF395:AQ396)</f>
        <v>0</v>
      </c>
      <c r="AS395" s="119" t="s">
        <v>257</v>
      </c>
      <c r="AT395" s="120"/>
      <c r="AU395" s="120"/>
      <c r="AV395" s="120"/>
      <c r="AW395" s="121"/>
      <c r="AX395" s="125">
        <f t="shared" ref="AX395:AX397" si="706">SUM(AT395:AW395)</f>
        <v>0</v>
      </c>
      <c r="AY395" s="141" t="s">
        <v>257</v>
      </c>
      <c r="AZ395" s="137"/>
      <c r="BA395" s="137"/>
      <c r="BB395" s="134">
        <f t="shared" ref="BB395:BB397" si="707">AZ395-BA395</f>
        <v>0</v>
      </c>
      <c r="BC395" s="469" t="s">
        <v>258</v>
      </c>
      <c r="BD395" s="470"/>
      <c r="BE395" s="13"/>
      <c r="BF395" s="16"/>
      <c r="BG395" s="13"/>
      <c r="BH395" s="16"/>
      <c r="BI395" s="13"/>
      <c r="BJ395" s="16"/>
      <c r="BK395" s="13"/>
      <c r="BL395" s="16"/>
      <c r="BM395" s="13"/>
      <c r="BN395" s="16"/>
      <c r="BO395" s="13"/>
      <c r="BP395" s="16"/>
      <c r="BQ395" s="106">
        <f t="shared" si="617"/>
        <v>0</v>
      </c>
      <c r="BR395" s="566"/>
      <c r="BS395" s="569"/>
      <c r="BT395" s="570"/>
      <c r="BU395" s="557"/>
      <c r="BV395" s="560"/>
      <c r="BW395" s="563"/>
      <c r="BX395" s="615"/>
    </row>
    <row r="396" spans="1:76" x14ac:dyDescent="0.25">
      <c r="A396" s="586"/>
      <c r="B396" s="590"/>
      <c r="C396" s="591"/>
      <c r="D396" s="605"/>
      <c r="E396" s="517"/>
      <c r="F396" s="518"/>
      <c r="G396" s="523"/>
      <c r="H396" s="524"/>
      <c r="I396" s="529"/>
      <c r="J396" s="530"/>
      <c r="K396" s="513"/>
      <c r="L396" s="534"/>
      <c r="M396" s="537"/>
      <c r="N396" s="541"/>
      <c r="O396" s="542"/>
      <c r="P396" s="483"/>
      <c r="Q396" s="484"/>
      <c r="R396" s="517"/>
      <c r="S396" s="518"/>
      <c r="T396" s="487"/>
      <c r="U396" s="488"/>
      <c r="V396" s="492"/>
      <c r="W396" s="483"/>
      <c r="X396" s="495"/>
      <c r="Y396" s="484"/>
      <c r="Z396" s="498"/>
      <c r="AA396" s="502"/>
      <c r="AB396" s="503"/>
      <c r="AC396" s="508"/>
      <c r="AD396" s="509"/>
      <c r="AE396" s="509"/>
      <c r="AF396" s="511"/>
      <c r="AG396" s="511"/>
      <c r="AH396" s="511"/>
      <c r="AI396" s="511"/>
      <c r="AJ396" s="511"/>
      <c r="AK396" s="511"/>
      <c r="AL396" s="511"/>
      <c r="AM396" s="511"/>
      <c r="AN396" s="511"/>
      <c r="AO396" s="511"/>
      <c r="AP396" s="511"/>
      <c r="AQ396" s="466"/>
      <c r="AR396" s="468"/>
      <c r="AS396" s="122" t="s">
        <v>259</v>
      </c>
      <c r="AT396" s="123"/>
      <c r="AU396" s="123"/>
      <c r="AV396" s="123"/>
      <c r="AW396" s="124"/>
      <c r="AX396" s="126">
        <f t="shared" si="706"/>
        <v>0</v>
      </c>
      <c r="AY396" s="142" t="s">
        <v>259</v>
      </c>
      <c r="AZ396" s="138"/>
      <c r="BA396" s="138"/>
      <c r="BB396" s="135">
        <f t="shared" si="707"/>
        <v>0</v>
      </c>
      <c r="BC396" s="474" t="s">
        <v>260</v>
      </c>
      <c r="BD396" s="475"/>
      <c r="BE396" s="14"/>
      <c r="BF396" s="17"/>
      <c r="BG396" s="14"/>
      <c r="BH396" s="17"/>
      <c r="BI396" s="14"/>
      <c r="BJ396" s="17"/>
      <c r="BK396" s="14"/>
      <c r="BL396" s="17"/>
      <c r="BM396" s="14"/>
      <c r="BN396" s="17"/>
      <c r="BO396" s="14"/>
      <c r="BP396" s="17"/>
      <c r="BQ396" s="107">
        <f t="shared" si="617"/>
        <v>0</v>
      </c>
      <c r="BR396" s="567"/>
      <c r="BS396" s="571"/>
      <c r="BT396" s="572"/>
      <c r="BU396" s="558"/>
      <c r="BV396" s="561"/>
      <c r="BW396" s="564"/>
      <c r="BX396" s="616"/>
    </row>
    <row r="397" spans="1:76" ht="15.75" thickBot="1" x14ac:dyDescent="0.3">
      <c r="A397" s="586"/>
      <c r="B397" s="590"/>
      <c r="C397" s="591"/>
      <c r="D397" s="605"/>
      <c r="E397" s="517"/>
      <c r="F397" s="518"/>
      <c r="G397" s="523"/>
      <c r="H397" s="524"/>
      <c r="I397" s="529"/>
      <c r="J397" s="530"/>
      <c r="K397" s="513"/>
      <c r="L397" s="534"/>
      <c r="M397" s="537"/>
      <c r="N397" s="541"/>
      <c r="O397" s="542"/>
      <c r="P397" s="483"/>
      <c r="Q397" s="484"/>
      <c r="R397" s="517"/>
      <c r="S397" s="518"/>
      <c r="T397" s="487"/>
      <c r="U397" s="488"/>
      <c r="V397" s="492"/>
      <c r="W397" s="483"/>
      <c r="X397" s="495"/>
      <c r="Y397" s="484"/>
      <c r="Z397" s="498"/>
      <c r="AA397" s="502"/>
      <c r="AB397" s="503"/>
      <c r="AC397" s="471" t="s">
        <v>259</v>
      </c>
      <c r="AD397" s="472"/>
      <c r="AE397" s="473"/>
      <c r="AF397" s="100"/>
      <c r="AG397" s="100"/>
      <c r="AH397" s="100"/>
      <c r="AI397" s="100"/>
      <c r="AJ397" s="100"/>
      <c r="AK397" s="100"/>
      <c r="AL397" s="100"/>
      <c r="AM397" s="100"/>
      <c r="AN397" s="100"/>
      <c r="AO397" s="100"/>
      <c r="AP397" s="100"/>
      <c r="AQ397" s="101"/>
      <c r="AR397" s="104">
        <f t="shared" ref="AR397:AR398" si="708">SUM(AF397:AQ397)</f>
        <v>0</v>
      </c>
      <c r="AS397" s="128" t="s">
        <v>261</v>
      </c>
      <c r="AT397" s="129"/>
      <c r="AU397" s="129"/>
      <c r="AV397" s="129"/>
      <c r="AW397" s="130"/>
      <c r="AX397" s="126">
        <f t="shared" si="706"/>
        <v>0</v>
      </c>
      <c r="AY397" s="143" t="s">
        <v>261</v>
      </c>
      <c r="AZ397" s="139"/>
      <c r="BA397" s="139"/>
      <c r="BB397" s="136">
        <f t="shared" si="707"/>
        <v>0</v>
      </c>
      <c r="BC397" s="474" t="s">
        <v>262</v>
      </c>
      <c r="BD397" s="475"/>
      <c r="BE397" s="14"/>
      <c r="BF397" s="17"/>
      <c r="BG397" s="14"/>
      <c r="BH397" s="17"/>
      <c r="BI397" s="14"/>
      <c r="BJ397" s="17"/>
      <c r="BK397" s="14"/>
      <c r="BL397" s="17"/>
      <c r="BM397" s="14"/>
      <c r="BN397" s="17"/>
      <c r="BO397" s="14"/>
      <c r="BP397" s="17"/>
      <c r="BQ397" s="108">
        <f t="shared" si="617"/>
        <v>0</v>
      </c>
      <c r="BR397" s="567"/>
      <c r="BS397" s="571"/>
      <c r="BT397" s="572"/>
      <c r="BU397" s="558"/>
      <c r="BV397" s="561"/>
      <c r="BW397" s="564"/>
      <c r="BX397" s="616"/>
    </row>
    <row r="398" spans="1:76" ht="15.75" thickBot="1" x14ac:dyDescent="0.3">
      <c r="A398" s="587"/>
      <c r="B398" s="592"/>
      <c r="C398" s="593"/>
      <c r="D398" s="606"/>
      <c r="E398" s="519"/>
      <c r="F398" s="520"/>
      <c r="G398" s="525"/>
      <c r="H398" s="526"/>
      <c r="I398" s="531"/>
      <c r="J398" s="532"/>
      <c r="K398" s="514"/>
      <c r="L398" s="535"/>
      <c r="M398" s="538"/>
      <c r="N398" s="543"/>
      <c r="O398" s="544"/>
      <c r="P398" s="485"/>
      <c r="Q398" s="486"/>
      <c r="R398" s="519"/>
      <c r="S398" s="520"/>
      <c r="T398" s="489"/>
      <c r="U398" s="490"/>
      <c r="V398" s="493"/>
      <c r="W398" s="485"/>
      <c r="X398" s="496"/>
      <c r="Y398" s="486"/>
      <c r="Z398" s="499"/>
      <c r="AA398" s="504"/>
      <c r="AB398" s="505"/>
      <c r="AC398" s="476" t="s">
        <v>261</v>
      </c>
      <c r="AD398" s="477"/>
      <c r="AE398" s="478"/>
      <c r="AF398" s="102"/>
      <c r="AG398" s="102"/>
      <c r="AH398" s="102"/>
      <c r="AI398" s="102"/>
      <c r="AJ398" s="102"/>
      <c r="AK398" s="102"/>
      <c r="AL398" s="102"/>
      <c r="AM398" s="102"/>
      <c r="AN398" s="102"/>
      <c r="AO398" s="102"/>
      <c r="AP398" s="102"/>
      <c r="AQ398" s="103"/>
      <c r="AR398" s="105">
        <f t="shared" si="708"/>
        <v>0</v>
      </c>
      <c r="AS398" s="131" t="s">
        <v>161</v>
      </c>
      <c r="AT398" s="132">
        <f t="shared" ref="AT398:AX398" si="709">SUM(AT395:AT397)</f>
        <v>0</v>
      </c>
      <c r="AU398" s="132">
        <f t="shared" si="709"/>
        <v>0</v>
      </c>
      <c r="AV398" s="132">
        <f t="shared" si="709"/>
        <v>0</v>
      </c>
      <c r="AW398" s="133">
        <f t="shared" si="709"/>
        <v>0</v>
      </c>
      <c r="AX398" s="127">
        <f t="shared" si="709"/>
        <v>0</v>
      </c>
      <c r="AY398" s="144" t="s">
        <v>161</v>
      </c>
      <c r="AZ398" s="140">
        <f t="shared" ref="AZ398:BB398" si="710">SUM(AZ395:AZ397)</f>
        <v>0</v>
      </c>
      <c r="BA398" s="140">
        <f t="shared" si="710"/>
        <v>0</v>
      </c>
      <c r="BB398" s="140">
        <f t="shared" si="710"/>
        <v>0</v>
      </c>
      <c r="BC398" s="479" t="s">
        <v>263</v>
      </c>
      <c r="BD398" s="480"/>
      <c r="BE398" s="15"/>
      <c r="BF398" s="18"/>
      <c r="BG398" s="15"/>
      <c r="BH398" s="18"/>
      <c r="BI398" s="15"/>
      <c r="BJ398" s="18"/>
      <c r="BK398" s="15"/>
      <c r="BL398" s="18"/>
      <c r="BM398" s="15"/>
      <c r="BN398" s="18"/>
      <c r="BO398" s="15"/>
      <c r="BP398" s="18"/>
      <c r="BQ398" s="109">
        <f t="shared" si="617"/>
        <v>0</v>
      </c>
      <c r="BR398" s="568"/>
      <c r="BS398" s="573"/>
      <c r="BT398" s="574"/>
      <c r="BU398" s="559"/>
      <c r="BV398" s="562"/>
      <c r="BW398" s="565"/>
      <c r="BX398" s="617"/>
    </row>
    <row r="399" spans="1:76" ht="15.75" thickTop="1" x14ac:dyDescent="0.25">
      <c r="A399" s="585">
        <v>98</v>
      </c>
      <c r="B399" s="588"/>
      <c r="C399" s="589"/>
      <c r="D399" s="604"/>
      <c r="E399" s="515"/>
      <c r="F399" s="516"/>
      <c r="G399" s="521"/>
      <c r="H399" s="522"/>
      <c r="I399" s="527"/>
      <c r="J399" s="528"/>
      <c r="K399" s="512"/>
      <c r="L399" s="533"/>
      <c r="M399" s="536"/>
      <c r="N399" s="539"/>
      <c r="O399" s="540"/>
      <c r="P399" s="481"/>
      <c r="Q399" s="482"/>
      <c r="R399" s="515"/>
      <c r="S399" s="516"/>
      <c r="T399" s="487"/>
      <c r="U399" s="488"/>
      <c r="V399" s="491"/>
      <c r="W399" s="481"/>
      <c r="X399" s="494"/>
      <c r="Y399" s="482"/>
      <c r="Z399" s="497"/>
      <c r="AA399" s="500" t="s">
        <v>339</v>
      </c>
      <c r="AB399" s="501"/>
      <c r="AC399" s="506" t="s">
        <v>257</v>
      </c>
      <c r="AD399" s="507"/>
      <c r="AE399" s="507"/>
      <c r="AF399" s="510"/>
      <c r="AG399" s="510"/>
      <c r="AH399" s="510"/>
      <c r="AI399" s="510"/>
      <c r="AJ399" s="510"/>
      <c r="AK399" s="510"/>
      <c r="AL399" s="510"/>
      <c r="AM399" s="510"/>
      <c r="AN399" s="510"/>
      <c r="AO399" s="510"/>
      <c r="AP399" s="510"/>
      <c r="AQ399" s="465"/>
      <c r="AR399" s="467">
        <f t="shared" ref="AR399" si="711">SUM(AF399:AQ400)</f>
        <v>0</v>
      </c>
      <c r="AS399" s="119" t="s">
        <v>257</v>
      </c>
      <c r="AT399" s="120"/>
      <c r="AU399" s="120"/>
      <c r="AV399" s="120"/>
      <c r="AW399" s="121"/>
      <c r="AX399" s="125">
        <f t="shared" ref="AX399:AX401" si="712">SUM(AT399:AW399)</f>
        <v>0</v>
      </c>
      <c r="AY399" s="141" t="s">
        <v>257</v>
      </c>
      <c r="AZ399" s="137"/>
      <c r="BA399" s="137"/>
      <c r="BB399" s="134">
        <f t="shared" ref="BB399:BB401" si="713">AZ399-BA399</f>
        <v>0</v>
      </c>
      <c r="BC399" s="469" t="s">
        <v>258</v>
      </c>
      <c r="BD399" s="470"/>
      <c r="BE399" s="13"/>
      <c r="BF399" s="16"/>
      <c r="BG399" s="13"/>
      <c r="BH399" s="16"/>
      <c r="BI399" s="13"/>
      <c r="BJ399" s="16"/>
      <c r="BK399" s="13"/>
      <c r="BL399" s="16"/>
      <c r="BM399" s="13"/>
      <c r="BN399" s="16"/>
      <c r="BO399" s="13"/>
      <c r="BP399" s="16"/>
      <c r="BQ399" s="106">
        <f t="shared" ref="BQ399:BQ426" si="714">SUM(BE399:BP399)</f>
        <v>0</v>
      </c>
      <c r="BR399" s="566"/>
      <c r="BS399" s="569"/>
      <c r="BT399" s="570"/>
      <c r="BU399" s="557"/>
      <c r="BV399" s="560"/>
      <c r="BW399" s="563"/>
      <c r="BX399" s="615"/>
    </row>
    <row r="400" spans="1:76" x14ac:dyDescent="0.25">
      <c r="A400" s="586"/>
      <c r="B400" s="590"/>
      <c r="C400" s="591"/>
      <c r="D400" s="605"/>
      <c r="E400" s="517"/>
      <c r="F400" s="518"/>
      <c r="G400" s="523"/>
      <c r="H400" s="524"/>
      <c r="I400" s="529"/>
      <c r="J400" s="530"/>
      <c r="K400" s="513"/>
      <c r="L400" s="534"/>
      <c r="M400" s="537"/>
      <c r="N400" s="541"/>
      <c r="O400" s="542"/>
      <c r="P400" s="483"/>
      <c r="Q400" s="484"/>
      <c r="R400" s="517"/>
      <c r="S400" s="518"/>
      <c r="T400" s="487"/>
      <c r="U400" s="488"/>
      <c r="V400" s="492"/>
      <c r="W400" s="483"/>
      <c r="X400" s="495"/>
      <c r="Y400" s="484"/>
      <c r="Z400" s="498"/>
      <c r="AA400" s="502"/>
      <c r="AB400" s="503"/>
      <c r="AC400" s="508"/>
      <c r="AD400" s="509"/>
      <c r="AE400" s="509"/>
      <c r="AF400" s="511"/>
      <c r="AG400" s="511"/>
      <c r="AH400" s="511"/>
      <c r="AI400" s="511"/>
      <c r="AJ400" s="511"/>
      <c r="AK400" s="511"/>
      <c r="AL400" s="511"/>
      <c r="AM400" s="511"/>
      <c r="AN400" s="511"/>
      <c r="AO400" s="511"/>
      <c r="AP400" s="511"/>
      <c r="AQ400" s="466"/>
      <c r="AR400" s="468"/>
      <c r="AS400" s="122" t="s">
        <v>259</v>
      </c>
      <c r="AT400" s="123"/>
      <c r="AU400" s="123"/>
      <c r="AV400" s="123"/>
      <c r="AW400" s="124"/>
      <c r="AX400" s="126">
        <f t="shared" si="712"/>
        <v>0</v>
      </c>
      <c r="AY400" s="142" t="s">
        <v>259</v>
      </c>
      <c r="AZ400" s="138"/>
      <c r="BA400" s="138"/>
      <c r="BB400" s="135">
        <f t="shared" si="713"/>
        <v>0</v>
      </c>
      <c r="BC400" s="474" t="s">
        <v>260</v>
      </c>
      <c r="BD400" s="475"/>
      <c r="BE400" s="14"/>
      <c r="BF400" s="17"/>
      <c r="BG400" s="14"/>
      <c r="BH400" s="17"/>
      <c r="BI400" s="14"/>
      <c r="BJ400" s="17"/>
      <c r="BK400" s="14"/>
      <c r="BL400" s="17"/>
      <c r="BM400" s="14"/>
      <c r="BN400" s="17"/>
      <c r="BO400" s="14"/>
      <c r="BP400" s="17"/>
      <c r="BQ400" s="107">
        <f t="shared" si="714"/>
        <v>0</v>
      </c>
      <c r="BR400" s="567"/>
      <c r="BS400" s="571"/>
      <c r="BT400" s="572"/>
      <c r="BU400" s="558"/>
      <c r="BV400" s="561"/>
      <c r="BW400" s="564"/>
      <c r="BX400" s="616"/>
    </row>
    <row r="401" spans="1:76" ht="15.75" thickBot="1" x14ac:dyDescent="0.3">
      <c r="A401" s="586"/>
      <c r="B401" s="590"/>
      <c r="C401" s="591"/>
      <c r="D401" s="605"/>
      <c r="E401" s="517"/>
      <c r="F401" s="518"/>
      <c r="G401" s="523"/>
      <c r="H401" s="524"/>
      <c r="I401" s="529"/>
      <c r="J401" s="530"/>
      <c r="K401" s="513"/>
      <c r="L401" s="534"/>
      <c r="M401" s="537"/>
      <c r="N401" s="541"/>
      <c r="O401" s="542"/>
      <c r="P401" s="483"/>
      <c r="Q401" s="484"/>
      <c r="R401" s="517"/>
      <c r="S401" s="518"/>
      <c r="T401" s="487"/>
      <c r="U401" s="488"/>
      <c r="V401" s="492"/>
      <c r="W401" s="483"/>
      <c r="X401" s="495"/>
      <c r="Y401" s="484"/>
      <c r="Z401" s="498"/>
      <c r="AA401" s="502"/>
      <c r="AB401" s="503"/>
      <c r="AC401" s="471" t="s">
        <v>259</v>
      </c>
      <c r="AD401" s="472"/>
      <c r="AE401" s="473"/>
      <c r="AF401" s="100"/>
      <c r="AG401" s="100"/>
      <c r="AH401" s="100"/>
      <c r="AI401" s="100"/>
      <c r="AJ401" s="100"/>
      <c r="AK401" s="100"/>
      <c r="AL401" s="100"/>
      <c r="AM401" s="100"/>
      <c r="AN401" s="100"/>
      <c r="AO401" s="100"/>
      <c r="AP401" s="100"/>
      <c r="AQ401" s="101"/>
      <c r="AR401" s="104">
        <f t="shared" ref="AR401:AR402" si="715">SUM(AF401:AQ401)</f>
        <v>0</v>
      </c>
      <c r="AS401" s="128" t="s">
        <v>261</v>
      </c>
      <c r="AT401" s="129"/>
      <c r="AU401" s="129"/>
      <c r="AV401" s="129"/>
      <c r="AW401" s="130"/>
      <c r="AX401" s="126">
        <f t="shared" si="712"/>
        <v>0</v>
      </c>
      <c r="AY401" s="143" t="s">
        <v>261</v>
      </c>
      <c r="AZ401" s="139"/>
      <c r="BA401" s="139"/>
      <c r="BB401" s="136">
        <f t="shared" si="713"/>
        <v>0</v>
      </c>
      <c r="BC401" s="474" t="s">
        <v>262</v>
      </c>
      <c r="BD401" s="475"/>
      <c r="BE401" s="14"/>
      <c r="BF401" s="17"/>
      <c r="BG401" s="14"/>
      <c r="BH401" s="17"/>
      <c r="BI401" s="14"/>
      <c r="BJ401" s="17"/>
      <c r="BK401" s="14"/>
      <c r="BL401" s="17"/>
      <c r="BM401" s="14"/>
      <c r="BN401" s="17"/>
      <c r="BO401" s="14"/>
      <c r="BP401" s="17"/>
      <c r="BQ401" s="108">
        <f t="shared" si="714"/>
        <v>0</v>
      </c>
      <c r="BR401" s="567"/>
      <c r="BS401" s="571"/>
      <c r="BT401" s="572"/>
      <c r="BU401" s="558"/>
      <c r="BV401" s="561"/>
      <c r="BW401" s="564"/>
      <c r="BX401" s="616"/>
    </row>
    <row r="402" spans="1:76" ht="15.75" thickBot="1" x14ac:dyDescent="0.3">
      <c r="A402" s="587"/>
      <c r="B402" s="592"/>
      <c r="C402" s="593"/>
      <c r="D402" s="606"/>
      <c r="E402" s="519"/>
      <c r="F402" s="520"/>
      <c r="G402" s="525"/>
      <c r="H402" s="526"/>
      <c r="I402" s="531"/>
      <c r="J402" s="532"/>
      <c r="K402" s="514"/>
      <c r="L402" s="535"/>
      <c r="M402" s="538"/>
      <c r="N402" s="543"/>
      <c r="O402" s="544"/>
      <c r="P402" s="485"/>
      <c r="Q402" s="486"/>
      <c r="R402" s="519"/>
      <c r="S402" s="520"/>
      <c r="T402" s="489"/>
      <c r="U402" s="490"/>
      <c r="V402" s="493"/>
      <c r="W402" s="485"/>
      <c r="X402" s="496"/>
      <c r="Y402" s="486"/>
      <c r="Z402" s="499"/>
      <c r="AA402" s="504"/>
      <c r="AB402" s="505"/>
      <c r="AC402" s="476" t="s">
        <v>261</v>
      </c>
      <c r="AD402" s="477"/>
      <c r="AE402" s="478"/>
      <c r="AF402" s="102"/>
      <c r="AG402" s="102"/>
      <c r="AH402" s="102"/>
      <c r="AI402" s="102"/>
      <c r="AJ402" s="102"/>
      <c r="AK402" s="102"/>
      <c r="AL402" s="102"/>
      <c r="AM402" s="102"/>
      <c r="AN402" s="102"/>
      <c r="AO402" s="102"/>
      <c r="AP402" s="102"/>
      <c r="AQ402" s="103"/>
      <c r="AR402" s="105">
        <f t="shared" si="715"/>
        <v>0</v>
      </c>
      <c r="AS402" s="131" t="s">
        <v>161</v>
      </c>
      <c r="AT402" s="132">
        <f t="shared" ref="AT402:AX402" si="716">SUM(AT399:AT401)</f>
        <v>0</v>
      </c>
      <c r="AU402" s="132">
        <f t="shared" si="716"/>
        <v>0</v>
      </c>
      <c r="AV402" s="132">
        <f t="shared" si="716"/>
        <v>0</v>
      </c>
      <c r="AW402" s="133">
        <f t="shared" si="716"/>
        <v>0</v>
      </c>
      <c r="AX402" s="127">
        <f t="shared" si="716"/>
        <v>0</v>
      </c>
      <c r="AY402" s="144" t="s">
        <v>161</v>
      </c>
      <c r="AZ402" s="140">
        <f t="shared" ref="AZ402:BB402" si="717">SUM(AZ399:AZ401)</f>
        <v>0</v>
      </c>
      <c r="BA402" s="140">
        <f t="shared" si="717"/>
        <v>0</v>
      </c>
      <c r="BB402" s="140">
        <f t="shared" si="717"/>
        <v>0</v>
      </c>
      <c r="BC402" s="479" t="s">
        <v>263</v>
      </c>
      <c r="BD402" s="480"/>
      <c r="BE402" s="15"/>
      <c r="BF402" s="18"/>
      <c r="BG402" s="15"/>
      <c r="BH402" s="18"/>
      <c r="BI402" s="15"/>
      <c r="BJ402" s="18"/>
      <c r="BK402" s="15"/>
      <c r="BL402" s="18"/>
      <c r="BM402" s="15"/>
      <c r="BN402" s="18"/>
      <c r="BO402" s="15"/>
      <c r="BP402" s="18"/>
      <c r="BQ402" s="109">
        <f t="shared" si="714"/>
        <v>0</v>
      </c>
      <c r="BR402" s="568"/>
      <c r="BS402" s="573"/>
      <c r="BT402" s="574"/>
      <c r="BU402" s="559"/>
      <c r="BV402" s="562"/>
      <c r="BW402" s="565"/>
      <c r="BX402" s="617"/>
    </row>
    <row r="403" spans="1:76" ht="15.75" thickTop="1" x14ac:dyDescent="0.25">
      <c r="A403" s="585">
        <v>99</v>
      </c>
      <c r="B403" s="588"/>
      <c r="C403" s="589"/>
      <c r="D403" s="604"/>
      <c r="E403" s="515"/>
      <c r="F403" s="516"/>
      <c r="G403" s="521"/>
      <c r="H403" s="522"/>
      <c r="I403" s="527"/>
      <c r="J403" s="528"/>
      <c r="K403" s="512"/>
      <c r="L403" s="533"/>
      <c r="M403" s="536"/>
      <c r="N403" s="539"/>
      <c r="O403" s="540"/>
      <c r="P403" s="481"/>
      <c r="Q403" s="482"/>
      <c r="R403" s="515"/>
      <c r="S403" s="516"/>
      <c r="T403" s="487"/>
      <c r="U403" s="488"/>
      <c r="V403" s="491"/>
      <c r="W403" s="481"/>
      <c r="X403" s="494"/>
      <c r="Y403" s="482"/>
      <c r="Z403" s="497"/>
      <c r="AA403" s="500" t="s">
        <v>340</v>
      </c>
      <c r="AB403" s="501"/>
      <c r="AC403" s="506" t="s">
        <v>257</v>
      </c>
      <c r="AD403" s="507"/>
      <c r="AE403" s="507"/>
      <c r="AF403" s="510"/>
      <c r="AG403" s="510"/>
      <c r="AH403" s="510"/>
      <c r="AI403" s="510"/>
      <c r="AJ403" s="510"/>
      <c r="AK403" s="510"/>
      <c r="AL403" s="510"/>
      <c r="AM403" s="510"/>
      <c r="AN403" s="510"/>
      <c r="AO403" s="510"/>
      <c r="AP403" s="510"/>
      <c r="AQ403" s="465"/>
      <c r="AR403" s="467">
        <f t="shared" ref="AR403" si="718">SUM(AF403:AQ404)</f>
        <v>0</v>
      </c>
      <c r="AS403" s="119" t="s">
        <v>257</v>
      </c>
      <c r="AT403" s="120"/>
      <c r="AU403" s="120"/>
      <c r="AV403" s="120"/>
      <c r="AW403" s="121"/>
      <c r="AX403" s="125">
        <f t="shared" ref="AX403:AX405" si="719">SUM(AT403:AW403)</f>
        <v>0</v>
      </c>
      <c r="AY403" s="141" t="s">
        <v>257</v>
      </c>
      <c r="AZ403" s="137"/>
      <c r="BA403" s="137"/>
      <c r="BB403" s="134">
        <f t="shared" ref="BB403:BB405" si="720">AZ403-BA403</f>
        <v>0</v>
      </c>
      <c r="BC403" s="469" t="s">
        <v>258</v>
      </c>
      <c r="BD403" s="470"/>
      <c r="BE403" s="13"/>
      <c r="BF403" s="16"/>
      <c r="BG403" s="13"/>
      <c r="BH403" s="16"/>
      <c r="BI403" s="13"/>
      <c r="BJ403" s="16"/>
      <c r="BK403" s="13"/>
      <c r="BL403" s="16"/>
      <c r="BM403" s="13"/>
      <c r="BN403" s="16"/>
      <c r="BO403" s="13"/>
      <c r="BP403" s="16"/>
      <c r="BQ403" s="106">
        <f t="shared" si="714"/>
        <v>0</v>
      </c>
      <c r="BR403" s="566"/>
      <c r="BS403" s="569"/>
      <c r="BT403" s="570"/>
      <c r="BU403" s="557"/>
      <c r="BV403" s="560"/>
      <c r="BW403" s="563"/>
      <c r="BX403" s="615"/>
    </row>
    <row r="404" spans="1:76" x14ac:dyDescent="0.25">
      <c r="A404" s="586"/>
      <c r="B404" s="590"/>
      <c r="C404" s="591"/>
      <c r="D404" s="605"/>
      <c r="E404" s="517"/>
      <c r="F404" s="518"/>
      <c r="G404" s="523"/>
      <c r="H404" s="524"/>
      <c r="I404" s="529"/>
      <c r="J404" s="530"/>
      <c r="K404" s="513"/>
      <c r="L404" s="534"/>
      <c r="M404" s="537"/>
      <c r="N404" s="541"/>
      <c r="O404" s="542"/>
      <c r="P404" s="483"/>
      <c r="Q404" s="484"/>
      <c r="R404" s="517"/>
      <c r="S404" s="518"/>
      <c r="T404" s="487"/>
      <c r="U404" s="488"/>
      <c r="V404" s="492"/>
      <c r="W404" s="483"/>
      <c r="X404" s="495"/>
      <c r="Y404" s="484"/>
      <c r="Z404" s="498"/>
      <c r="AA404" s="502"/>
      <c r="AB404" s="503"/>
      <c r="AC404" s="508"/>
      <c r="AD404" s="509"/>
      <c r="AE404" s="509"/>
      <c r="AF404" s="511"/>
      <c r="AG404" s="511"/>
      <c r="AH404" s="511"/>
      <c r="AI404" s="511"/>
      <c r="AJ404" s="511"/>
      <c r="AK404" s="511"/>
      <c r="AL404" s="511"/>
      <c r="AM404" s="511"/>
      <c r="AN404" s="511"/>
      <c r="AO404" s="511"/>
      <c r="AP404" s="511"/>
      <c r="AQ404" s="466"/>
      <c r="AR404" s="468"/>
      <c r="AS404" s="122" t="s">
        <v>259</v>
      </c>
      <c r="AT404" s="123"/>
      <c r="AU404" s="123"/>
      <c r="AV404" s="123"/>
      <c r="AW404" s="124"/>
      <c r="AX404" s="126">
        <f t="shared" si="719"/>
        <v>0</v>
      </c>
      <c r="AY404" s="142" t="s">
        <v>259</v>
      </c>
      <c r="AZ404" s="138"/>
      <c r="BA404" s="138"/>
      <c r="BB404" s="135">
        <f t="shared" si="720"/>
        <v>0</v>
      </c>
      <c r="BC404" s="474" t="s">
        <v>260</v>
      </c>
      <c r="BD404" s="475"/>
      <c r="BE404" s="14"/>
      <c r="BF404" s="17"/>
      <c r="BG404" s="14"/>
      <c r="BH404" s="17"/>
      <c r="BI404" s="14"/>
      <c r="BJ404" s="17"/>
      <c r="BK404" s="14"/>
      <c r="BL404" s="17"/>
      <c r="BM404" s="14"/>
      <c r="BN404" s="17"/>
      <c r="BO404" s="14"/>
      <c r="BP404" s="17"/>
      <c r="BQ404" s="107">
        <f t="shared" si="714"/>
        <v>0</v>
      </c>
      <c r="BR404" s="567"/>
      <c r="BS404" s="571"/>
      <c r="BT404" s="572"/>
      <c r="BU404" s="558"/>
      <c r="BV404" s="561"/>
      <c r="BW404" s="564"/>
      <c r="BX404" s="616"/>
    </row>
    <row r="405" spans="1:76" ht="15.75" thickBot="1" x14ac:dyDescent="0.3">
      <c r="A405" s="586"/>
      <c r="B405" s="590"/>
      <c r="C405" s="591"/>
      <c r="D405" s="605"/>
      <c r="E405" s="517"/>
      <c r="F405" s="518"/>
      <c r="G405" s="523"/>
      <c r="H405" s="524"/>
      <c r="I405" s="529"/>
      <c r="J405" s="530"/>
      <c r="K405" s="513"/>
      <c r="L405" s="534"/>
      <c r="M405" s="537"/>
      <c r="N405" s="541"/>
      <c r="O405" s="542"/>
      <c r="P405" s="483"/>
      <c r="Q405" s="484"/>
      <c r="R405" s="517"/>
      <c r="S405" s="518"/>
      <c r="T405" s="487"/>
      <c r="U405" s="488"/>
      <c r="V405" s="492"/>
      <c r="W405" s="483"/>
      <c r="X405" s="495"/>
      <c r="Y405" s="484"/>
      <c r="Z405" s="498"/>
      <c r="AA405" s="502"/>
      <c r="AB405" s="503"/>
      <c r="AC405" s="471" t="s">
        <v>259</v>
      </c>
      <c r="AD405" s="472"/>
      <c r="AE405" s="473"/>
      <c r="AF405" s="100"/>
      <c r="AG405" s="100"/>
      <c r="AH405" s="100"/>
      <c r="AI405" s="100"/>
      <c r="AJ405" s="100"/>
      <c r="AK405" s="100"/>
      <c r="AL405" s="100"/>
      <c r="AM405" s="100"/>
      <c r="AN405" s="100"/>
      <c r="AO405" s="100"/>
      <c r="AP405" s="100"/>
      <c r="AQ405" s="101"/>
      <c r="AR405" s="104">
        <f t="shared" ref="AR405:AR406" si="721">SUM(AF405:AQ405)</f>
        <v>0</v>
      </c>
      <c r="AS405" s="128" t="s">
        <v>261</v>
      </c>
      <c r="AT405" s="129"/>
      <c r="AU405" s="129"/>
      <c r="AV405" s="129"/>
      <c r="AW405" s="130"/>
      <c r="AX405" s="126">
        <f t="shared" si="719"/>
        <v>0</v>
      </c>
      <c r="AY405" s="143" t="s">
        <v>261</v>
      </c>
      <c r="AZ405" s="139"/>
      <c r="BA405" s="139"/>
      <c r="BB405" s="136">
        <f t="shared" si="720"/>
        <v>0</v>
      </c>
      <c r="BC405" s="474" t="s">
        <v>262</v>
      </c>
      <c r="BD405" s="475"/>
      <c r="BE405" s="14"/>
      <c r="BF405" s="17"/>
      <c r="BG405" s="14"/>
      <c r="BH405" s="17"/>
      <c r="BI405" s="14"/>
      <c r="BJ405" s="17"/>
      <c r="BK405" s="14"/>
      <c r="BL405" s="17"/>
      <c r="BM405" s="14"/>
      <c r="BN405" s="17"/>
      <c r="BO405" s="14"/>
      <c r="BP405" s="17"/>
      <c r="BQ405" s="108">
        <f t="shared" si="714"/>
        <v>0</v>
      </c>
      <c r="BR405" s="567"/>
      <c r="BS405" s="571"/>
      <c r="BT405" s="572"/>
      <c r="BU405" s="558"/>
      <c r="BV405" s="561"/>
      <c r="BW405" s="564"/>
      <c r="BX405" s="616"/>
    </row>
    <row r="406" spans="1:76" ht="15.75" thickBot="1" x14ac:dyDescent="0.3">
      <c r="A406" s="587"/>
      <c r="B406" s="592"/>
      <c r="C406" s="593"/>
      <c r="D406" s="606"/>
      <c r="E406" s="519"/>
      <c r="F406" s="520"/>
      <c r="G406" s="525"/>
      <c r="H406" s="526"/>
      <c r="I406" s="531"/>
      <c r="J406" s="532"/>
      <c r="K406" s="514"/>
      <c r="L406" s="535"/>
      <c r="M406" s="538"/>
      <c r="N406" s="543"/>
      <c r="O406" s="544"/>
      <c r="P406" s="485"/>
      <c r="Q406" s="486"/>
      <c r="R406" s="519"/>
      <c r="S406" s="520"/>
      <c r="T406" s="489"/>
      <c r="U406" s="490"/>
      <c r="V406" s="493"/>
      <c r="W406" s="485"/>
      <c r="X406" s="496"/>
      <c r="Y406" s="486"/>
      <c r="Z406" s="499"/>
      <c r="AA406" s="504"/>
      <c r="AB406" s="505"/>
      <c r="AC406" s="476" t="s">
        <v>261</v>
      </c>
      <c r="AD406" s="477"/>
      <c r="AE406" s="478"/>
      <c r="AF406" s="102"/>
      <c r="AG406" s="102"/>
      <c r="AH406" s="102"/>
      <c r="AI406" s="102"/>
      <c r="AJ406" s="102"/>
      <c r="AK406" s="102"/>
      <c r="AL406" s="102"/>
      <c r="AM406" s="102"/>
      <c r="AN406" s="102"/>
      <c r="AO406" s="102"/>
      <c r="AP406" s="102"/>
      <c r="AQ406" s="103"/>
      <c r="AR406" s="105">
        <f t="shared" si="721"/>
        <v>0</v>
      </c>
      <c r="AS406" s="131" t="s">
        <v>161</v>
      </c>
      <c r="AT406" s="132">
        <f t="shared" ref="AT406:AX406" si="722">SUM(AT403:AT405)</f>
        <v>0</v>
      </c>
      <c r="AU406" s="132">
        <f t="shared" si="722"/>
        <v>0</v>
      </c>
      <c r="AV406" s="132">
        <f t="shared" si="722"/>
        <v>0</v>
      </c>
      <c r="AW406" s="133">
        <f t="shared" si="722"/>
        <v>0</v>
      </c>
      <c r="AX406" s="127">
        <f t="shared" si="722"/>
        <v>0</v>
      </c>
      <c r="AY406" s="144" t="s">
        <v>161</v>
      </c>
      <c r="AZ406" s="140">
        <f t="shared" ref="AZ406:BB406" si="723">SUM(AZ403:AZ405)</f>
        <v>0</v>
      </c>
      <c r="BA406" s="140">
        <f t="shared" si="723"/>
        <v>0</v>
      </c>
      <c r="BB406" s="140">
        <f t="shared" si="723"/>
        <v>0</v>
      </c>
      <c r="BC406" s="479" t="s">
        <v>263</v>
      </c>
      <c r="BD406" s="480"/>
      <c r="BE406" s="15"/>
      <c r="BF406" s="18"/>
      <c r="BG406" s="15"/>
      <c r="BH406" s="18"/>
      <c r="BI406" s="15"/>
      <c r="BJ406" s="18"/>
      <c r="BK406" s="15"/>
      <c r="BL406" s="18"/>
      <c r="BM406" s="15"/>
      <c r="BN406" s="18"/>
      <c r="BO406" s="15"/>
      <c r="BP406" s="18"/>
      <c r="BQ406" s="109">
        <f t="shared" si="714"/>
        <v>0</v>
      </c>
      <c r="BR406" s="568"/>
      <c r="BS406" s="573"/>
      <c r="BT406" s="574"/>
      <c r="BU406" s="559"/>
      <c r="BV406" s="562"/>
      <c r="BW406" s="565"/>
      <c r="BX406" s="617"/>
    </row>
    <row r="407" spans="1:76" ht="15.75" thickTop="1" x14ac:dyDescent="0.25">
      <c r="A407" s="585">
        <v>100</v>
      </c>
      <c r="B407" s="588"/>
      <c r="C407" s="589"/>
      <c r="D407" s="604"/>
      <c r="E407" s="515"/>
      <c r="F407" s="516"/>
      <c r="G407" s="521"/>
      <c r="H407" s="522"/>
      <c r="I407" s="527"/>
      <c r="J407" s="528"/>
      <c r="K407" s="512"/>
      <c r="L407" s="533"/>
      <c r="M407" s="536"/>
      <c r="N407" s="539"/>
      <c r="O407" s="540"/>
      <c r="P407" s="481"/>
      <c r="Q407" s="482"/>
      <c r="R407" s="515"/>
      <c r="S407" s="516"/>
      <c r="T407" s="487"/>
      <c r="U407" s="488"/>
      <c r="V407" s="491"/>
      <c r="W407" s="481"/>
      <c r="X407" s="494"/>
      <c r="Y407" s="482"/>
      <c r="Z407" s="497"/>
      <c r="AA407" s="500" t="s">
        <v>341</v>
      </c>
      <c r="AB407" s="501"/>
      <c r="AC407" s="506" t="s">
        <v>257</v>
      </c>
      <c r="AD407" s="507"/>
      <c r="AE407" s="507"/>
      <c r="AF407" s="510"/>
      <c r="AG407" s="510"/>
      <c r="AH407" s="510"/>
      <c r="AI407" s="510"/>
      <c r="AJ407" s="510"/>
      <c r="AK407" s="510"/>
      <c r="AL407" s="510"/>
      <c r="AM407" s="510"/>
      <c r="AN407" s="510"/>
      <c r="AO407" s="510"/>
      <c r="AP407" s="510"/>
      <c r="AQ407" s="465"/>
      <c r="AR407" s="467">
        <f t="shared" ref="AR407" si="724">SUM(AF407:AQ408)</f>
        <v>0</v>
      </c>
      <c r="AS407" s="119" t="s">
        <v>257</v>
      </c>
      <c r="AT407" s="120"/>
      <c r="AU407" s="120"/>
      <c r="AV407" s="120"/>
      <c r="AW407" s="121"/>
      <c r="AX407" s="125">
        <f t="shared" ref="AX407:AX409" si="725">SUM(AT407:AW407)</f>
        <v>0</v>
      </c>
      <c r="AY407" s="141" t="s">
        <v>257</v>
      </c>
      <c r="AZ407" s="137"/>
      <c r="BA407" s="137"/>
      <c r="BB407" s="134">
        <f t="shared" ref="BB407:BB409" si="726">AZ407-BA407</f>
        <v>0</v>
      </c>
      <c r="BC407" s="469" t="s">
        <v>258</v>
      </c>
      <c r="BD407" s="470"/>
      <c r="BE407" s="13"/>
      <c r="BF407" s="16"/>
      <c r="BG407" s="13"/>
      <c r="BH407" s="16"/>
      <c r="BI407" s="13"/>
      <c r="BJ407" s="16"/>
      <c r="BK407" s="13"/>
      <c r="BL407" s="16"/>
      <c r="BM407" s="13"/>
      <c r="BN407" s="16"/>
      <c r="BO407" s="13"/>
      <c r="BP407" s="16"/>
      <c r="BQ407" s="106">
        <f t="shared" si="714"/>
        <v>0</v>
      </c>
      <c r="BR407" s="566"/>
      <c r="BS407" s="569"/>
      <c r="BT407" s="570"/>
      <c r="BU407" s="557"/>
      <c r="BV407" s="560"/>
      <c r="BW407" s="563"/>
      <c r="BX407" s="615"/>
    </row>
    <row r="408" spans="1:76" x14ac:dyDescent="0.25">
      <c r="A408" s="586"/>
      <c r="B408" s="590"/>
      <c r="C408" s="591"/>
      <c r="D408" s="605"/>
      <c r="E408" s="517"/>
      <c r="F408" s="518"/>
      <c r="G408" s="523"/>
      <c r="H408" s="524"/>
      <c r="I408" s="529"/>
      <c r="J408" s="530"/>
      <c r="K408" s="513"/>
      <c r="L408" s="534"/>
      <c r="M408" s="537"/>
      <c r="N408" s="541"/>
      <c r="O408" s="542"/>
      <c r="P408" s="483"/>
      <c r="Q408" s="484"/>
      <c r="R408" s="517"/>
      <c r="S408" s="518"/>
      <c r="T408" s="487"/>
      <c r="U408" s="488"/>
      <c r="V408" s="492"/>
      <c r="W408" s="483"/>
      <c r="X408" s="495"/>
      <c r="Y408" s="484"/>
      <c r="Z408" s="498"/>
      <c r="AA408" s="502"/>
      <c r="AB408" s="503"/>
      <c r="AC408" s="508"/>
      <c r="AD408" s="509"/>
      <c r="AE408" s="509"/>
      <c r="AF408" s="511"/>
      <c r="AG408" s="511"/>
      <c r="AH408" s="511"/>
      <c r="AI408" s="511"/>
      <c r="AJ408" s="511"/>
      <c r="AK408" s="511"/>
      <c r="AL408" s="511"/>
      <c r="AM408" s="511"/>
      <c r="AN408" s="511"/>
      <c r="AO408" s="511"/>
      <c r="AP408" s="511"/>
      <c r="AQ408" s="466"/>
      <c r="AR408" s="468"/>
      <c r="AS408" s="122" t="s">
        <v>259</v>
      </c>
      <c r="AT408" s="123"/>
      <c r="AU408" s="123"/>
      <c r="AV408" s="123"/>
      <c r="AW408" s="124"/>
      <c r="AX408" s="126">
        <f t="shared" si="725"/>
        <v>0</v>
      </c>
      <c r="AY408" s="142" t="s">
        <v>259</v>
      </c>
      <c r="AZ408" s="138"/>
      <c r="BA408" s="138"/>
      <c r="BB408" s="135">
        <f t="shared" si="726"/>
        <v>0</v>
      </c>
      <c r="BC408" s="474" t="s">
        <v>260</v>
      </c>
      <c r="BD408" s="475"/>
      <c r="BE408" s="14"/>
      <c r="BF408" s="17"/>
      <c r="BG408" s="14"/>
      <c r="BH408" s="17"/>
      <c r="BI408" s="14"/>
      <c r="BJ408" s="17"/>
      <c r="BK408" s="14"/>
      <c r="BL408" s="17"/>
      <c r="BM408" s="14"/>
      <c r="BN408" s="17"/>
      <c r="BO408" s="14"/>
      <c r="BP408" s="17"/>
      <c r="BQ408" s="107">
        <f t="shared" si="714"/>
        <v>0</v>
      </c>
      <c r="BR408" s="567"/>
      <c r="BS408" s="571"/>
      <c r="BT408" s="572"/>
      <c r="BU408" s="558"/>
      <c r="BV408" s="561"/>
      <c r="BW408" s="564"/>
      <c r="BX408" s="616"/>
    </row>
    <row r="409" spans="1:76" ht="15.75" thickBot="1" x14ac:dyDescent="0.3">
      <c r="A409" s="586"/>
      <c r="B409" s="590"/>
      <c r="C409" s="591"/>
      <c r="D409" s="605"/>
      <c r="E409" s="517"/>
      <c r="F409" s="518"/>
      <c r="G409" s="523"/>
      <c r="H409" s="524"/>
      <c r="I409" s="529"/>
      <c r="J409" s="530"/>
      <c r="K409" s="513"/>
      <c r="L409" s="534"/>
      <c r="M409" s="537"/>
      <c r="N409" s="541"/>
      <c r="O409" s="542"/>
      <c r="P409" s="483"/>
      <c r="Q409" s="484"/>
      <c r="R409" s="517"/>
      <c r="S409" s="518"/>
      <c r="T409" s="487"/>
      <c r="U409" s="488"/>
      <c r="V409" s="492"/>
      <c r="W409" s="483"/>
      <c r="X409" s="495"/>
      <c r="Y409" s="484"/>
      <c r="Z409" s="498"/>
      <c r="AA409" s="502"/>
      <c r="AB409" s="503"/>
      <c r="AC409" s="471" t="s">
        <v>259</v>
      </c>
      <c r="AD409" s="472"/>
      <c r="AE409" s="473"/>
      <c r="AF409" s="100"/>
      <c r="AG409" s="100"/>
      <c r="AH409" s="100"/>
      <c r="AI409" s="100"/>
      <c r="AJ409" s="100"/>
      <c r="AK409" s="100"/>
      <c r="AL409" s="100"/>
      <c r="AM409" s="100"/>
      <c r="AN409" s="100"/>
      <c r="AO409" s="100"/>
      <c r="AP409" s="100"/>
      <c r="AQ409" s="101"/>
      <c r="AR409" s="104">
        <f t="shared" ref="AR409:AR410" si="727">SUM(AF409:AQ409)</f>
        <v>0</v>
      </c>
      <c r="AS409" s="128" t="s">
        <v>261</v>
      </c>
      <c r="AT409" s="129"/>
      <c r="AU409" s="129"/>
      <c r="AV409" s="129"/>
      <c r="AW409" s="130"/>
      <c r="AX409" s="126">
        <f t="shared" si="725"/>
        <v>0</v>
      </c>
      <c r="AY409" s="143" t="s">
        <v>261</v>
      </c>
      <c r="AZ409" s="139"/>
      <c r="BA409" s="139"/>
      <c r="BB409" s="136">
        <f t="shared" si="726"/>
        <v>0</v>
      </c>
      <c r="BC409" s="474" t="s">
        <v>262</v>
      </c>
      <c r="BD409" s="475"/>
      <c r="BE409" s="14"/>
      <c r="BF409" s="17"/>
      <c r="BG409" s="14"/>
      <c r="BH409" s="17"/>
      <c r="BI409" s="14"/>
      <c r="BJ409" s="17"/>
      <c r="BK409" s="14"/>
      <c r="BL409" s="17"/>
      <c r="BM409" s="14"/>
      <c r="BN409" s="17"/>
      <c r="BO409" s="14"/>
      <c r="BP409" s="17"/>
      <c r="BQ409" s="108">
        <f t="shared" si="714"/>
        <v>0</v>
      </c>
      <c r="BR409" s="567"/>
      <c r="BS409" s="571"/>
      <c r="BT409" s="572"/>
      <c r="BU409" s="558"/>
      <c r="BV409" s="561"/>
      <c r="BW409" s="564"/>
      <c r="BX409" s="616"/>
    </row>
    <row r="410" spans="1:76" ht="15.75" thickBot="1" x14ac:dyDescent="0.3">
      <c r="A410" s="587"/>
      <c r="B410" s="592"/>
      <c r="C410" s="593"/>
      <c r="D410" s="606"/>
      <c r="E410" s="519"/>
      <c r="F410" s="520"/>
      <c r="G410" s="525"/>
      <c r="H410" s="526"/>
      <c r="I410" s="531"/>
      <c r="J410" s="532"/>
      <c r="K410" s="514"/>
      <c r="L410" s="535"/>
      <c r="M410" s="538"/>
      <c r="N410" s="543"/>
      <c r="O410" s="544"/>
      <c r="P410" s="485"/>
      <c r="Q410" s="486"/>
      <c r="R410" s="519"/>
      <c r="S410" s="520"/>
      <c r="T410" s="489"/>
      <c r="U410" s="490"/>
      <c r="V410" s="493"/>
      <c r="W410" s="485"/>
      <c r="X410" s="496"/>
      <c r="Y410" s="486"/>
      <c r="Z410" s="499"/>
      <c r="AA410" s="504"/>
      <c r="AB410" s="505"/>
      <c r="AC410" s="476" t="s">
        <v>261</v>
      </c>
      <c r="AD410" s="477"/>
      <c r="AE410" s="478"/>
      <c r="AF410" s="102"/>
      <c r="AG410" s="102"/>
      <c r="AH410" s="102"/>
      <c r="AI410" s="102"/>
      <c r="AJ410" s="102"/>
      <c r="AK410" s="102"/>
      <c r="AL410" s="102"/>
      <c r="AM410" s="102"/>
      <c r="AN410" s="102"/>
      <c r="AO410" s="102"/>
      <c r="AP410" s="102"/>
      <c r="AQ410" s="103"/>
      <c r="AR410" s="105">
        <f t="shared" si="727"/>
        <v>0</v>
      </c>
      <c r="AS410" s="131" t="s">
        <v>161</v>
      </c>
      <c r="AT410" s="132">
        <f t="shared" ref="AT410:AX410" si="728">SUM(AT407:AT409)</f>
        <v>0</v>
      </c>
      <c r="AU410" s="132">
        <f t="shared" si="728"/>
        <v>0</v>
      </c>
      <c r="AV410" s="132">
        <f t="shared" si="728"/>
        <v>0</v>
      </c>
      <c r="AW410" s="133">
        <f t="shared" si="728"/>
        <v>0</v>
      </c>
      <c r="AX410" s="127">
        <f t="shared" si="728"/>
        <v>0</v>
      </c>
      <c r="AY410" s="144" t="s">
        <v>161</v>
      </c>
      <c r="AZ410" s="140">
        <f t="shared" ref="AZ410:BB410" si="729">SUM(AZ407:AZ409)</f>
        <v>0</v>
      </c>
      <c r="BA410" s="140">
        <f t="shared" si="729"/>
        <v>0</v>
      </c>
      <c r="BB410" s="140">
        <f t="shared" si="729"/>
        <v>0</v>
      </c>
      <c r="BC410" s="479" t="s">
        <v>263</v>
      </c>
      <c r="BD410" s="480"/>
      <c r="BE410" s="15"/>
      <c r="BF410" s="18"/>
      <c r="BG410" s="15"/>
      <c r="BH410" s="18"/>
      <c r="BI410" s="15"/>
      <c r="BJ410" s="18"/>
      <c r="BK410" s="15"/>
      <c r="BL410" s="18"/>
      <c r="BM410" s="15"/>
      <c r="BN410" s="18"/>
      <c r="BO410" s="15"/>
      <c r="BP410" s="18"/>
      <c r="BQ410" s="109">
        <f t="shared" si="714"/>
        <v>0</v>
      </c>
      <c r="BR410" s="568"/>
      <c r="BS410" s="573"/>
      <c r="BT410" s="574"/>
      <c r="BU410" s="559"/>
      <c r="BV410" s="562"/>
      <c r="BW410" s="565"/>
      <c r="BX410" s="617"/>
    </row>
    <row r="411" spans="1:76" ht="15.75" thickTop="1" x14ac:dyDescent="0.25">
      <c r="A411" s="585">
        <v>101</v>
      </c>
      <c r="B411" s="588"/>
      <c r="C411" s="589"/>
      <c r="D411" s="604"/>
      <c r="E411" s="515"/>
      <c r="F411" s="516"/>
      <c r="G411" s="521"/>
      <c r="H411" s="522"/>
      <c r="I411" s="527"/>
      <c r="J411" s="528"/>
      <c r="K411" s="512"/>
      <c r="L411" s="533"/>
      <c r="M411" s="536"/>
      <c r="N411" s="539"/>
      <c r="O411" s="540"/>
      <c r="P411" s="481"/>
      <c r="Q411" s="482"/>
      <c r="R411" s="515"/>
      <c r="S411" s="516"/>
      <c r="T411" s="487"/>
      <c r="U411" s="488"/>
      <c r="V411" s="491"/>
      <c r="W411" s="481"/>
      <c r="X411" s="494"/>
      <c r="Y411" s="482"/>
      <c r="Z411" s="497"/>
      <c r="AA411" s="500" t="s">
        <v>342</v>
      </c>
      <c r="AB411" s="501"/>
      <c r="AC411" s="506" t="s">
        <v>257</v>
      </c>
      <c r="AD411" s="507"/>
      <c r="AE411" s="507"/>
      <c r="AF411" s="510"/>
      <c r="AG411" s="510"/>
      <c r="AH411" s="510"/>
      <c r="AI411" s="510"/>
      <c r="AJ411" s="510"/>
      <c r="AK411" s="510"/>
      <c r="AL411" s="510"/>
      <c r="AM411" s="510"/>
      <c r="AN411" s="510"/>
      <c r="AO411" s="510"/>
      <c r="AP411" s="510"/>
      <c r="AQ411" s="465"/>
      <c r="AR411" s="467">
        <f t="shared" ref="AR411" si="730">SUM(AF411:AQ412)</f>
        <v>0</v>
      </c>
      <c r="AS411" s="119" t="s">
        <v>257</v>
      </c>
      <c r="AT411" s="120"/>
      <c r="AU411" s="120"/>
      <c r="AV411" s="120"/>
      <c r="AW411" s="121"/>
      <c r="AX411" s="125">
        <f t="shared" ref="AX411:AX413" si="731">SUM(AT411:AW411)</f>
        <v>0</v>
      </c>
      <c r="AY411" s="141" t="s">
        <v>257</v>
      </c>
      <c r="AZ411" s="137"/>
      <c r="BA411" s="137"/>
      <c r="BB411" s="134">
        <f t="shared" ref="BB411:BB413" si="732">AZ411-BA411</f>
        <v>0</v>
      </c>
      <c r="BC411" s="469" t="s">
        <v>258</v>
      </c>
      <c r="BD411" s="470"/>
      <c r="BE411" s="13"/>
      <c r="BF411" s="16"/>
      <c r="BG411" s="13"/>
      <c r="BH411" s="16"/>
      <c r="BI411" s="13"/>
      <c r="BJ411" s="16"/>
      <c r="BK411" s="13"/>
      <c r="BL411" s="16"/>
      <c r="BM411" s="13"/>
      <c r="BN411" s="16"/>
      <c r="BO411" s="13"/>
      <c r="BP411" s="16"/>
      <c r="BQ411" s="106">
        <f t="shared" si="714"/>
        <v>0</v>
      </c>
      <c r="BR411" s="566"/>
      <c r="BS411" s="569"/>
      <c r="BT411" s="570"/>
      <c r="BU411" s="557"/>
      <c r="BV411" s="560"/>
      <c r="BW411" s="563"/>
      <c r="BX411" s="615"/>
    </row>
    <row r="412" spans="1:76" x14ac:dyDescent="0.25">
      <c r="A412" s="586"/>
      <c r="B412" s="590"/>
      <c r="C412" s="591"/>
      <c r="D412" s="605"/>
      <c r="E412" s="517"/>
      <c r="F412" s="518"/>
      <c r="G412" s="523"/>
      <c r="H412" s="524"/>
      <c r="I412" s="529"/>
      <c r="J412" s="530"/>
      <c r="K412" s="513"/>
      <c r="L412" s="534"/>
      <c r="M412" s="537"/>
      <c r="N412" s="541"/>
      <c r="O412" s="542"/>
      <c r="P412" s="483"/>
      <c r="Q412" s="484"/>
      <c r="R412" s="517"/>
      <c r="S412" s="518"/>
      <c r="T412" s="487"/>
      <c r="U412" s="488"/>
      <c r="V412" s="492"/>
      <c r="W412" s="483"/>
      <c r="X412" s="495"/>
      <c r="Y412" s="484"/>
      <c r="Z412" s="498"/>
      <c r="AA412" s="502"/>
      <c r="AB412" s="503"/>
      <c r="AC412" s="508"/>
      <c r="AD412" s="509"/>
      <c r="AE412" s="509"/>
      <c r="AF412" s="511"/>
      <c r="AG412" s="511"/>
      <c r="AH412" s="511"/>
      <c r="AI412" s="511"/>
      <c r="AJ412" s="511"/>
      <c r="AK412" s="511"/>
      <c r="AL412" s="511"/>
      <c r="AM412" s="511"/>
      <c r="AN412" s="511"/>
      <c r="AO412" s="511"/>
      <c r="AP412" s="511"/>
      <c r="AQ412" s="466"/>
      <c r="AR412" s="468"/>
      <c r="AS412" s="122" t="s">
        <v>259</v>
      </c>
      <c r="AT412" s="123"/>
      <c r="AU412" s="123"/>
      <c r="AV412" s="123"/>
      <c r="AW412" s="124"/>
      <c r="AX412" s="126">
        <f t="shared" si="731"/>
        <v>0</v>
      </c>
      <c r="AY412" s="142" t="s">
        <v>259</v>
      </c>
      <c r="AZ412" s="138"/>
      <c r="BA412" s="138"/>
      <c r="BB412" s="135">
        <f t="shared" si="732"/>
        <v>0</v>
      </c>
      <c r="BC412" s="474" t="s">
        <v>260</v>
      </c>
      <c r="BD412" s="475"/>
      <c r="BE412" s="14"/>
      <c r="BF412" s="17"/>
      <c r="BG412" s="14"/>
      <c r="BH412" s="17"/>
      <c r="BI412" s="14"/>
      <c r="BJ412" s="17"/>
      <c r="BK412" s="14"/>
      <c r="BL412" s="17"/>
      <c r="BM412" s="14"/>
      <c r="BN412" s="17"/>
      <c r="BO412" s="14"/>
      <c r="BP412" s="17"/>
      <c r="BQ412" s="107">
        <f t="shared" si="714"/>
        <v>0</v>
      </c>
      <c r="BR412" s="567"/>
      <c r="BS412" s="571"/>
      <c r="BT412" s="572"/>
      <c r="BU412" s="558"/>
      <c r="BV412" s="561"/>
      <c r="BW412" s="564"/>
      <c r="BX412" s="616"/>
    </row>
    <row r="413" spans="1:76" ht="15.75" thickBot="1" x14ac:dyDescent="0.3">
      <c r="A413" s="586"/>
      <c r="B413" s="590"/>
      <c r="C413" s="591"/>
      <c r="D413" s="605"/>
      <c r="E413" s="517"/>
      <c r="F413" s="518"/>
      <c r="G413" s="523"/>
      <c r="H413" s="524"/>
      <c r="I413" s="529"/>
      <c r="J413" s="530"/>
      <c r="K413" s="513"/>
      <c r="L413" s="534"/>
      <c r="M413" s="537"/>
      <c r="N413" s="541"/>
      <c r="O413" s="542"/>
      <c r="P413" s="483"/>
      <c r="Q413" s="484"/>
      <c r="R413" s="517"/>
      <c r="S413" s="518"/>
      <c r="T413" s="487"/>
      <c r="U413" s="488"/>
      <c r="V413" s="492"/>
      <c r="W413" s="483"/>
      <c r="X413" s="495"/>
      <c r="Y413" s="484"/>
      <c r="Z413" s="498"/>
      <c r="AA413" s="502"/>
      <c r="AB413" s="503"/>
      <c r="AC413" s="471" t="s">
        <v>259</v>
      </c>
      <c r="AD413" s="472"/>
      <c r="AE413" s="473"/>
      <c r="AF413" s="100"/>
      <c r="AG413" s="100"/>
      <c r="AH413" s="100"/>
      <c r="AI413" s="100"/>
      <c r="AJ413" s="100"/>
      <c r="AK413" s="100"/>
      <c r="AL413" s="100"/>
      <c r="AM413" s="100"/>
      <c r="AN413" s="100"/>
      <c r="AO413" s="100"/>
      <c r="AP413" s="100"/>
      <c r="AQ413" s="101"/>
      <c r="AR413" s="104">
        <f t="shared" ref="AR413:AR414" si="733">SUM(AF413:AQ413)</f>
        <v>0</v>
      </c>
      <c r="AS413" s="128" t="s">
        <v>261</v>
      </c>
      <c r="AT413" s="129"/>
      <c r="AU413" s="129"/>
      <c r="AV413" s="129"/>
      <c r="AW413" s="130"/>
      <c r="AX413" s="126">
        <f t="shared" si="731"/>
        <v>0</v>
      </c>
      <c r="AY413" s="143" t="s">
        <v>261</v>
      </c>
      <c r="AZ413" s="139"/>
      <c r="BA413" s="139"/>
      <c r="BB413" s="136">
        <f t="shared" si="732"/>
        <v>0</v>
      </c>
      <c r="BC413" s="474" t="s">
        <v>262</v>
      </c>
      <c r="BD413" s="475"/>
      <c r="BE413" s="14"/>
      <c r="BF413" s="17"/>
      <c r="BG413" s="14"/>
      <c r="BH413" s="17"/>
      <c r="BI413" s="14"/>
      <c r="BJ413" s="17"/>
      <c r="BK413" s="14"/>
      <c r="BL413" s="17"/>
      <c r="BM413" s="14"/>
      <c r="BN413" s="17"/>
      <c r="BO413" s="14"/>
      <c r="BP413" s="17"/>
      <c r="BQ413" s="108">
        <f t="shared" si="714"/>
        <v>0</v>
      </c>
      <c r="BR413" s="567"/>
      <c r="BS413" s="571"/>
      <c r="BT413" s="572"/>
      <c r="BU413" s="558"/>
      <c r="BV413" s="561"/>
      <c r="BW413" s="564"/>
      <c r="BX413" s="616"/>
    </row>
    <row r="414" spans="1:76" ht="15.75" thickBot="1" x14ac:dyDescent="0.3">
      <c r="A414" s="587"/>
      <c r="B414" s="592"/>
      <c r="C414" s="593"/>
      <c r="D414" s="606"/>
      <c r="E414" s="519"/>
      <c r="F414" s="520"/>
      <c r="G414" s="525"/>
      <c r="H414" s="526"/>
      <c r="I414" s="531"/>
      <c r="J414" s="532"/>
      <c r="K414" s="514"/>
      <c r="L414" s="535"/>
      <c r="M414" s="538"/>
      <c r="N414" s="543"/>
      <c r="O414" s="544"/>
      <c r="P414" s="485"/>
      <c r="Q414" s="486"/>
      <c r="R414" s="519"/>
      <c r="S414" s="520"/>
      <c r="T414" s="489"/>
      <c r="U414" s="490"/>
      <c r="V414" s="493"/>
      <c r="W414" s="485"/>
      <c r="X414" s="496"/>
      <c r="Y414" s="486"/>
      <c r="Z414" s="499"/>
      <c r="AA414" s="504"/>
      <c r="AB414" s="505"/>
      <c r="AC414" s="476" t="s">
        <v>261</v>
      </c>
      <c r="AD414" s="477"/>
      <c r="AE414" s="478"/>
      <c r="AF414" s="102"/>
      <c r="AG414" s="102"/>
      <c r="AH414" s="102"/>
      <c r="AI414" s="102"/>
      <c r="AJ414" s="102"/>
      <c r="AK414" s="102"/>
      <c r="AL414" s="102"/>
      <c r="AM414" s="102"/>
      <c r="AN414" s="102"/>
      <c r="AO414" s="102"/>
      <c r="AP414" s="102"/>
      <c r="AQ414" s="103"/>
      <c r="AR414" s="105">
        <f t="shared" si="733"/>
        <v>0</v>
      </c>
      <c r="AS414" s="131" t="s">
        <v>161</v>
      </c>
      <c r="AT414" s="132">
        <f t="shared" ref="AT414:AX414" si="734">SUM(AT411:AT413)</f>
        <v>0</v>
      </c>
      <c r="AU414" s="132">
        <f t="shared" si="734"/>
        <v>0</v>
      </c>
      <c r="AV414" s="132">
        <f t="shared" si="734"/>
        <v>0</v>
      </c>
      <c r="AW414" s="133">
        <f t="shared" si="734"/>
        <v>0</v>
      </c>
      <c r="AX414" s="127">
        <f t="shared" si="734"/>
        <v>0</v>
      </c>
      <c r="AY414" s="144" t="s">
        <v>161</v>
      </c>
      <c r="AZ414" s="140">
        <f t="shared" ref="AZ414:BB414" si="735">SUM(AZ411:AZ413)</f>
        <v>0</v>
      </c>
      <c r="BA414" s="140">
        <f t="shared" si="735"/>
        <v>0</v>
      </c>
      <c r="BB414" s="140">
        <f t="shared" si="735"/>
        <v>0</v>
      </c>
      <c r="BC414" s="479" t="s">
        <v>263</v>
      </c>
      <c r="BD414" s="480"/>
      <c r="BE414" s="15"/>
      <c r="BF414" s="18"/>
      <c r="BG414" s="15"/>
      <c r="BH414" s="18"/>
      <c r="BI414" s="15"/>
      <c r="BJ414" s="18"/>
      <c r="BK414" s="15"/>
      <c r="BL414" s="18"/>
      <c r="BM414" s="15"/>
      <c r="BN414" s="18"/>
      <c r="BO414" s="15"/>
      <c r="BP414" s="18"/>
      <c r="BQ414" s="109">
        <f t="shared" si="714"/>
        <v>0</v>
      </c>
      <c r="BR414" s="568"/>
      <c r="BS414" s="573"/>
      <c r="BT414" s="574"/>
      <c r="BU414" s="559"/>
      <c r="BV414" s="562"/>
      <c r="BW414" s="565"/>
      <c r="BX414" s="617"/>
    </row>
    <row r="415" spans="1:76" ht="15.75" thickTop="1" x14ac:dyDescent="0.25">
      <c r="A415" s="585">
        <v>102</v>
      </c>
      <c r="B415" s="588"/>
      <c r="C415" s="589"/>
      <c r="D415" s="604"/>
      <c r="E415" s="515"/>
      <c r="F415" s="516"/>
      <c r="G415" s="521"/>
      <c r="H415" s="522"/>
      <c r="I415" s="527"/>
      <c r="J415" s="528"/>
      <c r="K415" s="512"/>
      <c r="L415" s="533"/>
      <c r="M415" s="536"/>
      <c r="N415" s="539"/>
      <c r="O415" s="540"/>
      <c r="P415" s="481"/>
      <c r="Q415" s="482"/>
      <c r="R415" s="515"/>
      <c r="S415" s="516"/>
      <c r="T415" s="487"/>
      <c r="U415" s="488"/>
      <c r="V415" s="491"/>
      <c r="W415" s="481"/>
      <c r="X415" s="494"/>
      <c r="Y415" s="482"/>
      <c r="Z415" s="497"/>
      <c r="AA415" s="500" t="s">
        <v>343</v>
      </c>
      <c r="AB415" s="501"/>
      <c r="AC415" s="506" t="s">
        <v>257</v>
      </c>
      <c r="AD415" s="507"/>
      <c r="AE415" s="507"/>
      <c r="AF415" s="510"/>
      <c r="AG415" s="510"/>
      <c r="AH415" s="510"/>
      <c r="AI415" s="510"/>
      <c r="AJ415" s="510"/>
      <c r="AK415" s="510"/>
      <c r="AL415" s="510"/>
      <c r="AM415" s="510"/>
      <c r="AN415" s="510"/>
      <c r="AO415" s="510"/>
      <c r="AP415" s="510"/>
      <c r="AQ415" s="465"/>
      <c r="AR415" s="467">
        <f t="shared" ref="AR415" si="736">SUM(AF415:AQ416)</f>
        <v>0</v>
      </c>
      <c r="AS415" s="119" t="s">
        <v>257</v>
      </c>
      <c r="AT415" s="120"/>
      <c r="AU415" s="120"/>
      <c r="AV415" s="120"/>
      <c r="AW415" s="121"/>
      <c r="AX415" s="125">
        <f t="shared" ref="AX415:AX417" si="737">SUM(AT415:AW415)</f>
        <v>0</v>
      </c>
      <c r="AY415" s="141" t="s">
        <v>257</v>
      </c>
      <c r="AZ415" s="137"/>
      <c r="BA415" s="137"/>
      <c r="BB415" s="134">
        <f t="shared" ref="BB415:BB417" si="738">AZ415-BA415</f>
        <v>0</v>
      </c>
      <c r="BC415" s="469" t="s">
        <v>258</v>
      </c>
      <c r="BD415" s="470"/>
      <c r="BE415" s="13"/>
      <c r="BF415" s="16"/>
      <c r="BG415" s="13"/>
      <c r="BH415" s="16"/>
      <c r="BI415" s="13"/>
      <c r="BJ415" s="16"/>
      <c r="BK415" s="13"/>
      <c r="BL415" s="16"/>
      <c r="BM415" s="13"/>
      <c r="BN415" s="16"/>
      <c r="BO415" s="13"/>
      <c r="BP415" s="16"/>
      <c r="BQ415" s="106">
        <f t="shared" si="714"/>
        <v>0</v>
      </c>
      <c r="BR415" s="566"/>
      <c r="BS415" s="569"/>
      <c r="BT415" s="570"/>
      <c r="BU415" s="557"/>
      <c r="BV415" s="560"/>
      <c r="BW415" s="563"/>
      <c r="BX415" s="615"/>
    </row>
    <row r="416" spans="1:76" x14ac:dyDescent="0.25">
      <c r="A416" s="586"/>
      <c r="B416" s="590"/>
      <c r="C416" s="591"/>
      <c r="D416" s="605"/>
      <c r="E416" s="517"/>
      <c r="F416" s="518"/>
      <c r="G416" s="523"/>
      <c r="H416" s="524"/>
      <c r="I416" s="529"/>
      <c r="J416" s="530"/>
      <c r="K416" s="513"/>
      <c r="L416" s="534"/>
      <c r="M416" s="537"/>
      <c r="N416" s="541"/>
      <c r="O416" s="542"/>
      <c r="P416" s="483"/>
      <c r="Q416" s="484"/>
      <c r="R416" s="517"/>
      <c r="S416" s="518"/>
      <c r="T416" s="487"/>
      <c r="U416" s="488"/>
      <c r="V416" s="492"/>
      <c r="W416" s="483"/>
      <c r="X416" s="495"/>
      <c r="Y416" s="484"/>
      <c r="Z416" s="498"/>
      <c r="AA416" s="502"/>
      <c r="AB416" s="503"/>
      <c r="AC416" s="508"/>
      <c r="AD416" s="509"/>
      <c r="AE416" s="509"/>
      <c r="AF416" s="511"/>
      <c r="AG416" s="511"/>
      <c r="AH416" s="511"/>
      <c r="AI416" s="511"/>
      <c r="AJ416" s="511"/>
      <c r="AK416" s="511"/>
      <c r="AL416" s="511"/>
      <c r="AM416" s="511"/>
      <c r="AN416" s="511"/>
      <c r="AO416" s="511"/>
      <c r="AP416" s="511"/>
      <c r="AQ416" s="466"/>
      <c r="AR416" s="468"/>
      <c r="AS416" s="122" t="s">
        <v>259</v>
      </c>
      <c r="AT416" s="123"/>
      <c r="AU416" s="123"/>
      <c r="AV416" s="123"/>
      <c r="AW416" s="124"/>
      <c r="AX416" s="126">
        <f t="shared" si="737"/>
        <v>0</v>
      </c>
      <c r="AY416" s="142" t="s">
        <v>259</v>
      </c>
      <c r="AZ416" s="138"/>
      <c r="BA416" s="138"/>
      <c r="BB416" s="135">
        <f t="shared" si="738"/>
        <v>0</v>
      </c>
      <c r="BC416" s="474" t="s">
        <v>260</v>
      </c>
      <c r="BD416" s="475"/>
      <c r="BE416" s="14"/>
      <c r="BF416" s="17"/>
      <c r="BG416" s="14"/>
      <c r="BH416" s="17"/>
      <c r="BI416" s="14"/>
      <c r="BJ416" s="17"/>
      <c r="BK416" s="14"/>
      <c r="BL416" s="17"/>
      <c r="BM416" s="14"/>
      <c r="BN416" s="17"/>
      <c r="BO416" s="14"/>
      <c r="BP416" s="17"/>
      <c r="BQ416" s="107">
        <f t="shared" si="714"/>
        <v>0</v>
      </c>
      <c r="BR416" s="567"/>
      <c r="BS416" s="571"/>
      <c r="BT416" s="572"/>
      <c r="BU416" s="558"/>
      <c r="BV416" s="561"/>
      <c r="BW416" s="564"/>
      <c r="BX416" s="616"/>
    </row>
    <row r="417" spans="1:76" ht="15.75" thickBot="1" x14ac:dyDescent="0.3">
      <c r="A417" s="586"/>
      <c r="B417" s="590"/>
      <c r="C417" s="591"/>
      <c r="D417" s="605"/>
      <c r="E417" s="517"/>
      <c r="F417" s="518"/>
      <c r="G417" s="523"/>
      <c r="H417" s="524"/>
      <c r="I417" s="529"/>
      <c r="J417" s="530"/>
      <c r="K417" s="513"/>
      <c r="L417" s="534"/>
      <c r="M417" s="537"/>
      <c r="N417" s="541"/>
      <c r="O417" s="542"/>
      <c r="P417" s="483"/>
      <c r="Q417" s="484"/>
      <c r="R417" s="517"/>
      <c r="S417" s="518"/>
      <c r="T417" s="487"/>
      <c r="U417" s="488"/>
      <c r="V417" s="492"/>
      <c r="W417" s="483"/>
      <c r="X417" s="495"/>
      <c r="Y417" s="484"/>
      <c r="Z417" s="498"/>
      <c r="AA417" s="502"/>
      <c r="AB417" s="503"/>
      <c r="AC417" s="471" t="s">
        <v>259</v>
      </c>
      <c r="AD417" s="472"/>
      <c r="AE417" s="473"/>
      <c r="AF417" s="100"/>
      <c r="AG417" s="100"/>
      <c r="AH417" s="100"/>
      <c r="AI417" s="100"/>
      <c r="AJ417" s="100"/>
      <c r="AK417" s="100"/>
      <c r="AL417" s="100"/>
      <c r="AM417" s="100"/>
      <c r="AN417" s="100"/>
      <c r="AO417" s="100"/>
      <c r="AP417" s="100"/>
      <c r="AQ417" s="101"/>
      <c r="AR417" s="104">
        <f t="shared" ref="AR417:AR418" si="739">SUM(AF417:AQ417)</f>
        <v>0</v>
      </c>
      <c r="AS417" s="128" t="s">
        <v>261</v>
      </c>
      <c r="AT417" s="129"/>
      <c r="AU417" s="129"/>
      <c r="AV417" s="129"/>
      <c r="AW417" s="130"/>
      <c r="AX417" s="126">
        <f t="shared" si="737"/>
        <v>0</v>
      </c>
      <c r="AY417" s="143" t="s">
        <v>261</v>
      </c>
      <c r="AZ417" s="139"/>
      <c r="BA417" s="139"/>
      <c r="BB417" s="136">
        <f t="shared" si="738"/>
        <v>0</v>
      </c>
      <c r="BC417" s="474" t="s">
        <v>262</v>
      </c>
      <c r="BD417" s="475"/>
      <c r="BE417" s="14"/>
      <c r="BF417" s="17"/>
      <c r="BG417" s="14"/>
      <c r="BH417" s="17"/>
      <c r="BI417" s="14"/>
      <c r="BJ417" s="17"/>
      <c r="BK417" s="14"/>
      <c r="BL417" s="17"/>
      <c r="BM417" s="14"/>
      <c r="BN417" s="17"/>
      <c r="BO417" s="14"/>
      <c r="BP417" s="17"/>
      <c r="BQ417" s="108">
        <f t="shared" si="714"/>
        <v>0</v>
      </c>
      <c r="BR417" s="567"/>
      <c r="BS417" s="571"/>
      <c r="BT417" s="572"/>
      <c r="BU417" s="558"/>
      <c r="BV417" s="561"/>
      <c r="BW417" s="564"/>
      <c r="BX417" s="616"/>
    </row>
    <row r="418" spans="1:76" ht="15.75" thickBot="1" x14ac:dyDescent="0.3">
      <c r="A418" s="587"/>
      <c r="B418" s="592"/>
      <c r="C418" s="593"/>
      <c r="D418" s="606"/>
      <c r="E418" s="519"/>
      <c r="F418" s="520"/>
      <c r="G418" s="525"/>
      <c r="H418" s="526"/>
      <c r="I418" s="531"/>
      <c r="J418" s="532"/>
      <c r="K418" s="514"/>
      <c r="L418" s="535"/>
      <c r="M418" s="538"/>
      <c r="N418" s="543"/>
      <c r="O418" s="544"/>
      <c r="P418" s="485"/>
      <c r="Q418" s="486"/>
      <c r="R418" s="519"/>
      <c r="S418" s="520"/>
      <c r="T418" s="489"/>
      <c r="U418" s="490"/>
      <c r="V418" s="493"/>
      <c r="W418" s="485"/>
      <c r="X418" s="496"/>
      <c r="Y418" s="486"/>
      <c r="Z418" s="499"/>
      <c r="AA418" s="504"/>
      <c r="AB418" s="505"/>
      <c r="AC418" s="476" t="s">
        <v>261</v>
      </c>
      <c r="AD418" s="477"/>
      <c r="AE418" s="478"/>
      <c r="AF418" s="102"/>
      <c r="AG418" s="102"/>
      <c r="AH418" s="102"/>
      <c r="AI418" s="102"/>
      <c r="AJ418" s="102"/>
      <c r="AK418" s="102"/>
      <c r="AL418" s="102"/>
      <c r="AM418" s="102"/>
      <c r="AN418" s="102"/>
      <c r="AO418" s="102"/>
      <c r="AP418" s="102"/>
      <c r="AQ418" s="103"/>
      <c r="AR418" s="105">
        <f t="shared" si="739"/>
        <v>0</v>
      </c>
      <c r="AS418" s="131" t="s">
        <v>161</v>
      </c>
      <c r="AT418" s="132">
        <f t="shared" ref="AT418:AX418" si="740">SUM(AT415:AT417)</f>
        <v>0</v>
      </c>
      <c r="AU418" s="132">
        <f t="shared" si="740"/>
        <v>0</v>
      </c>
      <c r="AV418" s="132">
        <f t="shared" si="740"/>
        <v>0</v>
      </c>
      <c r="AW418" s="133">
        <f t="shared" si="740"/>
        <v>0</v>
      </c>
      <c r="AX418" s="127">
        <f t="shared" si="740"/>
        <v>0</v>
      </c>
      <c r="AY418" s="144" t="s">
        <v>161</v>
      </c>
      <c r="AZ418" s="140">
        <f t="shared" ref="AZ418:BB418" si="741">SUM(AZ415:AZ417)</f>
        <v>0</v>
      </c>
      <c r="BA418" s="140">
        <f t="shared" si="741"/>
        <v>0</v>
      </c>
      <c r="BB418" s="140">
        <f t="shared" si="741"/>
        <v>0</v>
      </c>
      <c r="BC418" s="479" t="s">
        <v>263</v>
      </c>
      <c r="BD418" s="480"/>
      <c r="BE418" s="15"/>
      <c r="BF418" s="18"/>
      <c r="BG418" s="15"/>
      <c r="BH418" s="18"/>
      <c r="BI418" s="15"/>
      <c r="BJ418" s="18"/>
      <c r="BK418" s="15"/>
      <c r="BL418" s="18"/>
      <c r="BM418" s="15"/>
      <c r="BN418" s="18"/>
      <c r="BO418" s="15"/>
      <c r="BP418" s="18"/>
      <c r="BQ418" s="109">
        <f t="shared" si="714"/>
        <v>0</v>
      </c>
      <c r="BR418" s="568"/>
      <c r="BS418" s="573"/>
      <c r="BT418" s="574"/>
      <c r="BU418" s="559"/>
      <c r="BV418" s="562"/>
      <c r="BW418" s="565"/>
      <c r="BX418" s="617"/>
    </row>
    <row r="419" spans="1:76" ht="15.75" thickTop="1" x14ac:dyDescent="0.25">
      <c r="A419" s="585">
        <v>103</v>
      </c>
      <c r="B419" s="588"/>
      <c r="C419" s="589"/>
      <c r="D419" s="604"/>
      <c r="E419" s="515"/>
      <c r="F419" s="516"/>
      <c r="G419" s="521"/>
      <c r="H419" s="522"/>
      <c r="I419" s="527"/>
      <c r="J419" s="528"/>
      <c r="K419" s="512"/>
      <c r="L419" s="533"/>
      <c r="M419" s="536"/>
      <c r="N419" s="539"/>
      <c r="O419" s="540"/>
      <c r="P419" s="481"/>
      <c r="Q419" s="482"/>
      <c r="R419" s="515"/>
      <c r="S419" s="516"/>
      <c r="T419" s="487"/>
      <c r="U419" s="488"/>
      <c r="V419" s="491"/>
      <c r="W419" s="481"/>
      <c r="X419" s="494"/>
      <c r="Y419" s="482"/>
      <c r="Z419" s="497"/>
      <c r="AA419" s="500" t="s">
        <v>344</v>
      </c>
      <c r="AB419" s="501"/>
      <c r="AC419" s="506" t="s">
        <v>257</v>
      </c>
      <c r="AD419" s="507"/>
      <c r="AE419" s="507"/>
      <c r="AF419" s="510"/>
      <c r="AG419" s="510"/>
      <c r="AH419" s="510"/>
      <c r="AI419" s="510"/>
      <c r="AJ419" s="510"/>
      <c r="AK419" s="510"/>
      <c r="AL419" s="510"/>
      <c r="AM419" s="510"/>
      <c r="AN419" s="510"/>
      <c r="AO419" s="510"/>
      <c r="AP419" s="510"/>
      <c r="AQ419" s="465"/>
      <c r="AR419" s="467">
        <f t="shared" ref="AR419" si="742">SUM(AF419:AQ420)</f>
        <v>0</v>
      </c>
      <c r="AS419" s="119" t="s">
        <v>257</v>
      </c>
      <c r="AT419" s="120"/>
      <c r="AU419" s="120"/>
      <c r="AV419" s="120"/>
      <c r="AW419" s="121"/>
      <c r="AX419" s="125">
        <f t="shared" ref="AX419:AX421" si="743">SUM(AT419:AW419)</f>
        <v>0</v>
      </c>
      <c r="AY419" s="141" t="s">
        <v>257</v>
      </c>
      <c r="AZ419" s="137"/>
      <c r="BA419" s="137"/>
      <c r="BB419" s="134">
        <f t="shared" ref="BB419:BB421" si="744">AZ419-BA419</f>
        <v>0</v>
      </c>
      <c r="BC419" s="469" t="s">
        <v>258</v>
      </c>
      <c r="BD419" s="470"/>
      <c r="BE419" s="13"/>
      <c r="BF419" s="16"/>
      <c r="BG419" s="13"/>
      <c r="BH419" s="16"/>
      <c r="BI419" s="13"/>
      <c r="BJ419" s="16"/>
      <c r="BK419" s="13"/>
      <c r="BL419" s="16"/>
      <c r="BM419" s="13"/>
      <c r="BN419" s="16"/>
      <c r="BO419" s="13"/>
      <c r="BP419" s="16"/>
      <c r="BQ419" s="106">
        <f t="shared" si="714"/>
        <v>0</v>
      </c>
      <c r="BR419" s="566"/>
      <c r="BS419" s="569"/>
      <c r="BT419" s="570"/>
      <c r="BU419" s="557"/>
      <c r="BV419" s="560"/>
      <c r="BW419" s="563"/>
      <c r="BX419" s="615"/>
    </row>
    <row r="420" spans="1:76" x14ac:dyDescent="0.25">
      <c r="A420" s="586"/>
      <c r="B420" s="590"/>
      <c r="C420" s="591"/>
      <c r="D420" s="605"/>
      <c r="E420" s="517"/>
      <c r="F420" s="518"/>
      <c r="G420" s="523"/>
      <c r="H420" s="524"/>
      <c r="I420" s="529"/>
      <c r="J420" s="530"/>
      <c r="K420" s="513"/>
      <c r="L420" s="534"/>
      <c r="M420" s="537"/>
      <c r="N420" s="541"/>
      <c r="O420" s="542"/>
      <c r="P420" s="483"/>
      <c r="Q420" s="484"/>
      <c r="R420" s="517"/>
      <c r="S420" s="518"/>
      <c r="T420" s="487"/>
      <c r="U420" s="488"/>
      <c r="V420" s="492"/>
      <c r="W420" s="483"/>
      <c r="X420" s="495"/>
      <c r="Y420" s="484"/>
      <c r="Z420" s="498"/>
      <c r="AA420" s="502"/>
      <c r="AB420" s="503"/>
      <c r="AC420" s="508"/>
      <c r="AD420" s="509"/>
      <c r="AE420" s="509"/>
      <c r="AF420" s="511"/>
      <c r="AG420" s="511"/>
      <c r="AH420" s="511"/>
      <c r="AI420" s="511"/>
      <c r="AJ420" s="511"/>
      <c r="AK420" s="511"/>
      <c r="AL420" s="511"/>
      <c r="AM420" s="511"/>
      <c r="AN420" s="511"/>
      <c r="AO420" s="511"/>
      <c r="AP420" s="511"/>
      <c r="AQ420" s="466"/>
      <c r="AR420" s="468"/>
      <c r="AS420" s="122" t="s">
        <v>259</v>
      </c>
      <c r="AT420" s="123"/>
      <c r="AU420" s="123"/>
      <c r="AV420" s="123"/>
      <c r="AW420" s="124"/>
      <c r="AX420" s="126">
        <f t="shared" si="743"/>
        <v>0</v>
      </c>
      <c r="AY420" s="142" t="s">
        <v>259</v>
      </c>
      <c r="AZ420" s="138"/>
      <c r="BA420" s="138"/>
      <c r="BB420" s="135">
        <f t="shared" si="744"/>
        <v>0</v>
      </c>
      <c r="BC420" s="474" t="s">
        <v>260</v>
      </c>
      <c r="BD420" s="475"/>
      <c r="BE420" s="14"/>
      <c r="BF420" s="17"/>
      <c r="BG420" s="14"/>
      <c r="BH420" s="17"/>
      <c r="BI420" s="14"/>
      <c r="BJ420" s="17"/>
      <c r="BK420" s="14"/>
      <c r="BL420" s="17"/>
      <c r="BM420" s="14"/>
      <c r="BN420" s="17"/>
      <c r="BO420" s="14"/>
      <c r="BP420" s="17"/>
      <c r="BQ420" s="107">
        <f t="shared" si="714"/>
        <v>0</v>
      </c>
      <c r="BR420" s="567"/>
      <c r="BS420" s="571"/>
      <c r="BT420" s="572"/>
      <c r="BU420" s="558"/>
      <c r="BV420" s="561"/>
      <c r="BW420" s="564"/>
      <c r="BX420" s="616"/>
    </row>
    <row r="421" spans="1:76" ht="15.75" thickBot="1" x14ac:dyDescent="0.3">
      <c r="A421" s="586"/>
      <c r="B421" s="590"/>
      <c r="C421" s="591"/>
      <c r="D421" s="605"/>
      <c r="E421" s="517"/>
      <c r="F421" s="518"/>
      <c r="G421" s="523"/>
      <c r="H421" s="524"/>
      <c r="I421" s="529"/>
      <c r="J421" s="530"/>
      <c r="K421" s="513"/>
      <c r="L421" s="534"/>
      <c r="M421" s="537"/>
      <c r="N421" s="541"/>
      <c r="O421" s="542"/>
      <c r="P421" s="483"/>
      <c r="Q421" s="484"/>
      <c r="R421" s="517"/>
      <c r="S421" s="518"/>
      <c r="T421" s="487"/>
      <c r="U421" s="488"/>
      <c r="V421" s="492"/>
      <c r="W421" s="483"/>
      <c r="X421" s="495"/>
      <c r="Y421" s="484"/>
      <c r="Z421" s="498"/>
      <c r="AA421" s="502"/>
      <c r="AB421" s="503"/>
      <c r="AC421" s="471" t="s">
        <v>259</v>
      </c>
      <c r="AD421" s="472"/>
      <c r="AE421" s="473"/>
      <c r="AF421" s="100"/>
      <c r="AG421" s="100"/>
      <c r="AH421" s="100"/>
      <c r="AI421" s="100"/>
      <c r="AJ421" s="100"/>
      <c r="AK421" s="100"/>
      <c r="AL421" s="100"/>
      <c r="AM421" s="100"/>
      <c r="AN421" s="100"/>
      <c r="AO421" s="100"/>
      <c r="AP421" s="100"/>
      <c r="AQ421" s="101"/>
      <c r="AR421" s="104">
        <f t="shared" ref="AR421:AR422" si="745">SUM(AF421:AQ421)</f>
        <v>0</v>
      </c>
      <c r="AS421" s="128" t="s">
        <v>261</v>
      </c>
      <c r="AT421" s="129"/>
      <c r="AU421" s="129"/>
      <c r="AV421" s="129"/>
      <c r="AW421" s="130"/>
      <c r="AX421" s="126">
        <f t="shared" si="743"/>
        <v>0</v>
      </c>
      <c r="AY421" s="143" t="s">
        <v>261</v>
      </c>
      <c r="AZ421" s="139"/>
      <c r="BA421" s="139"/>
      <c r="BB421" s="136">
        <f t="shared" si="744"/>
        <v>0</v>
      </c>
      <c r="BC421" s="474" t="s">
        <v>262</v>
      </c>
      <c r="BD421" s="475"/>
      <c r="BE421" s="14"/>
      <c r="BF421" s="17"/>
      <c r="BG421" s="14"/>
      <c r="BH421" s="17"/>
      <c r="BI421" s="14"/>
      <c r="BJ421" s="17"/>
      <c r="BK421" s="14"/>
      <c r="BL421" s="17"/>
      <c r="BM421" s="14"/>
      <c r="BN421" s="17"/>
      <c r="BO421" s="14"/>
      <c r="BP421" s="17"/>
      <c r="BQ421" s="108">
        <f t="shared" si="714"/>
        <v>0</v>
      </c>
      <c r="BR421" s="567"/>
      <c r="BS421" s="571"/>
      <c r="BT421" s="572"/>
      <c r="BU421" s="558"/>
      <c r="BV421" s="561"/>
      <c r="BW421" s="564"/>
      <c r="BX421" s="616"/>
    </row>
    <row r="422" spans="1:76" ht="15.75" thickBot="1" x14ac:dyDescent="0.3">
      <c r="A422" s="587"/>
      <c r="B422" s="592"/>
      <c r="C422" s="593"/>
      <c r="D422" s="606"/>
      <c r="E422" s="519"/>
      <c r="F422" s="520"/>
      <c r="G422" s="525"/>
      <c r="H422" s="526"/>
      <c r="I422" s="531"/>
      <c r="J422" s="532"/>
      <c r="K422" s="514"/>
      <c r="L422" s="535"/>
      <c r="M422" s="538"/>
      <c r="N422" s="543"/>
      <c r="O422" s="544"/>
      <c r="P422" s="485"/>
      <c r="Q422" s="486"/>
      <c r="R422" s="519"/>
      <c r="S422" s="520"/>
      <c r="T422" s="489"/>
      <c r="U422" s="490"/>
      <c r="V422" s="493"/>
      <c r="W422" s="485"/>
      <c r="X422" s="496"/>
      <c r="Y422" s="486"/>
      <c r="Z422" s="499"/>
      <c r="AA422" s="504"/>
      <c r="AB422" s="505"/>
      <c r="AC422" s="476" t="s">
        <v>261</v>
      </c>
      <c r="AD422" s="477"/>
      <c r="AE422" s="478"/>
      <c r="AF422" s="102"/>
      <c r="AG422" s="102"/>
      <c r="AH422" s="102"/>
      <c r="AI422" s="102"/>
      <c r="AJ422" s="102"/>
      <c r="AK422" s="102"/>
      <c r="AL422" s="102"/>
      <c r="AM422" s="102"/>
      <c r="AN422" s="102"/>
      <c r="AO422" s="102"/>
      <c r="AP422" s="102"/>
      <c r="AQ422" s="103"/>
      <c r="AR422" s="105">
        <f t="shared" si="745"/>
        <v>0</v>
      </c>
      <c r="AS422" s="131" t="s">
        <v>161</v>
      </c>
      <c r="AT422" s="132">
        <f t="shared" ref="AT422:AX422" si="746">SUM(AT419:AT421)</f>
        <v>0</v>
      </c>
      <c r="AU422" s="132">
        <f t="shared" si="746"/>
        <v>0</v>
      </c>
      <c r="AV422" s="132">
        <f t="shared" si="746"/>
        <v>0</v>
      </c>
      <c r="AW422" s="133">
        <f t="shared" si="746"/>
        <v>0</v>
      </c>
      <c r="AX422" s="127">
        <f t="shared" si="746"/>
        <v>0</v>
      </c>
      <c r="AY422" s="144" t="s">
        <v>161</v>
      </c>
      <c r="AZ422" s="140">
        <f t="shared" ref="AZ422:BB422" si="747">SUM(AZ419:AZ421)</f>
        <v>0</v>
      </c>
      <c r="BA422" s="140">
        <f t="shared" si="747"/>
        <v>0</v>
      </c>
      <c r="BB422" s="140">
        <f t="shared" si="747"/>
        <v>0</v>
      </c>
      <c r="BC422" s="479" t="s">
        <v>263</v>
      </c>
      <c r="BD422" s="480"/>
      <c r="BE422" s="15"/>
      <c r="BF422" s="18"/>
      <c r="BG422" s="15"/>
      <c r="BH422" s="18"/>
      <c r="BI422" s="15"/>
      <c r="BJ422" s="18"/>
      <c r="BK422" s="15"/>
      <c r="BL422" s="18"/>
      <c r="BM422" s="15"/>
      <c r="BN422" s="18"/>
      <c r="BO422" s="15"/>
      <c r="BP422" s="18"/>
      <c r="BQ422" s="109">
        <f t="shared" si="714"/>
        <v>0</v>
      </c>
      <c r="BR422" s="568"/>
      <c r="BS422" s="573"/>
      <c r="BT422" s="574"/>
      <c r="BU422" s="559"/>
      <c r="BV422" s="562"/>
      <c r="BW422" s="565"/>
      <c r="BX422" s="617"/>
    </row>
    <row r="423" spans="1:76" ht="15.75" thickTop="1" x14ac:dyDescent="0.25">
      <c r="A423" s="585">
        <v>104</v>
      </c>
      <c r="B423" s="588"/>
      <c r="C423" s="589"/>
      <c r="D423" s="604"/>
      <c r="E423" s="515"/>
      <c r="F423" s="516"/>
      <c r="G423" s="521"/>
      <c r="H423" s="522"/>
      <c r="I423" s="527"/>
      <c r="J423" s="528"/>
      <c r="K423" s="512"/>
      <c r="L423" s="533"/>
      <c r="M423" s="536"/>
      <c r="N423" s="539"/>
      <c r="O423" s="540"/>
      <c r="P423" s="481"/>
      <c r="Q423" s="482"/>
      <c r="R423" s="515"/>
      <c r="S423" s="516"/>
      <c r="T423" s="487"/>
      <c r="U423" s="488"/>
      <c r="V423" s="491"/>
      <c r="W423" s="481"/>
      <c r="X423" s="494"/>
      <c r="Y423" s="482"/>
      <c r="Z423" s="497"/>
      <c r="AA423" s="500" t="s">
        <v>345</v>
      </c>
      <c r="AB423" s="501"/>
      <c r="AC423" s="506" t="s">
        <v>257</v>
      </c>
      <c r="AD423" s="507"/>
      <c r="AE423" s="507"/>
      <c r="AF423" s="510"/>
      <c r="AG423" s="510"/>
      <c r="AH423" s="510"/>
      <c r="AI423" s="510"/>
      <c r="AJ423" s="510"/>
      <c r="AK423" s="510"/>
      <c r="AL423" s="510"/>
      <c r="AM423" s="510"/>
      <c r="AN423" s="510"/>
      <c r="AO423" s="510"/>
      <c r="AP423" s="510"/>
      <c r="AQ423" s="465"/>
      <c r="AR423" s="467">
        <f t="shared" ref="AR423" si="748">SUM(AF423:AQ424)</f>
        <v>0</v>
      </c>
      <c r="AS423" s="119" t="s">
        <v>257</v>
      </c>
      <c r="AT423" s="120"/>
      <c r="AU423" s="120"/>
      <c r="AV423" s="120"/>
      <c r="AW423" s="121"/>
      <c r="AX423" s="125">
        <f t="shared" ref="AX423:AX425" si="749">SUM(AT423:AW423)</f>
        <v>0</v>
      </c>
      <c r="AY423" s="141" t="s">
        <v>257</v>
      </c>
      <c r="AZ423" s="137"/>
      <c r="BA423" s="137"/>
      <c r="BB423" s="134">
        <f t="shared" ref="BB423:BB425" si="750">AZ423-BA423</f>
        <v>0</v>
      </c>
      <c r="BC423" s="469" t="s">
        <v>258</v>
      </c>
      <c r="BD423" s="470"/>
      <c r="BE423" s="13"/>
      <c r="BF423" s="16"/>
      <c r="BG423" s="13"/>
      <c r="BH423" s="16"/>
      <c r="BI423" s="13"/>
      <c r="BJ423" s="16"/>
      <c r="BK423" s="13"/>
      <c r="BL423" s="16"/>
      <c r="BM423" s="13"/>
      <c r="BN423" s="16"/>
      <c r="BO423" s="13"/>
      <c r="BP423" s="16"/>
      <c r="BQ423" s="106">
        <f t="shared" si="714"/>
        <v>0</v>
      </c>
      <c r="BR423" s="566"/>
      <c r="BS423" s="569"/>
      <c r="BT423" s="570"/>
      <c r="BU423" s="557"/>
      <c r="BV423" s="560"/>
      <c r="BW423" s="563"/>
      <c r="BX423" s="615"/>
    </row>
    <row r="424" spans="1:76" x14ac:dyDescent="0.25">
      <c r="A424" s="586"/>
      <c r="B424" s="590"/>
      <c r="C424" s="591"/>
      <c r="D424" s="605"/>
      <c r="E424" s="517"/>
      <c r="F424" s="518"/>
      <c r="G424" s="523"/>
      <c r="H424" s="524"/>
      <c r="I424" s="529"/>
      <c r="J424" s="530"/>
      <c r="K424" s="513"/>
      <c r="L424" s="534"/>
      <c r="M424" s="537"/>
      <c r="N424" s="541"/>
      <c r="O424" s="542"/>
      <c r="P424" s="483"/>
      <c r="Q424" s="484"/>
      <c r="R424" s="517"/>
      <c r="S424" s="518"/>
      <c r="T424" s="487"/>
      <c r="U424" s="488"/>
      <c r="V424" s="492"/>
      <c r="W424" s="483"/>
      <c r="X424" s="495"/>
      <c r="Y424" s="484"/>
      <c r="Z424" s="498"/>
      <c r="AA424" s="502"/>
      <c r="AB424" s="503"/>
      <c r="AC424" s="508"/>
      <c r="AD424" s="509"/>
      <c r="AE424" s="509"/>
      <c r="AF424" s="511"/>
      <c r="AG424" s="511"/>
      <c r="AH424" s="511"/>
      <c r="AI424" s="511"/>
      <c r="AJ424" s="511"/>
      <c r="AK424" s="511"/>
      <c r="AL424" s="511"/>
      <c r="AM424" s="511"/>
      <c r="AN424" s="511"/>
      <c r="AO424" s="511"/>
      <c r="AP424" s="511"/>
      <c r="AQ424" s="466"/>
      <c r="AR424" s="468"/>
      <c r="AS424" s="122" t="s">
        <v>259</v>
      </c>
      <c r="AT424" s="123"/>
      <c r="AU424" s="123"/>
      <c r="AV424" s="123"/>
      <c r="AW424" s="124"/>
      <c r="AX424" s="126">
        <f t="shared" si="749"/>
        <v>0</v>
      </c>
      <c r="AY424" s="142" t="s">
        <v>259</v>
      </c>
      <c r="AZ424" s="138"/>
      <c r="BA424" s="138"/>
      <c r="BB424" s="135">
        <f t="shared" si="750"/>
        <v>0</v>
      </c>
      <c r="BC424" s="474" t="s">
        <v>260</v>
      </c>
      <c r="BD424" s="475"/>
      <c r="BE424" s="14"/>
      <c r="BF424" s="17"/>
      <c r="BG424" s="14"/>
      <c r="BH424" s="17"/>
      <c r="BI424" s="14"/>
      <c r="BJ424" s="17"/>
      <c r="BK424" s="14"/>
      <c r="BL424" s="17"/>
      <c r="BM424" s="14"/>
      <c r="BN424" s="17"/>
      <c r="BO424" s="14"/>
      <c r="BP424" s="17"/>
      <c r="BQ424" s="107">
        <f t="shared" si="714"/>
        <v>0</v>
      </c>
      <c r="BR424" s="567"/>
      <c r="BS424" s="571"/>
      <c r="BT424" s="572"/>
      <c r="BU424" s="558"/>
      <c r="BV424" s="561"/>
      <c r="BW424" s="564"/>
      <c r="BX424" s="616"/>
    </row>
    <row r="425" spans="1:76" ht="15.75" thickBot="1" x14ac:dyDescent="0.3">
      <c r="A425" s="586"/>
      <c r="B425" s="590"/>
      <c r="C425" s="591"/>
      <c r="D425" s="605"/>
      <c r="E425" s="517"/>
      <c r="F425" s="518"/>
      <c r="G425" s="523"/>
      <c r="H425" s="524"/>
      <c r="I425" s="529"/>
      <c r="J425" s="530"/>
      <c r="K425" s="513"/>
      <c r="L425" s="534"/>
      <c r="M425" s="537"/>
      <c r="N425" s="541"/>
      <c r="O425" s="542"/>
      <c r="P425" s="483"/>
      <c r="Q425" s="484"/>
      <c r="R425" s="517"/>
      <c r="S425" s="518"/>
      <c r="T425" s="487"/>
      <c r="U425" s="488"/>
      <c r="V425" s="492"/>
      <c r="W425" s="483"/>
      <c r="X425" s="495"/>
      <c r="Y425" s="484"/>
      <c r="Z425" s="498"/>
      <c r="AA425" s="502"/>
      <c r="AB425" s="503"/>
      <c r="AC425" s="471" t="s">
        <v>259</v>
      </c>
      <c r="AD425" s="472"/>
      <c r="AE425" s="473"/>
      <c r="AF425" s="100"/>
      <c r="AG425" s="100"/>
      <c r="AH425" s="100"/>
      <c r="AI425" s="100"/>
      <c r="AJ425" s="100"/>
      <c r="AK425" s="100"/>
      <c r="AL425" s="100"/>
      <c r="AM425" s="100"/>
      <c r="AN425" s="100"/>
      <c r="AO425" s="100"/>
      <c r="AP425" s="100"/>
      <c r="AQ425" s="101"/>
      <c r="AR425" s="104">
        <f t="shared" ref="AR425:AR426" si="751">SUM(AF425:AQ425)</f>
        <v>0</v>
      </c>
      <c r="AS425" s="128" t="s">
        <v>261</v>
      </c>
      <c r="AT425" s="129"/>
      <c r="AU425" s="129"/>
      <c r="AV425" s="129"/>
      <c r="AW425" s="130"/>
      <c r="AX425" s="126">
        <f t="shared" si="749"/>
        <v>0</v>
      </c>
      <c r="AY425" s="143" t="s">
        <v>261</v>
      </c>
      <c r="AZ425" s="139"/>
      <c r="BA425" s="139"/>
      <c r="BB425" s="136">
        <f t="shared" si="750"/>
        <v>0</v>
      </c>
      <c r="BC425" s="474" t="s">
        <v>262</v>
      </c>
      <c r="BD425" s="475"/>
      <c r="BE425" s="14"/>
      <c r="BF425" s="17"/>
      <c r="BG425" s="14"/>
      <c r="BH425" s="17"/>
      <c r="BI425" s="14"/>
      <c r="BJ425" s="17"/>
      <c r="BK425" s="14"/>
      <c r="BL425" s="17"/>
      <c r="BM425" s="14"/>
      <c r="BN425" s="17"/>
      <c r="BO425" s="14"/>
      <c r="BP425" s="17"/>
      <c r="BQ425" s="108">
        <f t="shared" si="714"/>
        <v>0</v>
      </c>
      <c r="BR425" s="567"/>
      <c r="BS425" s="571"/>
      <c r="BT425" s="572"/>
      <c r="BU425" s="558"/>
      <c r="BV425" s="561"/>
      <c r="BW425" s="564"/>
      <c r="BX425" s="616"/>
    </row>
    <row r="426" spans="1:76" ht="15.75" thickBot="1" x14ac:dyDescent="0.3">
      <c r="A426" s="587"/>
      <c r="B426" s="592"/>
      <c r="C426" s="593"/>
      <c r="D426" s="606"/>
      <c r="E426" s="519"/>
      <c r="F426" s="520"/>
      <c r="G426" s="525"/>
      <c r="H426" s="526"/>
      <c r="I426" s="531"/>
      <c r="J426" s="532"/>
      <c r="K426" s="514"/>
      <c r="L426" s="535"/>
      <c r="M426" s="538"/>
      <c r="N426" s="543"/>
      <c r="O426" s="544"/>
      <c r="P426" s="485"/>
      <c r="Q426" s="486"/>
      <c r="R426" s="519"/>
      <c r="S426" s="520"/>
      <c r="T426" s="489"/>
      <c r="U426" s="490"/>
      <c r="V426" s="493"/>
      <c r="W426" s="485"/>
      <c r="X426" s="496"/>
      <c r="Y426" s="486"/>
      <c r="Z426" s="499"/>
      <c r="AA426" s="504"/>
      <c r="AB426" s="505"/>
      <c r="AC426" s="476" t="s">
        <v>261</v>
      </c>
      <c r="AD426" s="477"/>
      <c r="AE426" s="478"/>
      <c r="AF426" s="102"/>
      <c r="AG426" s="102"/>
      <c r="AH426" s="102"/>
      <c r="AI426" s="102"/>
      <c r="AJ426" s="102"/>
      <c r="AK426" s="102"/>
      <c r="AL426" s="102"/>
      <c r="AM426" s="102"/>
      <c r="AN426" s="102"/>
      <c r="AO426" s="102"/>
      <c r="AP426" s="102"/>
      <c r="AQ426" s="103"/>
      <c r="AR426" s="105">
        <f t="shared" si="751"/>
        <v>0</v>
      </c>
      <c r="AS426" s="131" t="s">
        <v>161</v>
      </c>
      <c r="AT426" s="132">
        <f t="shared" ref="AT426:AX426" si="752">SUM(AT423:AT425)</f>
        <v>0</v>
      </c>
      <c r="AU426" s="132">
        <f t="shared" si="752"/>
        <v>0</v>
      </c>
      <c r="AV426" s="132">
        <f t="shared" si="752"/>
        <v>0</v>
      </c>
      <c r="AW426" s="133">
        <f t="shared" si="752"/>
        <v>0</v>
      </c>
      <c r="AX426" s="127">
        <f t="shared" si="752"/>
        <v>0</v>
      </c>
      <c r="AY426" s="144" t="s">
        <v>161</v>
      </c>
      <c r="AZ426" s="140">
        <f t="shared" ref="AZ426:BB426" si="753">SUM(AZ423:AZ425)</f>
        <v>0</v>
      </c>
      <c r="BA426" s="140">
        <f t="shared" si="753"/>
        <v>0</v>
      </c>
      <c r="BB426" s="140">
        <f t="shared" si="753"/>
        <v>0</v>
      </c>
      <c r="BC426" s="479" t="s">
        <v>263</v>
      </c>
      <c r="BD426" s="480"/>
      <c r="BE426" s="15"/>
      <c r="BF426" s="18"/>
      <c r="BG426" s="15"/>
      <c r="BH426" s="18"/>
      <c r="BI426" s="15"/>
      <c r="BJ426" s="18"/>
      <c r="BK426" s="15"/>
      <c r="BL426" s="18"/>
      <c r="BM426" s="15"/>
      <c r="BN426" s="18"/>
      <c r="BO426" s="15"/>
      <c r="BP426" s="18"/>
      <c r="BQ426" s="109">
        <f t="shared" si="714"/>
        <v>0</v>
      </c>
      <c r="BR426" s="568"/>
      <c r="BS426" s="573"/>
      <c r="BT426" s="574"/>
      <c r="BU426" s="559"/>
      <c r="BV426" s="562"/>
      <c r="BW426" s="565"/>
      <c r="BX426" s="617"/>
    </row>
    <row r="427" spans="1:76" ht="15.75" thickTop="1" x14ac:dyDescent="0.25">
      <c r="A427" s="585">
        <v>105</v>
      </c>
      <c r="B427" s="588"/>
      <c r="C427" s="589"/>
      <c r="D427" s="604"/>
      <c r="E427" s="515"/>
      <c r="F427" s="516"/>
      <c r="G427" s="521"/>
      <c r="H427" s="522"/>
      <c r="I427" s="527"/>
      <c r="J427" s="528"/>
      <c r="K427" s="512"/>
      <c r="L427" s="533"/>
      <c r="M427" s="536"/>
      <c r="N427" s="539"/>
      <c r="O427" s="540"/>
      <c r="P427" s="481"/>
      <c r="Q427" s="482"/>
      <c r="R427" s="515"/>
      <c r="S427" s="516"/>
      <c r="T427" s="487"/>
      <c r="U427" s="488"/>
      <c r="V427" s="491"/>
      <c r="W427" s="481"/>
      <c r="X427" s="494"/>
      <c r="Y427" s="482"/>
      <c r="Z427" s="497"/>
      <c r="AA427" s="500" t="s">
        <v>346</v>
      </c>
      <c r="AB427" s="501"/>
      <c r="AC427" s="506" t="s">
        <v>257</v>
      </c>
      <c r="AD427" s="507"/>
      <c r="AE427" s="507"/>
      <c r="AF427" s="510"/>
      <c r="AG427" s="510"/>
      <c r="AH427" s="510"/>
      <c r="AI427" s="510"/>
      <c r="AJ427" s="510"/>
      <c r="AK427" s="510"/>
      <c r="AL427" s="510"/>
      <c r="AM427" s="510"/>
      <c r="AN427" s="510"/>
      <c r="AO427" s="510"/>
      <c r="AP427" s="510"/>
      <c r="AQ427" s="465"/>
      <c r="AR427" s="467">
        <f t="shared" ref="AR427" si="754">SUM(AF427:AQ428)</f>
        <v>0</v>
      </c>
      <c r="AS427" s="119" t="s">
        <v>257</v>
      </c>
      <c r="AT427" s="120"/>
      <c r="AU427" s="120"/>
      <c r="AV427" s="120"/>
      <c r="AW427" s="121"/>
      <c r="AX427" s="125">
        <f t="shared" ref="AX427:AX429" si="755">SUM(AT427:AW427)</f>
        <v>0</v>
      </c>
      <c r="AY427" s="141" t="s">
        <v>257</v>
      </c>
      <c r="AZ427" s="137"/>
      <c r="BA427" s="137"/>
      <c r="BB427" s="134">
        <f t="shared" ref="BB427:BB429" si="756">AZ427-BA427</f>
        <v>0</v>
      </c>
      <c r="BC427" s="469" t="s">
        <v>258</v>
      </c>
      <c r="BD427" s="470"/>
      <c r="BE427" s="13"/>
      <c r="BF427" s="16"/>
      <c r="BG427" s="13"/>
      <c r="BH427" s="16"/>
      <c r="BI427" s="13"/>
      <c r="BJ427" s="16"/>
      <c r="BK427" s="13"/>
      <c r="BL427" s="16"/>
      <c r="BM427" s="13"/>
      <c r="BN427" s="16"/>
      <c r="BO427" s="13"/>
      <c r="BP427" s="16"/>
      <c r="BQ427" s="106">
        <f t="shared" ref="BQ427:BQ490" si="757">SUM(BE427:BP427)</f>
        <v>0</v>
      </c>
      <c r="BR427" s="566"/>
      <c r="BS427" s="569"/>
      <c r="BT427" s="570"/>
      <c r="BU427" s="557"/>
      <c r="BV427" s="560"/>
      <c r="BW427" s="563"/>
      <c r="BX427" s="615"/>
    </row>
    <row r="428" spans="1:76" x14ac:dyDescent="0.25">
      <c r="A428" s="586"/>
      <c r="B428" s="590"/>
      <c r="C428" s="591"/>
      <c r="D428" s="605"/>
      <c r="E428" s="517"/>
      <c r="F428" s="518"/>
      <c r="G428" s="523"/>
      <c r="H428" s="524"/>
      <c r="I428" s="529"/>
      <c r="J428" s="530"/>
      <c r="K428" s="513"/>
      <c r="L428" s="534"/>
      <c r="M428" s="537"/>
      <c r="N428" s="541"/>
      <c r="O428" s="542"/>
      <c r="P428" s="483"/>
      <c r="Q428" s="484"/>
      <c r="R428" s="517"/>
      <c r="S428" s="518"/>
      <c r="T428" s="487"/>
      <c r="U428" s="488"/>
      <c r="V428" s="492"/>
      <c r="W428" s="483"/>
      <c r="X428" s="495"/>
      <c r="Y428" s="484"/>
      <c r="Z428" s="498"/>
      <c r="AA428" s="502"/>
      <c r="AB428" s="503"/>
      <c r="AC428" s="508"/>
      <c r="AD428" s="509"/>
      <c r="AE428" s="509"/>
      <c r="AF428" s="511"/>
      <c r="AG428" s="511"/>
      <c r="AH428" s="511"/>
      <c r="AI428" s="511"/>
      <c r="AJ428" s="511"/>
      <c r="AK428" s="511"/>
      <c r="AL428" s="511"/>
      <c r="AM428" s="511"/>
      <c r="AN428" s="511"/>
      <c r="AO428" s="511"/>
      <c r="AP428" s="511"/>
      <c r="AQ428" s="466"/>
      <c r="AR428" s="468"/>
      <c r="AS428" s="122" t="s">
        <v>259</v>
      </c>
      <c r="AT428" s="123"/>
      <c r="AU428" s="123"/>
      <c r="AV428" s="123"/>
      <c r="AW428" s="124"/>
      <c r="AX428" s="126">
        <f t="shared" si="755"/>
        <v>0</v>
      </c>
      <c r="AY428" s="142" t="s">
        <v>259</v>
      </c>
      <c r="AZ428" s="138"/>
      <c r="BA428" s="138"/>
      <c r="BB428" s="135">
        <f t="shared" si="756"/>
        <v>0</v>
      </c>
      <c r="BC428" s="474" t="s">
        <v>260</v>
      </c>
      <c r="BD428" s="475"/>
      <c r="BE428" s="14"/>
      <c r="BF428" s="17"/>
      <c r="BG428" s="14"/>
      <c r="BH428" s="17"/>
      <c r="BI428" s="14"/>
      <c r="BJ428" s="17"/>
      <c r="BK428" s="14"/>
      <c r="BL428" s="17"/>
      <c r="BM428" s="14"/>
      <c r="BN428" s="17"/>
      <c r="BO428" s="14"/>
      <c r="BP428" s="17"/>
      <c r="BQ428" s="107">
        <f t="shared" si="757"/>
        <v>0</v>
      </c>
      <c r="BR428" s="567"/>
      <c r="BS428" s="571"/>
      <c r="BT428" s="572"/>
      <c r="BU428" s="558"/>
      <c r="BV428" s="561"/>
      <c r="BW428" s="564"/>
      <c r="BX428" s="616"/>
    </row>
    <row r="429" spans="1:76" ht="15.75" thickBot="1" x14ac:dyDescent="0.3">
      <c r="A429" s="586"/>
      <c r="B429" s="590"/>
      <c r="C429" s="591"/>
      <c r="D429" s="605"/>
      <c r="E429" s="517"/>
      <c r="F429" s="518"/>
      <c r="G429" s="523"/>
      <c r="H429" s="524"/>
      <c r="I429" s="529"/>
      <c r="J429" s="530"/>
      <c r="K429" s="513"/>
      <c r="L429" s="534"/>
      <c r="M429" s="537"/>
      <c r="N429" s="541"/>
      <c r="O429" s="542"/>
      <c r="P429" s="483"/>
      <c r="Q429" s="484"/>
      <c r="R429" s="517"/>
      <c r="S429" s="518"/>
      <c r="T429" s="487"/>
      <c r="U429" s="488"/>
      <c r="V429" s="492"/>
      <c r="W429" s="483"/>
      <c r="X429" s="495"/>
      <c r="Y429" s="484"/>
      <c r="Z429" s="498"/>
      <c r="AA429" s="502"/>
      <c r="AB429" s="503"/>
      <c r="AC429" s="471" t="s">
        <v>259</v>
      </c>
      <c r="AD429" s="472"/>
      <c r="AE429" s="473"/>
      <c r="AF429" s="100"/>
      <c r="AG429" s="100"/>
      <c r="AH429" s="100"/>
      <c r="AI429" s="100"/>
      <c r="AJ429" s="100"/>
      <c r="AK429" s="100"/>
      <c r="AL429" s="100"/>
      <c r="AM429" s="100"/>
      <c r="AN429" s="100"/>
      <c r="AO429" s="100"/>
      <c r="AP429" s="100"/>
      <c r="AQ429" s="101"/>
      <c r="AR429" s="104">
        <f t="shared" ref="AR429:AR430" si="758">SUM(AF429:AQ429)</f>
        <v>0</v>
      </c>
      <c r="AS429" s="128" t="s">
        <v>261</v>
      </c>
      <c r="AT429" s="129"/>
      <c r="AU429" s="129"/>
      <c r="AV429" s="129"/>
      <c r="AW429" s="130"/>
      <c r="AX429" s="126">
        <f t="shared" si="755"/>
        <v>0</v>
      </c>
      <c r="AY429" s="143" t="s">
        <v>261</v>
      </c>
      <c r="AZ429" s="139"/>
      <c r="BA429" s="139"/>
      <c r="BB429" s="136">
        <f t="shared" si="756"/>
        <v>0</v>
      </c>
      <c r="BC429" s="474" t="s">
        <v>262</v>
      </c>
      <c r="BD429" s="475"/>
      <c r="BE429" s="14"/>
      <c r="BF429" s="17"/>
      <c r="BG429" s="14"/>
      <c r="BH429" s="17"/>
      <c r="BI429" s="14"/>
      <c r="BJ429" s="17"/>
      <c r="BK429" s="14"/>
      <c r="BL429" s="17"/>
      <c r="BM429" s="14"/>
      <c r="BN429" s="17"/>
      <c r="BO429" s="14"/>
      <c r="BP429" s="17"/>
      <c r="BQ429" s="108">
        <f t="shared" si="757"/>
        <v>0</v>
      </c>
      <c r="BR429" s="567"/>
      <c r="BS429" s="571"/>
      <c r="BT429" s="572"/>
      <c r="BU429" s="558"/>
      <c r="BV429" s="561"/>
      <c r="BW429" s="564"/>
      <c r="BX429" s="616"/>
    </row>
    <row r="430" spans="1:76" ht="15.75" thickBot="1" x14ac:dyDescent="0.3">
      <c r="A430" s="587"/>
      <c r="B430" s="592"/>
      <c r="C430" s="593"/>
      <c r="D430" s="606"/>
      <c r="E430" s="519"/>
      <c r="F430" s="520"/>
      <c r="G430" s="525"/>
      <c r="H430" s="526"/>
      <c r="I430" s="531"/>
      <c r="J430" s="532"/>
      <c r="K430" s="514"/>
      <c r="L430" s="535"/>
      <c r="M430" s="538"/>
      <c r="N430" s="543"/>
      <c r="O430" s="544"/>
      <c r="P430" s="485"/>
      <c r="Q430" s="486"/>
      <c r="R430" s="519"/>
      <c r="S430" s="520"/>
      <c r="T430" s="489"/>
      <c r="U430" s="490"/>
      <c r="V430" s="493"/>
      <c r="W430" s="485"/>
      <c r="X430" s="496"/>
      <c r="Y430" s="486"/>
      <c r="Z430" s="499"/>
      <c r="AA430" s="504"/>
      <c r="AB430" s="505"/>
      <c r="AC430" s="476" t="s">
        <v>261</v>
      </c>
      <c r="AD430" s="477"/>
      <c r="AE430" s="478"/>
      <c r="AF430" s="102"/>
      <c r="AG430" s="102"/>
      <c r="AH430" s="102"/>
      <c r="AI430" s="102"/>
      <c r="AJ430" s="102"/>
      <c r="AK430" s="102"/>
      <c r="AL430" s="102"/>
      <c r="AM430" s="102"/>
      <c r="AN430" s="102"/>
      <c r="AO430" s="102"/>
      <c r="AP430" s="102"/>
      <c r="AQ430" s="103"/>
      <c r="AR430" s="105">
        <f t="shared" si="758"/>
        <v>0</v>
      </c>
      <c r="AS430" s="131" t="s">
        <v>161</v>
      </c>
      <c r="AT430" s="132">
        <f t="shared" ref="AT430:AX430" si="759">SUM(AT427:AT429)</f>
        <v>0</v>
      </c>
      <c r="AU430" s="132">
        <f t="shared" si="759"/>
        <v>0</v>
      </c>
      <c r="AV430" s="132">
        <f t="shared" si="759"/>
        <v>0</v>
      </c>
      <c r="AW430" s="133">
        <f t="shared" si="759"/>
        <v>0</v>
      </c>
      <c r="AX430" s="127">
        <f t="shared" si="759"/>
        <v>0</v>
      </c>
      <c r="AY430" s="144" t="s">
        <v>161</v>
      </c>
      <c r="AZ430" s="140">
        <f t="shared" ref="AZ430:BB430" si="760">SUM(AZ427:AZ429)</f>
        <v>0</v>
      </c>
      <c r="BA430" s="140">
        <f t="shared" si="760"/>
        <v>0</v>
      </c>
      <c r="BB430" s="140">
        <f t="shared" si="760"/>
        <v>0</v>
      </c>
      <c r="BC430" s="479" t="s">
        <v>263</v>
      </c>
      <c r="BD430" s="480"/>
      <c r="BE430" s="15"/>
      <c r="BF430" s="18"/>
      <c r="BG430" s="15"/>
      <c r="BH430" s="18"/>
      <c r="BI430" s="15"/>
      <c r="BJ430" s="18"/>
      <c r="BK430" s="15"/>
      <c r="BL430" s="18"/>
      <c r="BM430" s="15"/>
      <c r="BN430" s="18"/>
      <c r="BO430" s="15"/>
      <c r="BP430" s="18"/>
      <c r="BQ430" s="109">
        <f t="shared" si="757"/>
        <v>0</v>
      </c>
      <c r="BR430" s="568"/>
      <c r="BS430" s="573"/>
      <c r="BT430" s="574"/>
      <c r="BU430" s="559"/>
      <c r="BV430" s="562"/>
      <c r="BW430" s="565"/>
      <c r="BX430" s="617"/>
    </row>
    <row r="431" spans="1:76" ht="15.75" thickTop="1" x14ac:dyDescent="0.25">
      <c r="A431" s="585">
        <v>106</v>
      </c>
      <c r="B431" s="588"/>
      <c r="C431" s="589"/>
      <c r="D431" s="604"/>
      <c r="E431" s="515"/>
      <c r="F431" s="516"/>
      <c r="G431" s="521"/>
      <c r="H431" s="522"/>
      <c r="I431" s="527"/>
      <c r="J431" s="528"/>
      <c r="K431" s="512"/>
      <c r="L431" s="533"/>
      <c r="M431" s="536"/>
      <c r="N431" s="539"/>
      <c r="O431" s="540"/>
      <c r="P431" s="481"/>
      <c r="Q431" s="482"/>
      <c r="R431" s="515"/>
      <c r="S431" s="516"/>
      <c r="T431" s="487"/>
      <c r="U431" s="488"/>
      <c r="V431" s="491"/>
      <c r="W431" s="481"/>
      <c r="X431" s="494"/>
      <c r="Y431" s="482"/>
      <c r="Z431" s="497"/>
      <c r="AA431" s="500" t="s">
        <v>347</v>
      </c>
      <c r="AB431" s="501"/>
      <c r="AC431" s="506" t="s">
        <v>257</v>
      </c>
      <c r="AD431" s="507"/>
      <c r="AE431" s="507"/>
      <c r="AF431" s="510"/>
      <c r="AG431" s="510"/>
      <c r="AH431" s="510"/>
      <c r="AI431" s="510"/>
      <c r="AJ431" s="510"/>
      <c r="AK431" s="510"/>
      <c r="AL431" s="510"/>
      <c r="AM431" s="510"/>
      <c r="AN431" s="510"/>
      <c r="AO431" s="510"/>
      <c r="AP431" s="510"/>
      <c r="AQ431" s="465"/>
      <c r="AR431" s="467">
        <f t="shared" ref="AR431" si="761">SUM(AF431:AQ432)</f>
        <v>0</v>
      </c>
      <c r="AS431" s="119" t="s">
        <v>257</v>
      </c>
      <c r="AT431" s="120"/>
      <c r="AU431" s="120"/>
      <c r="AV431" s="120"/>
      <c r="AW431" s="121"/>
      <c r="AX431" s="125">
        <f t="shared" ref="AX431:AX433" si="762">SUM(AT431:AW431)</f>
        <v>0</v>
      </c>
      <c r="AY431" s="141" t="s">
        <v>257</v>
      </c>
      <c r="AZ431" s="137"/>
      <c r="BA431" s="137"/>
      <c r="BB431" s="134">
        <f t="shared" ref="BB431:BB433" si="763">AZ431-BA431</f>
        <v>0</v>
      </c>
      <c r="BC431" s="469" t="s">
        <v>258</v>
      </c>
      <c r="BD431" s="470"/>
      <c r="BE431" s="13"/>
      <c r="BF431" s="16"/>
      <c r="BG431" s="13"/>
      <c r="BH431" s="16"/>
      <c r="BI431" s="13"/>
      <c r="BJ431" s="16"/>
      <c r="BK431" s="13"/>
      <c r="BL431" s="16"/>
      <c r="BM431" s="13"/>
      <c r="BN431" s="16"/>
      <c r="BO431" s="13"/>
      <c r="BP431" s="16"/>
      <c r="BQ431" s="106">
        <f t="shared" si="757"/>
        <v>0</v>
      </c>
      <c r="BR431" s="566"/>
      <c r="BS431" s="569"/>
      <c r="BT431" s="570"/>
      <c r="BU431" s="557"/>
      <c r="BV431" s="560"/>
      <c r="BW431" s="563"/>
      <c r="BX431" s="615"/>
    </row>
    <row r="432" spans="1:76" x14ac:dyDescent="0.25">
      <c r="A432" s="586"/>
      <c r="B432" s="590"/>
      <c r="C432" s="591"/>
      <c r="D432" s="605"/>
      <c r="E432" s="517"/>
      <c r="F432" s="518"/>
      <c r="G432" s="523"/>
      <c r="H432" s="524"/>
      <c r="I432" s="529"/>
      <c r="J432" s="530"/>
      <c r="K432" s="513"/>
      <c r="L432" s="534"/>
      <c r="M432" s="537"/>
      <c r="N432" s="541"/>
      <c r="O432" s="542"/>
      <c r="P432" s="483"/>
      <c r="Q432" s="484"/>
      <c r="R432" s="517"/>
      <c r="S432" s="518"/>
      <c r="T432" s="487"/>
      <c r="U432" s="488"/>
      <c r="V432" s="492"/>
      <c r="W432" s="483"/>
      <c r="X432" s="495"/>
      <c r="Y432" s="484"/>
      <c r="Z432" s="498"/>
      <c r="AA432" s="502"/>
      <c r="AB432" s="503"/>
      <c r="AC432" s="508"/>
      <c r="AD432" s="509"/>
      <c r="AE432" s="509"/>
      <c r="AF432" s="511"/>
      <c r="AG432" s="511"/>
      <c r="AH432" s="511"/>
      <c r="AI432" s="511"/>
      <c r="AJ432" s="511"/>
      <c r="AK432" s="511"/>
      <c r="AL432" s="511"/>
      <c r="AM432" s="511"/>
      <c r="AN432" s="511"/>
      <c r="AO432" s="511"/>
      <c r="AP432" s="511"/>
      <c r="AQ432" s="466"/>
      <c r="AR432" s="468"/>
      <c r="AS432" s="122" t="s">
        <v>259</v>
      </c>
      <c r="AT432" s="123"/>
      <c r="AU432" s="123"/>
      <c r="AV432" s="123"/>
      <c r="AW432" s="124"/>
      <c r="AX432" s="126">
        <f t="shared" si="762"/>
        <v>0</v>
      </c>
      <c r="AY432" s="142" t="s">
        <v>259</v>
      </c>
      <c r="AZ432" s="138"/>
      <c r="BA432" s="138"/>
      <c r="BB432" s="135">
        <f t="shared" si="763"/>
        <v>0</v>
      </c>
      <c r="BC432" s="474" t="s">
        <v>260</v>
      </c>
      <c r="BD432" s="475"/>
      <c r="BE432" s="14"/>
      <c r="BF432" s="17"/>
      <c r="BG432" s="14"/>
      <c r="BH432" s="17"/>
      <c r="BI432" s="14"/>
      <c r="BJ432" s="17"/>
      <c r="BK432" s="14"/>
      <c r="BL432" s="17"/>
      <c r="BM432" s="14"/>
      <c r="BN432" s="17"/>
      <c r="BO432" s="14"/>
      <c r="BP432" s="17"/>
      <c r="BQ432" s="107">
        <f t="shared" si="757"/>
        <v>0</v>
      </c>
      <c r="BR432" s="567"/>
      <c r="BS432" s="571"/>
      <c r="BT432" s="572"/>
      <c r="BU432" s="558"/>
      <c r="BV432" s="561"/>
      <c r="BW432" s="564"/>
      <c r="BX432" s="616"/>
    </row>
    <row r="433" spans="1:76" ht="15.75" thickBot="1" x14ac:dyDescent="0.3">
      <c r="A433" s="586"/>
      <c r="B433" s="590"/>
      <c r="C433" s="591"/>
      <c r="D433" s="605"/>
      <c r="E433" s="517"/>
      <c r="F433" s="518"/>
      <c r="G433" s="523"/>
      <c r="H433" s="524"/>
      <c r="I433" s="529"/>
      <c r="J433" s="530"/>
      <c r="K433" s="513"/>
      <c r="L433" s="534"/>
      <c r="M433" s="537"/>
      <c r="N433" s="541"/>
      <c r="O433" s="542"/>
      <c r="P433" s="483"/>
      <c r="Q433" s="484"/>
      <c r="R433" s="517"/>
      <c r="S433" s="518"/>
      <c r="T433" s="487"/>
      <c r="U433" s="488"/>
      <c r="V433" s="492"/>
      <c r="W433" s="483"/>
      <c r="X433" s="495"/>
      <c r="Y433" s="484"/>
      <c r="Z433" s="498"/>
      <c r="AA433" s="502"/>
      <c r="AB433" s="503"/>
      <c r="AC433" s="471" t="s">
        <v>259</v>
      </c>
      <c r="AD433" s="472"/>
      <c r="AE433" s="473"/>
      <c r="AF433" s="100"/>
      <c r="AG433" s="100"/>
      <c r="AH433" s="100"/>
      <c r="AI433" s="100"/>
      <c r="AJ433" s="100"/>
      <c r="AK433" s="100"/>
      <c r="AL433" s="100"/>
      <c r="AM433" s="100"/>
      <c r="AN433" s="100"/>
      <c r="AO433" s="100"/>
      <c r="AP433" s="100"/>
      <c r="AQ433" s="101"/>
      <c r="AR433" s="104">
        <f t="shared" ref="AR433:AR434" si="764">SUM(AF433:AQ433)</f>
        <v>0</v>
      </c>
      <c r="AS433" s="128" t="s">
        <v>261</v>
      </c>
      <c r="AT433" s="129"/>
      <c r="AU433" s="129"/>
      <c r="AV433" s="129"/>
      <c r="AW433" s="130"/>
      <c r="AX433" s="126">
        <f t="shared" si="762"/>
        <v>0</v>
      </c>
      <c r="AY433" s="143" t="s">
        <v>261</v>
      </c>
      <c r="AZ433" s="139"/>
      <c r="BA433" s="139"/>
      <c r="BB433" s="136">
        <f t="shared" si="763"/>
        <v>0</v>
      </c>
      <c r="BC433" s="474" t="s">
        <v>262</v>
      </c>
      <c r="BD433" s="475"/>
      <c r="BE433" s="14"/>
      <c r="BF433" s="17"/>
      <c r="BG433" s="14"/>
      <c r="BH433" s="17"/>
      <c r="BI433" s="14"/>
      <c r="BJ433" s="17"/>
      <c r="BK433" s="14"/>
      <c r="BL433" s="17"/>
      <c r="BM433" s="14"/>
      <c r="BN433" s="17"/>
      <c r="BO433" s="14"/>
      <c r="BP433" s="17"/>
      <c r="BQ433" s="108">
        <f t="shared" si="757"/>
        <v>0</v>
      </c>
      <c r="BR433" s="567"/>
      <c r="BS433" s="571"/>
      <c r="BT433" s="572"/>
      <c r="BU433" s="558"/>
      <c r="BV433" s="561"/>
      <c r="BW433" s="564"/>
      <c r="BX433" s="616"/>
    </row>
    <row r="434" spans="1:76" ht="15.75" thickBot="1" x14ac:dyDescent="0.3">
      <c r="A434" s="587"/>
      <c r="B434" s="592"/>
      <c r="C434" s="593"/>
      <c r="D434" s="606"/>
      <c r="E434" s="519"/>
      <c r="F434" s="520"/>
      <c r="G434" s="525"/>
      <c r="H434" s="526"/>
      <c r="I434" s="531"/>
      <c r="J434" s="532"/>
      <c r="K434" s="514"/>
      <c r="L434" s="535"/>
      <c r="M434" s="538"/>
      <c r="N434" s="543"/>
      <c r="O434" s="544"/>
      <c r="P434" s="485"/>
      <c r="Q434" s="486"/>
      <c r="R434" s="519"/>
      <c r="S434" s="520"/>
      <c r="T434" s="489"/>
      <c r="U434" s="490"/>
      <c r="V434" s="493"/>
      <c r="W434" s="485"/>
      <c r="X434" s="496"/>
      <c r="Y434" s="486"/>
      <c r="Z434" s="499"/>
      <c r="AA434" s="504"/>
      <c r="AB434" s="505"/>
      <c r="AC434" s="476" t="s">
        <v>261</v>
      </c>
      <c r="AD434" s="477"/>
      <c r="AE434" s="478"/>
      <c r="AF434" s="102"/>
      <c r="AG434" s="102"/>
      <c r="AH434" s="102"/>
      <c r="AI434" s="102"/>
      <c r="AJ434" s="102"/>
      <c r="AK434" s="102"/>
      <c r="AL434" s="102"/>
      <c r="AM434" s="102"/>
      <c r="AN434" s="102"/>
      <c r="AO434" s="102"/>
      <c r="AP434" s="102"/>
      <c r="AQ434" s="103"/>
      <c r="AR434" s="105">
        <f t="shared" si="764"/>
        <v>0</v>
      </c>
      <c r="AS434" s="131" t="s">
        <v>161</v>
      </c>
      <c r="AT434" s="132">
        <f t="shared" ref="AT434:AX434" si="765">SUM(AT431:AT433)</f>
        <v>0</v>
      </c>
      <c r="AU434" s="132">
        <f t="shared" si="765"/>
        <v>0</v>
      </c>
      <c r="AV434" s="132">
        <f t="shared" si="765"/>
        <v>0</v>
      </c>
      <c r="AW434" s="133">
        <f t="shared" si="765"/>
        <v>0</v>
      </c>
      <c r="AX434" s="127">
        <f t="shared" si="765"/>
        <v>0</v>
      </c>
      <c r="AY434" s="144" t="s">
        <v>161</v>
      </c>
      <c r="AZ434" s="140">
        <f t="shared" ref="AZ434:BB434" si="766">SUM(AZ431:AZ433)</f>
        <v>0</v>
      </c>
      <c r="BA434" s="140">
        <f t="shared" si="766"/>
        <v>0</v>
      </c>
      <c r="BB434" s="140">
        <f t="shared" si="766"/>
        <v>0</v>
      </c>
      <c r="BC434" s="479" t="s">
        <v>263</v>
      </c>
      <c r="BD434" s="480"/>
      <c r="BE434" s="15"/>
      <c r="BF434" s="18"/>
      <c r="BG434" s="15"/>
      <c r="BH434" s="18"/>
      <c r="BI434" s="15"/>
      <c r="BJ434" s="18"/>
      <c r="BK434" s="15"/>
      <c r="BL434" s="18"/>
      <c r="BM434" s="15"/>
      <c r="BN434" s="18"/>
      <c r="BO434" s="15"/>
      <c r="BP434" s="18"/>
      <c r="BQ434" s="109">
        <f t="shared" si="757"/>
        <v>0</v>
      </c>
      <c r="BR434" s="568"/>
      <c r="BS434" s="573"/>
      <c r="BT434" s="574"/>
      <c r="BU434" s="559"/>
      <c r="BV434" s="562"/>
      <c r="BW434" s="565"/>
      <c r="BX434" s="617"/>
    </row>
    <row r="435" spans="1:76" ht="15.75" thickTop="1" x14ac:dyDescent="0.25">
      <c r="A435" s="585">
        <v>107</v>
      </c>
      <c r="B435" s="588"/>
      <c r="C435" s="589"/>
      <c r="D435" s="604"/>
      <c r="E435" s="515"/>
      <c r="F435" s="516"/>
      <c r="G435" s="521"/>
      <c r="H435" s="522"/>
      <c r="I435" s="527"/>
      <c r="J435" s="528"/>
      <c r="K435" s="512"/>
      <c r="L435" s="533"/>
      <c r="M435" s="536"/>
      <c r="N435" s="539"/>
      <c r="O435" s="540"/>
      <c r="P435" s="481"/>
      <c r="Q435" s="482"/>
      <c r="R435" s="515"/>
      <c r="S435" s="516"/>
      <c r="T435" s="487"/>
      <c r="U435" s="488"/>
      <c r="V435" s="491"/>
      <c r="W435" s="481"/>
      <c r="X435" s="494"/>
      <c r="Y435" s="482"/>
      <c r="Z435" s="497"/>
      <c r="AA435" s="500" t="s">
        <v>348</v>
      </c>
      <c r="AB435" s="501"/>
      <c r="AC435" s="506" t="s">
        <v>257</v>
      </c>
      <c r="AD435" s="507"/>
      <c r="AE435" s="507"/>
      <c r="AF435" s="510"/>
      <c r="AG435" s="510"/>
      <c r="AH435" s="510"/>
      <c r="AI435" s="510"/>
      <c r="AJ435" s="510"/>
      <c r="AK435" s="510"/>
      <c r="AL435" s="510"/>
      <c r="AM435" s="510"/>
      <c r="AN435" s="510"/>
      <c r="AO435" s="510"/>
      <c r="AP435" s="510"/>
      <c r="AQ435" s="465"/>
      <c r="AR435" s="467">
        <f t="shared" ref="AR435" si="767">SUM(AF435:AQ436)</f>
        <v>0</v>
      </c>
      <c r="AS435" s="119" t="s">
        <v>257</v>
      </c>
      <c r="AT435" s="120"/>
      <c r="AU435" s="120"/>
      <c r="AV435" s="120"/>
      <c r="AW435" s="121"/>
      <c r="AX435" s="125">
        <f t="shared" ref="AX435:AX437" si="768">SUM(AT435:AW435)</f>
        <v>0</v>
      </c>
      <c r="AY435" s="141" t="s">
        <v>257</v>
      </c>
      <c r="AZ435" s="137"/>
      <c r="BA435" s="137"/>
      <c r="BB435" s="134">
        <f t="shared" ref="BB435:BB437" si="769">AZ435-BA435</f>
        <v>0</v>
      </c>
      <c r="BC435" s="469" t="s">
        <v>258</v>
      </c>
      <c r="BD435" s="470"/>
      <c r="BE435" s="13"/>
      <c r="BF435" s="16"/>
      <c r="BG435" s="13"/>
      <c r="BH435" s="16"/>
      <c r="BI435" s="13"/>
      <c r="BJ435" s="16"/>
      <c r="BK435" s="13"/>
      <c r="BL435" s="16"/>
      <c r="BM435" s="13"/>
      <c r="BN435" s="16"/>
      <c r="BO435" s="13"/>
      <c r="BP435" s="16"/>
      <c r="BQ435" s="106">
        <f t="shared" si="757"/>
        <v>0</v>
      </c>
      <c r="BR435" s="566"/>
      <c r="BS435" s="569"/>
      <c r="BT435" s="570"/>
      <c r="BU435" s="557"/>
      <c r="BV435" s="560"/>
      <c r="BW435" s="563"/>
      <c r="BX435" s="615"/>
    </row>
    <row r="436" spans="1:76" x14ac:dyDescent="0.25">
      <c r="A436" s="586"/>
      <c r="B436" s="590"/>
      <c r="C436" s="591"/>
      <c r="D436" s="605"/>
      <c r="E436" s="517"/>
      <c r="F436" s="518"/>
      <c r="G436" s="523"/>
      <c r="H436" s="524"/>
      <c r="I436" s="529"/>
      <c r="J436" s="530"/>
      <c r="K436" s="513"/>
      <c r="L436" s="534"/>
      <c r="M436" s="537"/>
      <c r="N436" s="541"/>
      <c r="O436" s="542"/>
      <c r="P436" s="483"/>
      <c r="Q436" s="484"/>
      <c r="R436" s="517"/>
      <c r="S436" s="518"/>
      <c r="T436" s="487"/>
      <c r="U436" s="488"/>
      <c r="V436" s="492"/>
      <c r="W436" s="483"/>
      <c r="X436" s="495"/>
      <c r="Y436" s="484"/>
      <c r="Z436" s="498"/>
      <c r="AA436" s="502"/>
      <c r="AB436" s="503"/>
      <c r="AC436" s="508"/>
      <c r="AD436" s="509"/>
      <c r="AE436" s="509"/>
      <c r="AF436" s="511"/>
      <c r="AG436" s="511"/>
      <c r="AH436" s="511"/>
      <c r="AI436" s="511"/>
      <c r="AJ436" s="511"/>
      <c r="AK436" s="511"/>
      <c r="AL436" s="511"/>
      <c r="AM436" s="511"/>
      <c r="AN436" s="511"/>
      <c r="AO436" s="511"/>
      <c r="AP436" s="511"/>
      <c r="AQ436" s="466"/>
      <c r="AR436" s="468"/>
      <c r="AS436" s="122" t="s">
        <v>259</v>
      </c>
      <c r="AT436" s="123"/>
      <c r="AU436" s="123"/>
      <c r="AV436" s="123"/>
      <c r="AW436" s="124"/>
      <c r="AX436" s="126">
        <f t="shared" si="768"/>
        <v>0</v>
      </c>
      <c r="AY436" s="142" t="s">
        <v>259</v>
      </c>
      <c r="AZ436" s="138"/>
      <c r="BA436" s="138"/>
      <c r="BB436" s="135">
        <f t="shared" si="769"/>
        <v>0</v>
      </c>
      <c r="BC436" s="474" t="s">
        <v>260</v>
      </c>
      <c r="BD436" s="475"/>
      <c r="BE436" s="14"/>
      <c r="BF436" s="17"/>
      <c r="BG436" s="14"/>
      <c r="BH436" s="17"/>
      <c r="BI436" s="14"/>
      <c r="BJ436" s="17"/>
      <c r="BK436" s="14"/>
      <c r="BL436" s="17"/>
      <c r="BM436" s="14"/>
      <c r="BN436" s="17"/>
      <c r="BO436" s="14"/>
      <c r="BP436" s="17"/>
      <c r="BQ436" s="107">
        <f t="shared" si="757"/>
        <v>0</v>
      </c>
      <c r="BR436" s="567"/>
      <c r="BS436" s="571"/>
      <c r="BT436" s="572"/>
      <c r="BU436" s="558"/>
      <c r="BV436" s="561"/>
      <c r="BW436" s="564"/>
      <c r="BX436" s="616"/>
    </row>
    <row r="437" spans="1:76" ht="15.75" thickBot="1" x14ac:dyDescent="0.3">
      <c r="A437" s="586"/>
      <c r="B437" s="590"/>
      <c r="C437" s="591"/>
      <c r="D437" s="605"/>
      <c r="E437" s="517"/>
      <c r="F437" s="518"/>
      <c r="G437" s="523"/>
      <c r="H437" s="524"/>
      <c r="I437" s="529"/>
      <c r="J437" s="530"/>
      <c r="K437" s="513"/>
      <c r="L437" s="534"/>
      <c r="M437" s="537"/>
      <c r="N437" s="541"/>
      <c r="O437" s="542"/>
      <c r="P437" s="483"/>
      <c r="Q437" s="484"/>
      <c r="R437" s="517"/>
      <c r="S437" s="518"/>
      <c r="T437" s="487"/>
      <c r="U437" s="488"/>
      <c r="V437" s="492"/>
      <c r="W437" s="483"/>
      <c r="X437" s="495"/>
      <c r="Y437" s="484"/>
      <c r="Z437" s="498"/>
      <c r="AA437" s="502"/>
      <c r="AB437" s="503"/>
      <c r="AC437" s="471" t="s">
        <v>259</v>
      </c>
      <c r="AD437" s="472"/>
      <c r="AE437" s="473"/>
      <c r="AF437" s="100"/>
      <c r="AG437" s="100"/>
      <c r="AH437" s="100"/>
      <c r="AI437" s="100"/>
      <c r="AJ437" s="100"/>
      <c r="AK437" s="100"/>
      <c r="AL437" s="100"/>
      <c r="AM437" s="100"/>
      <c r="AN437" s="100"/>
      <c r="AO437" s="100"/>
      <c r="AP437" s="100"/>
      <c r="AQ437" s="101"/>
      <c r="AR437" s="104">
        <f t="shared" ref="AR437:AR438" si="770">SUM(AF437:AQ437)</f>
        <v>0</v>
      </c>
      <c r="AS437" s="128" t="s">
        <v>261</v>
      </c>
      <c r="AT437" s="129"/>
      <c r="AU437" s="129"/>
      <c r="AV437" s="129"/>
      <c r="AW437" s="130"/>
      <c r="AX437" s="126">
        <f t="shared" si="768"/>
        <v>0</v>
      </c>
      <c r="AY437" s="143" t="s">
        <v>261</v>
      </c>
      <c r="AZ437" s="139"/>
      <c r="BA437" s="139"/>
      <c r="BB437" s="136">
        <f t="shared" si="769"/>
        <v>0</v>
      </c>
      <c r="BC437" s="474" t="s">
        <v>262</v>
      </c>
      <c r="BD437" s="475"/>
      <c r="BE437" s="14"/>
      <c r="BF437" s="17"/>
      <c r="BG437" s="14"/>
      <c r="BH437" s="17"/>
      <c r="BI437" s="14"/>
      <c r="BJ437" s="17"/>
      <c r="BK437" s="14"/>
      <c r="BL437" s="17"/>
      <c r="BM437" s="14"/>
      <c r="BN437" s="17"/>
      <c r="BO437" s="14"/>
      <c r="BP437" s="17"/>
      <c r="BQ437" s="108">
        <f t="shared" si="757"/>
        <v>0</v>
      </c>
      <c r="BR437" s="567"/>
      <c r="BS437" s="571"/>
      <c r="BT437" s="572"/>
      <c r="BU437" s="558"/>
      <c r="BV437" s="561"/>
      <c r="BW437" s="564"/>
      <c r="BX437" s="616"/>
    </row>
    <row r="438" spans="1:76" ht="15.75" thickBot="1" x14ac:dyDescent="0.3">
      <c r="A438" s="587"/>
      <c r="B438" s="592"/>
      <c r="C438" s="593"/>
      <c r="D438" s="606"/>
      <c r="E438" s="519"/>
      <c r="F438" s="520"/>
      <c r="G438" s="525"/>
      <c r="H438" s="526"/>
      <c r="I438" s="531"/>
      <c r="J438" s="532"/>
      <c r="K438" s="514"/>
      <c r="L438" s="535"/>
      <c r="M438" s="538"/>
      <c r="N438" s="543"/>
      <c r="O438" s="544"/>
      <c r="P438" s="485"/>
      <c r="Q438" s="486"/>
      <c r="R438" s="519"/>
      <c r="S438" s="520"/>
      <c r="T438" s="489"/>
      <c r="U438" s="490"/>
      <c r="V438" s="493"/>
      <c r="W438" s="485"/>
      <c r="X438" s="496"/>
      <c r="Y438" s="486"/>
      <c r="Z438" s="499"/>
      <c r="AA438" s="504"/>
      <c r="AB438" s="505"/>
      <c r="AC438" s="476" t="s">
        <v>261</v>
      </c>
      <c r="AD438" s="477"/>
      <c r="AE438" s="478"/>
      <c r="AF438" s="102"/>
      <c r="AG438" s="102"/>
      <c r="AH438" s="102"/>
      <c r="AI438" s="102"/>
      <c r="AJ438" s="102"/>
      <c r="AK438" s="102"/>
      <c r="AL438" s="102"/>
      <c r="AM438" s="102"/>
      <c r="AN438" s="102"/>
      <c r="AO438" s="102"/>
      <c r="AP438" s="102"/>
      <c r="AQ438" s="103"/>
      <c r="AR438" s="105">
        <f t="shared" si="770"/>
        <v>0</v>
      </c>
      <c r="AS438" s="131" t="s">
        <v>161</v>
      </c>
      <c r="AT438" s="132">
        <f t="shared" ref="AT438:AX438" si="771">SUM(AT435:AT437)</f>
        <v>0</v>
      </c>
      <c r="AU438" s="132">
        <f t="shared" si="771"/>
        <v>0</v>
      </c>
      <c r="AV438" s="132">
        <f t="shared" si="771"/>
        <v>0</v>
      </c>
      <c r="AW438" s="133">
        <f t="shared" si="771"/>
        <v>0</v>
      </c>
      <c r="AX438" s="127">
        <f t="shared" si="771"/>
        <v>0</v>
      </c>
      <c r="AY438" s="144" t="s">
        <v>161</v>
      </c>
      <c r="AZ438" s="140">
        <f t="shared" ref="AZ438:BB438" si="772">SUM(AZ435:AZ437)</f>
        <v>0</v>
      </c>
      <c r="BA438" s="140">
        <f t="shared" si="772"/>
        <v>0</v>
      </c>
      <c r="BB438" s="140">
        <f t="shared" si="772"/>
        <v>0</v>
      </c>
      <c r="BC438" s="479" t="s">
        <v>263</v>
      </c>
      <c r="BD438" s="480"/>
      <c r="BE438" s="15"/>
      <c r="BF438" s="18"/>
      <c r="BG438" s="15"/>
      <c r="BH438" s="18"/>
      <c r="BI438" s="15"/>
      <c r="BJ438" s="18"/>
      <c r="BK438" s="15"/>
      <c r="BL438" s="18"/>
      <c r="BM438" s="15"/>
      <c r="BN438" s="18"/>
      <c r="BO438" s="15"/>
      <c r="BP438" s="18"/>
      <c r="BQ438" s="109">
        <f t="shared" si="757"/>
        <v>0</v>
      </c>
      <c r="BR438" s="568"/>
      <c r="BS438" s="573"/>
      <c r="BT438" s="574"/>
      <c r="BU438" s="559"/>
      <c r="BV438" s="562"/>
      <c r="BW438" s="565"/>
      <c r="BX438" s="617"/>
    </row>
    <row r="439" spans="1:76" ht="15.75" thickTop="1" x14ac:dyDescent="0.25">
      <c r="A439" s="585">
        <v>108</v>
      </c>
      <c r="B439" s="588"/>
      <c r="C439" s="589"/>
      <c r="D439" s="604"/>
      <c r="E439" s="515"/>
      <c r="F439" s="516"/>
      <c r="G439" s="521"/>
      <c r="H439" s="522"/>
      <c r="I439" s="527"/>
      <c r="J439" s="528"/>
      <c r="K439" s="512" t="e">
        <f t="shared" ref="K439" si="773">INT(YEARFRAC(I439,AA439))</f>
        <v>#VALUE!</v>
      </c>
      <c r="L439" s="533">
        <f t="shared" ref="L439" ca="1" si="774">INT(YEARFRAC(I439,TODAY()))</f>
        <v>121</v>
      </c>
      <c r="M439" s="536"/>
      <c r="N439" s="539"/>
      <c r="O439" s="540"/>
      <c r="P439" s="481"/>
      <c r="Q439" s="482"/>
      <c r="R439" s="515"/>
      <c r="S439" s="516"/>
      <c r="T439" s="487"/>
      <c r="U439" s="488"/>
      <c r="V439" s="491"/>
      <c r="W439" s="481"/>
      <c r="X439" s="494"/>
      <c r="Y439" s="482"/>
      <c r="Z439" s="497"/>
      <c r="AA439" s="500" t="s">
        <v>349</v>
      </c>
      <c r="AB439" s="501"/>
      <c r="AC439" s="506" t="s">
        <v>257</v>
      </c>
      <c r="AD439" s="507"/>
      <c r="AE439" s="507"/>
      <c r="AF439" s="510"/>
      <c r="AG439" s="510"/>
      <c r="AH439" s="510"/>
      <c r="AI439" s="510"/>
      <c r="AJ439" s="510"/>
      <c r="AK439" s="510"/>
      <c r="AL439" s="510"/>
      <c r="AM439" s="510"/>
      <c r="AN439" s="510"/>
      <c r="AO439" s="510"/>
      <c r="AP439" s="510"/>
      <c r="AQ439" s="465"/>
      <c r="AR439" s="467">
        <f t="shared" ref="AR439" si="775">SUM(AF439:AQ440)</f>
        <v>0</v>
      </c>
      <c r="AS439" s="119" t="s">
        <v>257</v>
      </c>
      <c r="AT439" s="120"/>
      <c r="AU439" s="120"/>
      <c r="AV439" s="120"/>
      <c r="AW439" s="121"/>
      <c r="AX439" s="125">
        <f t="shared" ref="AX439:AX441" si="776">SUM(AT439:AW439)</f>
        <v>0</v>
      </c>
      <c r="AY439" s="141" t="s">
        <v>257</v>
      </c>
      <c r="AZ439" s="137"/>
      <c r="BA439" s="137"/>
      <c r="BB439" s="134">
        <f t="shared" ref="BB439:BB441" si="777">AZ439-BA439</f>
        <v>0</v>
      </c>
      <c r="BC439" s="469" t="s">
        <v>258</v>
      </c>
      <c r="BD439" s="470"/>
      <c r="BE439" s="13"/>
      <c r="BF439" s="16"/>
      <c r="BG439" s="13"/>
      <c r="BH439" s="16"/>
      <c r="BI439" s="13"/>
      <c r="BJ439" s="16"/>
      <c r="BK439" s="13"/>
      <c r="BL439" s="16"/>
      <c r="BM439" s="13"/>
      <c r="BN439" s="16"/>
      <c r="BO439" s="13"/>
      <c r="BP439" s="16"/>
      <c r="BQ439" s="106">
        <f t="shared" si="757"/>
        <v>0</v>
      </c>
      <c r="BR439" s="566"/>
      <c r="BS439" s="569"/>
      <c r="BT439" s="570"/>
      <c r="BU439" s="557"/>
      <c r="BV439" s="560"/>
      <c r="BW439" s="563"/>
      <c r="BX439" s="615"/>
    </row>
    <row r="440" spans="1:76" x14ac:dyDescent="0.25">
      <c r="A440" s="586"/>
      <c r="B440" s="590"/>
      <c r="C440" s="591"/>
      <c r="D440" s="605"/>
      <c r="E440" s="517"/>
      <c r="F440" s="518"/>
      <c r="G440" s="523"/>
      <c r="H440" s="524"/>
      <c r="I440" s="529"/>
      <c r="J440" s="530"/>
      <c r="K440" s="513"/>
      <c r="L440" s="534"/>
      <c r="M440" s="537"/>
      <c r="N440" s="541"/>
      <c r="O440" s="542"/>
      <c r="P440" s="483"/>
      <c r="Q440" s="484"/>
      <c r="R440" s="517"/>
      <c r="S440" s="518"/>
      <c r="T440" s="487"/>
      <c r="U440" s="488"/>
      <c r="V440" s="492"/>
      <c r="W440" s="483"/>
      <c r="X440" s="495"/>
      <c r="Y440" s="484"/>
      <c r="Z440" s="498"/>
      <c r="AA440" s="502"/>
      <c r="AB440" s="503"/>
      <c r="AC440" s="508"/>
      <c r="AD440" s="509"/>
      <c r="AE440" s="509"/>
      <c r="AF440" s="511"/>
      <c r="AG440" s="511"/>
      <c r="AH440" s="511"/>
      <c r="AI440" s="511"/>
      <c r="AJ440" s="511"/>
      <c r="AK440" s="511"/>
      <c r="AL440" s="511"/>
      <c r="AM440" s="511"/>
      <c r="AN440" s="511"/>
      <c r="AO440" s="511"/>
      <c r="AP440" s="511"/>
      <c r="AQ440" s="466"/>
      <c r="AR440" s="468"/>
      <c r="AS440" s="122" t="s">
        <v>259</v>
      </c>
      <c r="AT440" s="123"/>
      <c r="AU440" s="123"/>
      <c r="AV440" s="123"/>
      <c r="AW440" s="124"/>
      <c r="AX440" s="126">
        <f t="shared" si="776"/>
        <v>0</v>
      </c>
      <c r="AY440" s="142" t="s">
        <v>259</v>
      </c>
      <c r="AZ440" s="138"/>
      <c r="BA440" s="138"/>
      <c r="BB440" s="135">
        <f t="shared" si="777"/>
        <v>0</v>
      </c>
      <c r="BC440" s="474" t="s">
        <v>260</v>
      </c>
      <c r="BD440" s="475"/>
      <c r="BE440" s="14"/>
      <c r="BF440" s="17"/>
      <c r="BG440" s="14"/>
      <c r="BH440" s="17"/>
      <c r="BI440" s="14"/>
      <c r="BJ440" s="17"/>
      <c r="BK440" s="14"/>
      <c r="BL440" s="17"/>
      <c r="BM440" s="14"/>
      <c r="BN440" s="17"/>
      <c r="BO440" s="14"/>
      <c r="BP440" s="17"/>
      <c r="BQ440" s="107">
        <f t="shared" si="757"/>
        <v>0</v>
      </c>
      <c r="BR440" s="567"/>
      <c r="BS440" s="571"/>
      <c r="BT440" s="572"/>
      <c r="BU440" s="558"/>
      <c r="BV440" s="561"/>
      <c r="BW440" s="564"/>
      <c r="BX440" s="616"/>
    </row>
    <row r="441" spans="1:76" ht="15.75" thickBot="1" x14ac:dyDescent="0.3">
      <c r="A441" s="586"/>
      <c r="B441" s="590"/>
      <c r="C441" s="591"/>
      <c r="D441" s="605"/>
      <c r="E441" s="517"/>
      <c r="F441" s="518"/>
      <c r="G441" s="523"/>
      <c r="H441" s="524"/>
      <c r="I441" s="529"/>
      <c r="J441" s="530"/>
      <c r="K441" s="513"/>
      <c r="L441" s="534"/>
      <c r="M441" s="537"/>
      <c r="N441" s="541"/>
      <c r="O441" s="542"/>
      <c r="P441" s="483"/>
      <c r="Q441" s="484"/>
      <c r="R441" s="517"/>
      <c r="S441" s="518"/>
      <c r="T441" s="487"/>
      <c r="U441" s="488"/>
      <c r="V441" s="492"/>
      <c r="W441" s="483"/>
      <c r="X441" s="495"/>
      <c r="Y441" s="484"/>
      <c r="Z441" s="498"/>
      <c r="AA441" s="502"/>
      <c r="AB441" s="503"/>
      <c r="AC441" s="471" t="s">
        <v>259</v>
      </c>
      <c r="AD441" s="472"/>
      <c r="AE441" s="473"/>
      <c r="AF441" s="100"/>
      <c r="AG441" s="100"/>
      <c r="AH441" s="100"/>
      <c r="AI441" s="100"/>
      <c r="AJ441" s="100"/>
      <c r="AK441" s="100"/>
      <c r="AL441" s="100"/>
      <c r="AM441" s="100"/>
      <c r="AN441" s="100"/>
      <c r="AO441" s="100"/>
      <c r="AP441" s="100"/>
      <c r="AQ441" s="101"/>
      <c r="AR441" s="104">
        <f t="shared" ref="AR441:AR442" si="778">SUM(AF441:AQ441)</f>
        <v>0</v>
      </c>
      <c r="AS441" s="128" t="s">
        <v>261</v>
      </c>
      <c r="AT441" s="129"/>
      <c r="AU441" s="129"/>
      <c r="AV441" s="129"/>
      <c r="AW441" s="130"/>
      <c r="AX441" s="126">
        <f t="shared" si="776"/>
        <v>0</v>
      </c>
      <c r="AY441" s="143" t="s">
        <v>261</v>
      </c>
      <c r="AZ441" s="139"/>
      <c r="BA441" s="139"/>
      <c r="BB441" s="136">
        <f t="shared" si="777"/>
        <v>0</v>
      </c>
      <c r="BC441" s="474" t="s">
        <v>262</v>
      </c>
      <c r="BD441" s="475"/>
      <c r="BE441" s="14"/>
      <c r="BF441" s="17"/>
      <c r="BG441" s="14"/>
      <c r="BH441" s="17"/>
      <c r="BI441" s="14"/>
      <c r="BJ441" s="17"/>
      <c r="BK441" s="14"/>
      <c r="BL441" s="17"/>
      <c r="BM441" s="14"/>
      <c r="BN441" s="17"/>
      <c r="BO441" s="14"/>
      <c r="BP441" s="17"/>
      <c r="BQ441" s="108">
        <f t="shared" si="757"/>
        <v>0</v>
      </c>
      <c r="BR441" s="567"/>
      <c r="BS441" s="571"/>
      <c r="BT441" s="572"/>
      <c r="BU441" s="558"/>
      <c r="BV441" s="561"/>
      <c r="BW441" s="564"/>
      <c r="BX441" s="616"/>
    </row>
    <row r="442" spans="1:76" ht="15.75" thickBot="1" x14ac:dyDescent="0.3">
      <c r="A442" s="587"/>
      <c r="B442" s="592"/>
      <c r="C442" s="593"/>
      <c r="D442" s="606"/>
      <c r="E442" s="519"/>
      <c r="F442" s="520"/>
      <c r="G442" s="525"/>
      <c r="H442" s="526"/>
      <c r="I442" s="531"/>
      <c r="J442" s="532"/>
      <c r="K442" s="514"/>
      <c r="L442" s="535"/>
      <c r="M442" s="538"/>
      <c r="N442" s="543"/>
      <c r="O442" s="544"/>
      <c r="P442" s="485"/>
      <c r="Q442" s="486"/>
      <c r="R442" s="519"/>
      <c r="S442" s="520"/>
      <c r="T442" s="489"/>
      <c r="U442" s="490"/>
      <c r="V442" s="493"/>
      <c r="W442" s="485"/>
      <c r="X442" s="496"/>
      <c r="Y442" s="486"/>
      <c r="Z442" s="499"/>
      <c r="AA442" s="504"/>
      <c r="AB442" s="505"/>
      <c r="AC442" s="476" t="s">
        <v>261</v>
      </c>
      <c r="AD442" s="477"/>
      <c r="AE442" s="478"/>
      <c r="AF442" s="102"/>
      <c r="AG442" s="102"/>
      <c r="AH442" s="102"/>
      <c r="AI442" s="102"/>
      <c r="AJ442" s="102"/>
      <c r="AK442" s="102"/>
      <c r="AL442" s="102"/>
      <c r="AM442" s="102"/>
      <c r="AN442" s="102"/>
      <c r="AO442" s="102"/>
      <c r="AP442" s="102"/>
      <c r="AQ442" s="103"/>
      <c r="AR442" s="105">
        <f t="shared" si="778"/>
        <v>0</v>
      </c>
      <c r="AS442" s="131" t="s">
        <v>161</v>
      </c>
      <c r="AT442" s="132">
        <f t="shared" ref="AT442:AX442" si="779">SUM(AT439:AT441)</f>
        <v>0</v>
      </c>
      <c r="AU442" s="132">
        <f t="shared" si="779"/>
        <v>0</v>
      </c>
      <c r="AV442" s="132">
        <f t="shared" si="779"/>
        <v>0</v>
      </c>
      <c r="AW442" s="133">
        <f t="shared" si="779"/>
        <v>0</v>
      </c>
      <c r="AX442" s="127">
        <f t="shared" si="779"/>
        <v>0</v>
      </c>
      <c r="AY442" s="144" t="s">
        <v>161</v>
      </c>
      <c r="AZ442" s="140">
        <f t="shared" ref="AZ442:BB442" si="780">SUM(AZ439:AZ441)</f>
        <v>0</v>
      </c>
      <c r="BA442" s="140">
        <f t="shared" si="780"/>
        <v>0</v>
      </c>
      <c r="BB442" s="140">
        <f t="shared" si="780"/>
        <v>0</v>
      </c>
      <c r="BC442" s="479" t="s">
        <v>263</v>
      </c>
      <c r="BD442" s="480"/>
      <c r="BE442" s="15"/>
      <c r="BF442" s="18"/>
      <c r="BG442" s="15"/>
      <c r="BH442" s="18"/>
      <c r="BI442" s="15"/>
      <c r="BJ442" s="18"/>
      <c r="BK442" s="15"/>
      <c r="BL442" s="18"/>
      <c r="BM442" s="15"/>
      <c r="BN442" s="18"/>
      <c r="BO442" s="15"/>
      <c r="BP442" s="18"/>
      <c r="BQ442" s="109">
        <f t="shared" si="757"/>
        <v>0</v>
      </c>
      <c r="BR442" s="568"/>
      <c r="BS442" s="573"/>
      <c r="BT442" s="574"/>
      <c r="BU442" s="559"/>
      <c r="BV442" s="562"/>
      <c r="BW442" s="565"/>
      <c r="BX442" s="617"/>
    </row>
    <row r="443" spans="1:76" ht="15.75" thickTop="1" x14ac:dyDescent="0.25">
      <c r="A443" s="585">
        <v>109</v>
      </c>
      <c r="B443" s="588"/>
      <c r="C443" s="589"/>
      <c r="D443" s="604"/>
      <c r="E443" s="515"/>
      <c r="F443" s="516"/>
      <c r="G443" s="521"/>
      <c r="H443" s="522"/>
      <c r="I443" s="527"/>
      <c r="J443" s="528"/>
      <c r="K443" s="512" t="e">
        <f t="shared" ref="K443" si="781">INT(YEARFRAC(I443,AA443))</f>
        <v>#VALUE!</v>
      </c>
      <c r="L443" s="533">
        <f t="shared" ref="L443" ca="1" si="782">INT(YEARFRAC(I443,TODAY()))</f>
        <v>121</v>
      </c>
      <c r="M443" s="536"/>
      <c r="N443" s="539"/>
      <c r="O443" s="540"/>
      <c r="P443" s="481"/>
      <c r="Q443" s="482"/>
      <c r="R443" s="515"/>
      <c r="S443" s="516"/>
      <c r="T443" s="487"/>
      <c r="U443" s="488"/>
      <c r="V443" s="491"/>
      <c r="W443" s="481"/>
      <c r="X443" s="494"/>
      <c r="Y443" s="482"/>
      <c r="Z443" s="497"/>
      <c r="AA443" s="500" t="s">
        <v>350</v>
      </c>
      <c r="AB443" s="501"/>
      <c r="AC443" s="506" t="s">
        <v>257</v>
      </c>
      <c r="AD443" s="507"/>
      <c r="AE443" s="507"/>
      <c r="AF443" s="510"/>
      <c r="AG443" s="510"/>
      <c r="AH443" s="510"/>
      <c r="AI443" s="510"/>
      <c r="AJ443" s="510"/>
      <c r="AK443" s="510"/>
      <c r="AL443" s="510"/>
      <c r="AM443" s="510"/>
      <c r="AN443" s="510"/>
      <c r="AO443" s="510"/>
      <c r="AP443" s="510"/>
      <c r="AQ443" s="465"/>
      <c r="AR443" s="467">
        <f t="shared" ref="AR443" si="783">SUM(AF443:AQ444)</f>
        <v>0</v>
      </c>
      <c r="AS443" s="119" t="s">
        <v>257</v>
      </c>
      <c r="AT443" s="120"/>
      <c r="AU443" s="120"/>
      <c r="AV443" s="120"/>
      <c r="AW443" s="121"/>
      <c r="AX443" s="125">
        <f t="shared" ref="AX443:AX445" si="784">SUM(AT443:AW443)</f>
        <v>0</v>
      </c>
      <c r="AY443" s="141" t="s">
        <v>257</v>
      </c>
      <c r="AZ443" s="137"/>
      <c r="BA443" s="137"/>
      <c r="BB443" s="134">
        <f t="shared" ref="BB443:BB445" si="785">AZ443-BA443</f>
        <v>0</v>
      </c>
      <c r="BC443" s="469" t="s">
        <v>258</v>
      </c>
      <c r="BD443" s="470"/>
      <c r="BE443" s="13"/>
      <c r="BF443" s="16"/>
      <c r="BG443" s="13"/>
      <c r="BH443" s="16"/>
      <c r="BI443" s="13"/>
      <c r="BJ443" s="16"/>
      <c r="BK443" s="13"/>
      <c r="BL443" s="16"/>
      <c r="BM443" s="13"/>
      <c r="BN443" s="16"/>
      <c r="BO443" s="13"/>
      <c r="BP443" s="16"/>
      <c r="BQ443" s="106">
        <f t="shared" si="757"/>
        <v>0</v>
      </c>
      <c r="BR443" s="566"/>
      <c r="BS443" s="569"/>
      <c r="BT443" s="570"/>
      <c r="BU443" s="557"/>
      <c r="BV443" s="560"/>
      <c r="BW443" s="563"/>
      <c r="BX443" s="615"/>
    </row>
    <row r="444" spans="1:76" x14ac:dyDescent="0.25">
      <c r="A444" s="586"/>
      <c r="B444" s="590"/>
      <c r="C444" s="591"/>
      <c r="D444" s="605"/>
      <c r="E444" s="517"/>
      <c r="F444" s="518"/>
      <c r="G444" s="523"/>
      <c r="H444" s="524"/>
      <c r="I444" s="529"/>
      <c r="J444" s="530"/>
      <c r="K444" s="513"/>
      <c r="L444" s="534"/>
      <c r="M444" s="537"/>
      <c r="N444" s="541"/>
      <c r="O444" s="542"/>
      <c r="P444" s="483"/>
      <c r="Q444" s="484"/>
      <c r="R444" s="517"/>
      <c r="S444" s="518"/>
      <c r="T444" s="487"/>
      <c r="U444" s="488"/>
      <c r="V444" s="492"/>
      <c r="W444" s="483"/>
      <c r="X444" s="495"/>
      <c r="Y444" s="484"/>
      <c r="Z444" s="498"/>
      <c r="AA444" s="502"/>
      <c r="AB444" s="503"/>
      <c r="AC444" s="508"/>
      <c r="AD444" s="509"/>
      <c r="AE444" s="509"/>
      <c r="AF444" s="511"/>
      <c r="AG444" s="511"/>
      <c r="AH444" s="511"/>
      <c r="AI444" s="511"/>
      <c r="AJ444" s="511"/>
      <c r="AK444" s="511"/>
      <c r="AL444" s="511"/>
      <c r="AM444" s="511"/>
      <c r="AN444" s="511"/>
      <c r="AO444" s="511"/>
      <c r="AP444" s="511"/>
      <c r="AQ444" s="466"/>
      <c r="AR444" s="468"/>
      <c r="AS444" s="122" t="s">
        <v>259</v>
      </c>
      <c r="AT444" s="123"/>
      <c r="AU444" s="123"/>
      <c r="AV444" s="123"/>
      <c r="AW444" s="124"/>
      <c r="AX444" s="126">
        <f t="shared" si="784"/>
        <v>0</v>
      </c>
      <c r="AY444" s="142" t="s">
        <v>259</v>
      </c>
      <c r="AZ444" s="138"/>
      <c r="BA444" s="138"/>
      <c r="BB444" s="135">
        <f t="shared" si="785"/>
        <v>0</v>
      </c>
      <c r="BC444" s="474" t="s">
        <v>260</v>
      </c>
      <c r="BD444" s="475"/>
      <c r="BE444" s="14"/>
      <c r="BF444" s="17"/>
      <c r="BG444" s="14"/>
      <c r="BH444" s="17"/>
      <c r="BI444" s="14"/>
      <c r="BJ444" s="17"/>
      <c r="BK444" s="14"/>
      <c r="BL444" s="17"/>
      <c r="BM444" s="14"/>
      <c r="BN444" s="17"/>
      <c r="BO444" s="14"/>
      <c r="BP444" s="17"/>
      <c r="BQ444" s="107">
        <f t="shared" si="757"/>
        <v>0</v>
      </c>
      <c r="BR444" s="567"/>
      <c r="BS444" s="571"/>
      <c r="BT444" s="572"/>
      <c r="BU444" s="558"/>
      <c r="BV444" s="561"/>
      <c r="BW444" s="564"/>
      <c r="BX444" s="616"/>
    </row>
    <row r="445" spans="1:76" ht="15.75" thickBot="1" x14ac:dyDescent="0.3">
      <c r="A445" s="586"/>
      <c r="B445" s="590"/>
      <c r="C445" s="591"/>
      <c r="D445" s="605"/>
      <c r="E445" s="517"/>
      <c r="F445" s="518"/>
      <c r="G445" s="523"/>
      <c r="H445" s="524"/>
      <c r="I445" s="529"/>
      <c r="J445" s="530"/>
      <c r="K445" s="513"/>
      <c r="L445" s="534"/>
      <c r="M445" s="537"/>
      <c r="N445" s="541"/>
      <c r="O445" s="542"/>
      <c r="P445" s="483"/>
      <c r="Q445" s="484"/>
      <c r="R445" s="517"/>
      <c r="S445" s="518"/>
      <c r="T445" s="487"/>
      <c r="U445" s="488"/>
      <c r="V445" s="492"/>
      <c r="W445" s="483"/>
      <c r="X445" s="495"/>
      <c r="Y445" s="484"/>
      <c r="Z445" s="498"/>
      <c r="AA445" s="502"/>
      <c r="AB445" s="503"/>
      <c r="AC445" s="471" t="s">
        <v>259</v>
      </c>
      <c r="AD445" s="472"/>
      <c r="AE445" s="473"/>
      <c r="AF445" s="100"/>
      <c r="AG445" s="100"/>
      <c r="AH445" s="100"/>
      <c r="AI445" s="100"/>
      <c r="AJ445" s="100"/>
      <c r="AK445" s="100"/>
      <c r="AL445" s="100"/>
      <c r="AM445" s="100"/>
      <c r="AN445" s="100"/>
      <c r="AO445" s="100"/>
      <c r="AP445" s="100"/>
      <c r="AQ445" s="101"/>
      <c r="AR445" s="104">
        <f t="shared" ref="AR445:AR446" si="786">SUM(AF445:AQ445)</f>
        <v>0</v>
      </c>
      <c r="AS445" s="128" t="s">
        <v>261</v>
      </c>
      <c r="AT445" s="129"/>
      <c r="AU445" s="129"/>
      <c r="AV445" s="129"/>
      <c r="AW445" s="130"/>
      <c r="AX445" s="126">
        <f t="shared" si="784"/>
        <v>0</v>
      </c>
      <c r="AY445" s="143" t="s">
        <v>261</v>
      </c>
      <c r="AZ445" s="139"/>
      <c r="BA445" s="139"/>
      <c r="BB445" s="136">
        <f t="shared" si="785"/>
        <v>0</v>
      </c>
      <c r="BC445" s="474" t="s">
        <v>262</v>
      </c>
      <c r="BD445" s="475"/>
      <c r="BE445" s="14"/>
      <c r="BF445" s="17"/>
      <c r="BG445" s="14"/>
      <c r="BH445" s="17"/>
      <c r="BI445" s="14"/>
      <c r="BJ445" s="17"/>
      <c r="BK445" s="14"/>
      <c r="BL445" s="17"/>
      <c r="BM445" s="14"/>
      <c r="BN445" s="17"/>
      <c r="BO445" s="14"/>
      <c r="BP445" s="17"/>
      <c r="BQ445" s="108">
        <f t="shared" si="757"/>
        <v>0</v>
      </c>
      <c r="BR445" s="567"/>
      <c r="BS445" s="571"/>
      <c r="BT445" s="572"/>
      <c r="BU445" s="558"/>
      <c r="BV445" s="561"/>
      <c r="BW445" s="564"/>
      <c r="BX445" s="616"/>
    </row>
    <row r="446" spans="1:76" ht="15.75" thickBot="1" x14ac:dyDescent="0.3">
      <c r="A446" s="587"/>
      <c r="B446" s="592"/>
      <c r="C446" s="593"/>
      <c r="D446" s="606"/>
      <c r="E446" s="519"/>
      <c r="F446" s="520"/>
      <c r="G446" s="525"/>
      <c r="H446" s="526"/>
      <c r="I446" s="531"/>
      <c r="J446" s="532"/>
      <c r="K446" s="514"/>
      <c r="L446" s="535"/>
      <c r="M446" s="538"/>
      <c r="N446" s="543"/>
      <c r="O446" s="544"/>
      <c r="P446" s="485"/>
      <c r="Q446" s="486"/>
      <c r="R446" s="519"/>
      <c r="S446" s="520"/>
      <c r="T446" s="489"/>
      <c r="U446" s="490"/>
      <c r="V446" s="493"/>
      <c r="W446" s="485"/>
      <c r="X446" s="496"/>
      <c r="Y446" s="486"/>
      <c r="Z446" s="499"/>
      <c r="AA446" s="504"/>
      <c r="AB446" s="505"/>
      <c r="AC446" s="476" t="s">
        <v>261</v>
      </c>
      <c r="AD446" s="477"/>
      <c r="AE446" s="478"/>
      <c r="AF446" s="102"/>
      <c r="AG446" s="102"/>
      <c r="AH446" s="102"/>
      <c r="AI446" s="102"/>
      <c r="AJ446" s="102"/>
      <c r="AK446" s="102"/>
      <c r="AL446" s="102"/>
      <c r="AM446" s="102"/>
      <c r="AN446" s="102"/>
      <c r="AO446" s="102"/>
      <c r="AP446" s="102"/>
      <c r="AQ446" s="103"/>
      <c r="AR446" s="105">
        <f t="shared" si="786"/>
        <v>0</v>
      </c>
      <c r="AS446" s="131" t="s">
        <v>161</v>
      </c>
      <c r="AT446" s="132">
        <f t="shared" ref="AT446:AX446" si="787">SUM(AT443:AT445)</f>
        <v>0</v>
      </c>
      <c r="AU446" s="132">
        <f t="shared" si="787"/>
        <v>0</v>
      </c>
      <c r="AV446" s="132">
        <f t="shared" si="787"/>
        <v>0</v>
      </c>
      <c r="AW446" s="133">
        <f t="shared" si="787"/>
        <v>0</v>
      </c>
      <c r="AX446" s="127">
        <f t="shared" si="787"/>
        <v>0</v>
      </c>
      <c r="AY446" s="144" t="s">
        <v>161</v>
      </c>
      <c r="AZ446" s="140">
        <f t="shared" ref="AZ446:BB446" si="788">SUM(AZ443:AZ445)</f>
        <v>0</v>
      </c>
      <c r="BA446" s="140">
        <f t="shared" si="788"/>
        <v>0</v>
      </c>
      <c r="BB446" s="140">
        <f t="shared" si="788"/>
        <v>0</v>
      </c>
      <c r="BC446" s="479" t="s">
        <v>263</v>
      </c>
      <c r="BD446" s="480"/>
      <c r="BE446" s="15"/>
      <c r="BF446" s="18"/>
      <c r="BG446" s="15"/>
      <c r="BH446" s="18"/>
      <c r="BI446" s="15"/>
      <c r="BJ446" s="18"/>
      <c r="BK446" s="15"/>
      <c r="BL446" s="18"/>
      <c r="BM446" s="15"/>
      <c r="BN446" s="18"/>
      <c r="BO446" s="15"/>
      <c r="BP446" s="18"/>
      <c r="BQ446" s="109">
        <f t="shared" si="757"/>
        <v>0</v>
      </c>
      <c r="BR446" s="568"/>
      <c r="BS446" s="573"/>
      <c r="BT446" s="574"/>
      <c r="BU446" s="559"/>
      <c r="BV446" s="562"/>
      <c r="BW446" s="565"/>
      <c r="BX446" s="617"/>
    </row>
    <row r="447" spans="1:76" ht="15.75" thickTop="1" x14ac:dyDescent="0.25">
      <c r="A447" s="585">
        <v>110</v>
      </c>
      <c r="B447" s="588"/>
      <c r="C447" s="589"/>
      <c r="D447" s="604"/>
      <c r="E447" s="515"/>
      <c r="F447" s="516"/>
      <c r="G447" s="521"/>
      <c r="H447" s="522"/>
      <c r="I447" s="527"/>
      <c r="J447" s="528"/>
      <c r="K447" s="512" t="e">
        <f t="shared" ref="K447" si="789">INT(YEARFRAC(I447,AA447))</f>
        <v>#VALUE!</v>
      </c>
      <c r="L447" s="533">
        <f t="shared" ref="L447" ca="1" si="790">INT(YEARFRAC(I447,TODAY()))</f>
        <v>121</v>
      </c>
      <c r="M447" s="536"/>
      <c r="N447" s="539"/>
      <c r="O447" s="540"/>
      <c r="P447" s="481"/>
      <c r="Q447" s="482"/>
      <c r="R447" s="515"/>
      <c r="S447" s="516"/>
      <c r="T447" s="487"/>
      <c r="U447" s="488"/>
      <c r="V447" s="491"/>
      <c r="W447" s="481"/>
      <c r="X447" s="494"/>
      <c r="Y447" s="482"/>
      <c r="Z447" s="497"/>
      <c r="AA447" s="500" t="s">
        <v>351</v>
      </c>
      <c r="AB447" s="501"/>
      <c r="AC447" s="506" t="s">
        <v>257</v>
      </c>
      <c r="AD447" s="507"/>
      <c r="AE447" s="507"/>
      <c r="AF447" s="510"/>
      <c r="AG447" s="510"/>
      <c r="AH447" s="510"/>
      <c r="AI447" s="510"/>
      <c r="AJ447" s="510"/>
      <c r="AK447" s="510"/>
      <c r="AL447" s="510"/>
      <c r="AM447" s="510"/>
      <c r="AN447" s="510"/>
      <c r="AO447" s="510"/>
      <c r="AP447" s="510"/>
      <c r="AQ447" s="465"/>
      <c r="AR447" s="467">
        <f t="shared" ref="AR447" si="791">SUM(AF447:AQ448)</f>
        <v>0</v>
      </c>
      <c r="AS447" s="119" t="s">
        <v>257</v>
      </c>
      <c r="AT447" s="120"/>
      <c r="AU447" s="120"/>
      <c r="AV447" s="120"/>
      <c r="AW447" s="121"/>
      <c r="AX447" s="125">
        <f t="shared" ref="AX447:AX449" si="792">SUM(AT447:AW447)</f>
        <v>0</v>
      </c>
      <c r="AY447" s="141" t="s">
        <v>257</v>
      </c>
      <c r="AZ447" s="137"/>
      <c r="BA447" s="137"/>
      <c r="BB447" s="134">
        <f t="shared" ref="BB447:BB449" si="793">AZ447-BA447</f>
        <v>0</v>
      </c>
      <c r="BC447" s="469" t="s">
        <v>258</v>
      </c>
      <c r="BD447" s="470"/>
      <c r="BE447" s="13"/>
      <c r="BF447" s="16"/>
      <c r="BG447" s="13"/>
      <c r="BH447" s="16"/>
      <c r="BI447" s="13"/>
      <c r="BJ447" s="16"/>
      <c r="BK447" s="13"/>
      <c r="BL447" s="16"/>
      <c r="BM447" s="13"/>
      <c r="BN447" s="16"/>
      <c r="BO447" s="13"/>
      <c r="BP447" s="16"/>
      <c r="BQ447" s="106">
        <f t="shared" si="757"/>
        <v>0</v>
      </c>
      <c r="BR447" s="566"/>
      <c r="BS447" s="569"/>
      <c r="BT447" s="570"/>
      <c r="BU447" s="557"/>
      <c r="BV447" s="560"/>
      <c r="BW447" s="563"/>
      <c r="BX447" s="615"/>
    </row>
    <row r="448" spans="1:76" x14ac:dyDescent="0.25">
      <c r="A448" s="586"/>
      <c r="B448" s="590"/>
      <c r="C448" s="591"/>
      <c r="D448" s="605"/>
      <c r="E448" s="517"/>
      <c r="F448" s="518"/>
      <c r="G448" s="523"/>
      <c r="H448" s="524"/>
      <c r="I448" s="529"/>
      <c r="J448" s="530"/>
      <c r="K448" s="513"/>
      <c r="L448" s="534"/>
      <c r="M448" s="537"/>
      <c r="N448" s="541"/>
      <c r="O448" s="542"/>
      <c r="P448" s="483"/>
      <c r="Q448" s="484"/>
      <c r="R448" s="517"/>
      <c r="S448" s="518"/>
      <c r="T448" s="487"/>
      <c r="U448" s="488"/>
      <c r="V448" s="492"/>
      <c r="W448" s="483"/>
      <c r="X448" s="495"/>
      <c r="Y448" s="484"/>
      <c r="Z448" s="498"/>
      <c r="AA448" s="502"/>
      <c r="AB448" s="503"/>
      <c r="AC448" s="508"/>
      <c r="AD448" s="509"/>
      <c r="AE448" s="509"/>
      <c r="AF448" s="511"/>
      <c r="AG448" s="511"/>
      <c r="AH448" s="511"/>
      <c r="AI448" s="511"/>
      <c r="AJ448" s="511"/>
      <c r="AK448" s="511"/>
      <c r="AL448" s="511"/>
      <c r="AM448" s="511"/>
      <c r="AN448" s="511"/>
      <c r="AO448" s="511"/>
      <c r="AP448" s="511"/>
      <c r="AQ448" s="466"/>
      <c r="AR448" s="468"/>
      <c r="AS448" s="122" t="s">
        <v>259</v>
      </c>
      <c r="AT448" s="123"/>
      <c r="AU448" s="123"/>
      <c r="AV448" s="123"/>
      <c r="AW448" s="124"/>
      <c r="AX448" s="126">
        <f t="shared" si="792"/>
        <v>0</v>
      </c>
      <c r="AY448" s="142" t="s">
        <v>259</v>
      </c>
      <c r="AZ448" s="138"/>
      <c r="BA448" s="138"/>
      <c r="BB448" s="135">
        <f t="shared" si="793"/>
        <v>0</v>
      </c>
      <c r="BC448" s="474" t="s">
        <v>260</v>
      </c>
      <c r="BD448" s="475"/>
      <c r="BE448" s="14"/>
      <c r="BF448" s="17"/>
      <c r="BG448" s="14"/>
      <c r="BH448" s="17"/>
      <c r="BI448" s="14"/>
      <c r="BJ448" s="17"/>
      <c r="BK448" s="14"/>
      <c r="BL448" s="17"/>
      <c r="BM448" s="14"/>
      <c r="BN448" s="17"/>
      <c r="BO448" s="14"/>
      <c r="BP448" s="17"/>
      <c r="BQ448" s="107">
        <f t="shared" si="757"/>
        <v>0</v>
      </c>
      <c r="BR448" s="567"/>
      <c r="BS448" s="571"/>
      <c r="BT448" s="572"/>
      <c r="BU448" s="558"/>
      <c r="BV448" s="561"/>
      <c r="BW448" s="564"/>
      <c r="BX448" s="616"/>
    </row>
    <row r="449" spans="1:76" ht="15.75" thickBot="1" x14ac:dyDescent="0.3">
      <c r="A449" s="586"/>
      <c r="B449" s="590"/>
      <c r="C449" s="591"/>
      <c r="D449" s="605"/>
      <c r="E449" s="517"/>
      <c r="F449" s="518"/>
      <c r="G449" s="523"/>
      <c r="H449" s="524"/>
      <c r="I449" s="529"/>
      <c r="J449" s="530"/>
      <c r="K449" s="513"/>
      <c r="L449" s="534"/>
      <c r="M449" s="537"/>
      <c r="N449" s="541"/>
      <c r="O449" s="542"/>
      <c r="P449" s="483"/>
      <c r="Q449" s="484"/>
      <c r="R449" s="517"/>
      <c r="S449" s="518"/>
      <c r="T449" s="487"/>
      <c r="U449" s="488"/>
      <c r="V449" s="492"/>
      <c r="W449" s="483"/>
      <c r="X449" s="495"/>
      <c r="Y449" s="484"/>
      <c r="Z449" s="498"/>
      <c r="AA449" s="502"/>
      <c r="AB449" s="503"/>
      <c r="AC449" s="471" t="s">
        <v>259</v>
      </c>
      <c r="AD449" s="472"/>
      <c r="AE449" s="473"/>
      <c r="AF449" s="100"/>
      <c r="AG449" s="100"/>
      <c r="AH449" s="100"/>
      <c r="AI449" s="100"/>
      <c r="AJ449" s="100"/>
      <c r="AK449" s="100"/>
      <c r="AL449" s="100"/>
      <c r="AM449" s="100"/>
      <c r="AN449" s="100"/>
      <c r="AO449" s="100"/>
      <c r="AP449" s="100"/>
      <c r="AQ449" s="101"/>
      <c r="AR449" s="104">
        <f t="shared" ref="AR449:AR450" si="794">SUM(AF449:AQ449)</f>
        <v>0</v>
      </c>
      <c r="AS449" s="128" t="s">
        <v>261</v>
      </c>
      <c r="AT449" s="129"/>
      <c r="AU449" s="129"/>
      <c r="AV449" s="129"/>
      <c r="AW449" s="130"/>
      <c r="AX449" s="126">
        <f t="shared" si="792"/>
        <v>0</v>
      </c>
      <c r="AY449" s="143" t="s">
        <v>261</v>
      </c>
      <c r="AZ449" s="139"/>
      <c r="BA449" s="139"/>
      <c r="BB449" s="136">
        <f t="shared" si="793"/>
        <v>0</v>
      </c>
      <c r="BC449" s="474" t="s">
        <v>262</v>
      </c>
      <c r="BD449" s="475"/>
      <c r="BE449" s="14"/>
      <c r="BF449" s="17"/>
      <c r="BG449" s="14"/>
      <c r="BH449" s="17"/>
      <c r="BI449" s="14"/>
      <c r="BJ449" s="17"/>
      <c r="BK449" s="14"/>
      <c r="BL449" s="17"/>
      <c r="BM449" s="14"/>
      <c r="BN449" s="17"/>
      <c r="BO449" s="14"/>
      <c r="BP449" s="17"/>
      <c r="BQ449" s="108">
        <f t="shared" si="757"/>
        <v>0</v>
      </c>
      <c r="BR449" s="567"/>
      <c r="BS449" s="571"/>
      <c r="BT449" s="572"/>
      <c r="BU449" s="558"/>
      <c r="BV449" s="561"/>
      <c r="BW449" s="564"/>
      <c r="BX449" s="616"/>
    </row>
    <row r="450" spans="1:76" ht="15.75" thickBot="1" x14ac:dyDescent="0.3">
      <c r="A450" s="587"/>
      <c r="B450" s="592"/>
      <c r="C450" s="593"/>
      <c r="D450" s="606"/>
      <c r="E450" s="519"/>
      <c r="F450" s="520"/>
      <c r="G450" s="525"/>
      <c r="H450" s="526"/>
      <c r="I450" s="531"/>
      <c r="J450" s="532"/>
      <c r="K450" s="514"/>
      <c r="L450" s="535"/>
      <c r="M450" s="538"/>
      <c r="N450" s="543"/>
      <c r="O450" s="544"/>
      <c r="P450" s="485"/>
      <c r="Q450" s="486"/>
      <c r="R450" s="519"/>
      <c r="S450" s="520"/>
      <c r="T450" s="489"/>
      <c r="U450" s="490"/>
      <c r="V450" s="493"/>
      <c r="W450" s="485"/>
      <c r="X450" s="496"/>
      <c r="Y450" s="486"/>
      <c r="Z450" s="499"/>
      <c r="AA450" s="504"/>
      <c r="AB450" s="505"/>
      <c r="AC450" s="476" t="s">
        <v>261</v>
      </c>
      <c r="AD450" s="477"/>
      <c r="AE450" s="478"/>
      <c r="AF450" s="102"/>
      <c r="AG450" s="102"/>
      <c r="AH450" s="102"/>
      <c r="AI450" s="102"/>
      <c r="AJ450" s="102"/>
      <c r="AK450" s="102"/>
      <c r="AL450" s="102"/>
      <c r="AM450" s="102"/>
      <c r="AN450" s="102"/>
      <c r="AO450" s="102"/>
      <c r="AP450" s="102"/>
      <c r="AQ450" s="103"/>
      <c r="AR450" s="105">
        <f t="shared" si="794"/>
        <v>0</v>
      </c>
      <c r="AS450" s="131" t="s">
        <v>161</v>
      </c>
      <c r="AT450" s="132">
        <f t="shared" ref="AT450:AX450" si="795">SUM(AT447:AT449)</f>
        <v>0</v>
      </c>
      <c r="AU450" s="132">
        <f t="shared" si="795"/>
        <v>0</v>
      </c>
      <c r="AV450" s="132">
        <f t="shared" si="795"/>
        <v>0</v>
      </c>
      <c r="AW450" s="133">
        <f t="shared" si="795"/>
        <v>0</v>
      </c>
      <c r="AX450" s="127">
        <f t="shared" si="795"/>
        <v>0</v>
      </c>
      <c r="AY450" s="144" t="s">
        <v>161</v>
      </c>
      <c r="AZ450" s="140">
        <f t="shared" ref="AZ450:BB450" si="796">SUM(AZ447:AZ449)</f>
        <v>0</v>
      </c>
      <c r="BA450" s="140">
        <f t="shared" si="796"/>
        <v>0</v>
      </c>
      <c r="BB450" s="140">
        <f t="shared" si="796"/>
        <v>0</v>
      </c>
      <c r="BC450" s="479" t="s">
        <v>263</v>
      </c>
      <c r="BD450" s="480"/>
      <c r="BE450" s="15"/>
      <c r="BF450" s="18"/>
      <c r="BG450" s="15"/>
      <c r="BH450" s="18"/>
      <c r="BI450" s="15"/>
      <c r="BJ450" s="18"/>
      <c r="BK450" s="15"/>
      <c r="BL450" s="18"/>
      <c r="BM450" s="15"/>
      <c r="BN450" s="18"/>
      <c r="BO450" s="15"/>
      <c r="BP450" s="18"/>
      <c r="BQ450" s="109">
        <f t="shared" si="757"/>
        <v>0</v>
      </c>
      <c r="BR450" s="568"/>
      <c r="BS450" s="573"/>
      <c r="BT450" s="574"/>
      <c r="BU450" s="559"/>
      <c r="BV450" s="562"/>
      <c r="BW450" s="565"/>
      <c r="BX450" s="617"/>
    </row>
    <row r="451" spans="1:76" ht="15.75" thickTop="1" x14ac:dyDescent="0.25">
      <c r="A451" s="585">
        <v>111</v>
      </c>
      <c r="B451" s="588"/>
      <c r="C451" s="589"/>
      <c r="D451" s="604"/>
      <c r="E451" s="515"/>
      <c r="F451" s="516"/>
      <c r="G451" s="521"/>
      <c r="H451" s="522"/>
      <c r="I451" s="527"/>
      <c r="J451" s="528"/>
      <c r="K451" s="512" t="e">
        <f t="shared" ref="K451" si="797">INT(YEARFRAC(I451,AA451))</f>
        <v>#VALUE!</v>
      </c>
      <c r="L451" s="533">
        <f t="shared" ref="L451" ca="1" si="798">INT(YEARFRAC(I451,TODAY()))</f>
        <v>121</v>
      </c>
      <c r="M451" s="536"/>
      <c r="N451" s="539"/>
      <c r="O451" s="540"/>
      <c r="P451" s="481"/>
      <c r="Q451" s="482"/>
      <c r="R451" s="515"/>
      <c r="S451" s="516"/>
      <c r="T451" s="487"/>
      <c r="U451" s="488"/>
      <c r="V451" s="491"/>
      <c r="W451" s="481"/>
      <c r="X451" s="494"/>
      <c r="Y451" s="482"/>
      <c r="Z451" s="497"/>
      <c r="AA451" s="500" t="s">
        <v>352</v>
      </c>
      <c r="AB451" s="501"/>
      <c r="AC451" s="506" t="s">
        <v>257</v>
      </c>
      <c r="AD451" s="507"/>
      <c r="AE451" s="507"/>
      <c r="AF451" s="510"/>
      <c r="AG451" s="510"/>
      <c r="AH451" s="510"/>
      <c r="AI451" s="510"/>
      <c r="AJ451" s="510"/>
      <c r="AK451" s="510"/>
      <c r="AL451" s="510"/>
      <c r="AM451" s="510"/>
      <c r="AN451" s="510"/>
      <c r="AO451" s="510"/>
      <c r="AP451" s="510"/>
      <c r="AQ451" s="465"/>
      <c r="AR451" s="467">
        <f t="shared" ref="AR451" si="799">SUM(AF451:AQ452)</f>
        <v>0</v>
      </c>
      <c r="AS451" s="119" t="s">
        <v>257</v>
      </c>
      <c r="AT451" s="120"/>
      <c r="AU451" s="120"/>
      <c r="AV451" s="120"/>
      <c r="AW451" s="121"/>
      <c r="AX451" s="125">
        <f t="shared" ref="AX451:AX453" si="800">SUM(AT451:AW451)</f>
        <v>0</v>
      </c>
      <c r="AY451" s="141" t="s">
        <v>257</v>
      </c>
      <c r="AZ451" s="137"/>
      <c r="BA451" s="137"/>
      <c r="BB451" s="134">
        <f t="shared" ref="BB451:BB453" si="801">AZ451-BA451</f>
        <v>0</v>
      </c>
      <c r="BC451" s="469" t="s">
        <v>258</v>
      </c>
      <c r="BD451" s="470"/>
      <c r="BE451" s="13"/>
      <c r="BF451" s="16"/>
      <c r="BG451" s="13"/>
      <c r="BH451" s="16"/>
      <c r="BI451" s="13"/>
      <c r="BJ451" s="16"/>
      <c r="BK451" s="13"/>
      <c r="BL451" s="16"/>
      <c r="BM451" s="13"/>
      <c r="BN451" s="16"/>
      <c r="BO451" s="13"/>
      <c r="BP451" s="16"/>
      <c r="BQ451" s="106">
        <f t="shared" si="757"/>
        <v>0</v>
      </c>
      <c r="BR451" s="566"/>
      <c r="BS451" s="569"/>
      <c r="BT451" s="570"/>
      <c r="BU451" s="557"/>
      <c r="BV451" s="560"/>
      <c r="BW451" s="563"/>
      <c r="BX451" s="615"/>
    </row>
    <row r="452" spans="1:76" x14ac:dyDescent="0.25">
      <c r="A452" s="586"/>
      <c r="B452" s="590"/>
      <c r="C452" s="591"/>
      <c r="D452" s="605"/>
      <c r="E452" s="517"/>
      <c r="F452" s="518"/>
      <c r="G452" s="523"/>
      <c r="H452" s="524"/>
      <c r="I452" s="529"/>
      <c r="J452" s="530"/>
      <c r="K452" s="513"/>
      <c r="L452" s="534"/>
      <c r="M452" s="537"/>
      <c r="N452" s="541"/>
      <c r="O452" s="542"/>
      <c r="P452" s="483"/>
      <c r="Q452" s="484"/>
      <c r="R452" s="517"/>
      <c r="S452" s="518"/>
      <c r="T452" s="487"/>
      <c r="U452" s="488"/>
      <c r="V452" s="492"/>
      <c r="W452" s="483"/>
      <c r="X452" s="495"/>
      <c r="Y452" s="484"/>
      <c r="Z452" s="498"/>
      <c r="AA452" s="502"/>
      <c r="AB452" s="503"/>
      <c r="AC452" s="508"/>
      <c r="AD452" s="509"/>
      <c r="AE452" s="509"/>
      <c r="AF452" s="511"/>
      <c r="AG452" s="511"/>
      <c r="AH452" s="511"/>
      <c r="AI452" s="511"/>
      <c r="AJ452" s="511"/>
      <c r="AK452" s="511"/>
      <c r="AL452" s="511"/>
      <c r="AM452" s="511"/>
      <c r="AN452" s="511"/>
      <c r="AO452" s="511"/>
      <c r="AP452" s="511"/>
      <c r="AQ452" s="466"/>
      <c r="AR452" s="468"/>
      <c r="AS452" s="122" t="s">
        <v>259</v>
      </c>
      <c r="AT452" s="123"/>
      <c r="AU452" s="123"/>
      <c r="AV452" s="123"/>
      <c r="AW452" s="124"/>
      <c r="AX452" s="126">
        <f t="shared" si="800"/>
        <v>0</v>
      </c>
      <c r="AY452" s="142" t="s">
        <v>259</v>
      </c>
      <c r="AZ452" s="138"/>
      <c r="BA452" s="138"/>
      <c r="BB452" s="135">
        <f t="shared" si="801"/>
        <v>0</v>
      </c>
      <c r="BC452" s="474" t="s">
        <v>260</v>
      </c>
      <c r="BD452" s="475"/>
      <c r="BE452" s="14"/>
      <c r="BF452" s="17"/>
      <c r="BG452" s="14"/>
      <c r="BH452" s="17"/>
      <c r="BI452" s="14"/>
      <c r="BJ452" s="17"/>
      <c r="BK452" s="14"/>
      <c r="BL452" s="17"/>
      <c r="BM452" s="14"/>
      <c r="BN452" s="17"/>
      <c r="BO452" s="14"/>
      <c r="BP452" s="17"/>
      <c r="BQ452" s="107">
        <f t="shared" si="757"/>
        <v>0</v>
      </c>
      <c r="BR452" s="567"/>
      <c r="BS452" s="571"/>
      <c r="BT452" s="572"/>
      <c r="BU452" s="558"/>
      <c r="BV452" s="561"/>
      <c r="BW452" s="564"/>
      <c r="BX452" s="616"/>
    </row>
    <row r="453" spans="1:76" ht="15.75" thickBot="1" x14ac:dyDescent="0.3">
      <c r="A453" s="586"/>
      <c r="B453" s="590"/>
      <c r="C453" s="591"/>
      <c r="D453" s="605"/>
      <c r="E453" s="517"/>
      <c r="F453" s="518"/>
      <c r="G453" s="523"/>
      <c r="H453" s="524"/>
      <c r="I453" s="529"/>
      <c r="J453" s="530"/>
      <c r="K453" s="513"/>
      <c r="L453" s="534"/>
      <c r="M453" s="537"/>
      <c r="N453" s="541"/>
      <c r="O453" s="542"/>
      <c r="P453" s="483"/>
      <c r="Q453" s="484"/>
      <c r="R453" s="517"/>
      <c r="S453" s="518"/>
      <c r="T453" s="487"/>
      <c r="U453" s="488"/>
      <c r="V453" s="492"/>
      <c r="W453" s="483"/>
      <c r="X453" s="495"/>
      <c r="Y453" s="484"/>
      <c r="Z453" s="498"/>
      <c r="AA453" s="502"/>
      <c r="AB453" s="503"/>
      <c r="AC453" s="471" t="s">
        <v>259</v>
      </c>
      <c r="AD453" s="472"/>
      <c r="AE453" s="473"/>
      <c r="AF453" s="100"/>
      <c r="AG453" s="100"/>
      <c r="AH453" s="100"/>
      <c r="AI453" s="100"/>
      <c r="AJ453" s="100"/>
      <c r="AK453" s="100"/>
      <c r="AL453" s="100"/>
      <c r="AM453" s="100"/>
      <c r="AN453" s="100"/>
      <c r="AO453" s="100"/>
      <c r="AP453" s="100"/>
      <c r="AQ453" s="101"/>
      <c r="AR453" s="104">
        <f t="shared" ref="AR453:AR454" si="802">SUM(AF453:AQ453)</f>
        <v>0</v>
      </c>
      <c r="AS453" s="128" t="s">
        <v>261</v>
      </c>
      <c r="AT453" s="129"/>
      <c r="AU453" s="129"/>
      <c r="AV453" s="129"/>
      <c r="AW453" s="130"/>
      <c r="AX453" s="126">
        <f t="shared" si="800"/>
        <v>0</v>
      </c>
      <c r="AY453" s="143" t="s">
        <v>261</v>
      </c>
      <c r="AZ453" s="139"/>
      <c r="BA453" s="139"/>
      <c r="BB453" s="136">
        <f t="shared" si="801"/>
        <v>0</v>
      </c>
      <c r="BC453" s="474" t="s">
        <v>262</v>
      </c>
      <c r="BD453" s="475"/>
      <c r="BE453" s="14"/>
      <c r="BF453" s="17"/>
      <c r="BG453" s="14"/>
      <c r="BH453" s="17"/>
      <c r="BI453" s="14"/>
      <c r="BJ453" s="17"/>
      <c r="BK453" s="14"/>
      <c r="BL453" s="17"/>
      <c r="BM453" s="14"/>
      <c r="BN453" s="17"/>
      <c r="BO453" s="14"/>
      <c r="BP453" s="17"/>
      <c r="BQ453" s="108">
        <f t="shared" si="757"/>
        <v>0</v>
      </c>
      <c r="BR453" s="567"/>
      <c r="BS453" s="571"/>
      <c r="BT453" s="572"/>
      <c r="BU453" s="558"/>
      <c r="BV453" s="561"/>
      <c r="BW453" s="564"/>
      <c r="BX453" s="616"/>
    </row>
    <row r="454" spans="1:76" ht="15.75" thickBot="1" x14ac:dyDescent="0.3">
      <c r="A454" s="587"/>
      <c r="B454" s="592"/>
      <c r="C454" s="593"/>
      <c r="D454" s="606"/>
      <c r="E454" s="519"/>
      <c r="F454" s="520"/>
      <c r="G454" s="525"/>
      <c r="H454" s="526"/>
      <c r="I454" s="531"/>
      <c r="J454" s="532"/>
      <c r="K454" s="514"/>
      <c r="L454" s="535"/>
      <c r="M454" s="538"/>
      <c r="N454" s="543"/>
      <c r="O454" s="544"/>
      <c r="P454" s="485"/>
      <c r="Q454" s="486"/>
      <c r="R454" s="519"/>
      <c r="S454" s="520"/>
      <c r="T454" s="489"/>
      <c r="U454" s="490"/>
      <c r="V454" s="493"/>
      <c r="W454" s="485"/>
      <c r="X454" s="496"/>
      <c r="Y454" s="486"/>
      <c r="Z454" s="499"/>
      <c r="AA454" s="504"/>
      <c r="AB454" s="505"/>
      <c r="AC454" s="476" t="s">
        <v>261</v>
      </c>
      <c r="AD454" s="477"/>
      <c r="AE454" s="478"/>
      <c r="AF454" s="102"/>
      <c r="AG454" s="102"/>
      <c r="AH454" s="102"/>
      <c r="AI454" s="102"/>
      <c r="AJ454" s="102"/>
      <c r="AK454" s="102"/>
      <c r="AL454" s="102"/>
      <c r="AM454" s="102"/>
      <c r="AN454" s="102"/>
      <c r="AO454" s="102"/>
      <c r="AP454" s="102"/>
      <c r="AQ454" s="103"/>
      <c r="AR454" s="105">
        <f t="shared" si="802"/>
        <v>0</v>
      </c>
      <c r="AS454" s="131" t="s">
        <v>161</v>
      </c>
      <c r="AT454" s="132">
        <f t="shared" ref="AT454:AX454" si="803">SUM(AT451:AT453)</f>
        <v>0</v>
      </c>
      <c r="AU454" s="132">
        <f t="shared" si="803"/>
        <v>0</v>
      </c>
      <c r="AV454" s="132">
        <f t="shared" si="803"/>
        <v>0</v>
      </c>
      <c r="AW454" s="133">
        <f t="shared" si="803"/>
        <v>0</v>
      </c>
      <c r="AX454" s="127">
        <f t="shared" si="803"/>
        <v>0</v>
      </c>
      <c r="AY454" s="144" t="s">
        <v>161</v>
      </c>
      <c r="AZ454" s="140">
        <f t="shared" ref="AZ454:BB454" si="804">SUM(AZ451:AZ453)</f>
        <v>0</v>
      </c>
      <c r="BA454" s="140">
        <f t="shared" si="804"/>
        <v>0</v>
      </c>
      <c r="BB454" s="140">
        <f t="shared" si="804"/>
        <v>0</v>
      </c>
      <c r="BC454" s="479" t="s">
        <v>263</v>
      </c>
      <c r="BD454" s="480"/>
      <c r="BE454" s="15"/>
      <c r="BF454" s="18"/>
      <c r="BG454" s="15"/>
      <c r="BH454" s="18"/>
      <c r="BI454" s="15"/>
      <c r="BJ454" s="18"/>
      <c r="BK454" s="15"/>
      <c r="BL454" s="18"/>
      <c r="BM454" s="15"/>
      <c r="BN454" s="18"/>
      <c r="BO454" s="15"/>
      <c r="BP454" s="18"/>
      <c r="BQ454" s="109">
        <f t="shared" si="757"/>
        <v>0</v>
      </c>
      <c r="BR454" s="568"/>
      <c r="BS454" s="573"/>
      <c r="BT454" s="574"/>
      <c r="BU454" s="559"/>
      <c r="BV454" s="562"/>
      <c r="BW454" s="565"/>
      <c r="BX454" s="617"/>
    </row>
    <row r="455" spans="1:76" ht="15.75" thickTop="1" x14ac:dyDescent="0.25">
      <c r="A455" s="585">
        <v>112</v>
      </c>
      <c r="B455" s="588"/>
      <c r="C455" s="589"/>
      <c r="D455" s="604"/>
      <c r="E455" s="515"/>
      <c r="F455" s="516"/>
      <c r="G455" s="521"/>
      <c r="H455" s="522"/>
      <c r="I455" s="527"/>
      <c r="J455" s="528"/>
      <c r="K455" s="512" t="e">
        <f t="shared" ref="K455" si="805">INT(YEARFRAC(I455,AA455))</f>
        <v>#VALUE!</v>
      </c>
      <c r="L455" s="533">
        <f t="shared" ref="L455" ca="1" si="806">INT(YEARFRAC(I455,TODAY()))</f>
        <v>121</v>
      </c>
      <c r="M455" s="536"/>
      <c r="N455" s="539"/>
      <c r="O455" s="540"/>
      <c r="P455" s="481"/>
      <c r="Q455" s="482"/>
      <c r="R455" s="515"/>
      <c r="S455" s="516"/>
      <c r="T455" s="487"/>
      <c r="U455" s="488"/>
      <c r="V455" s="491"/>
      <c r="W455" s="481"/>
      <c r="X455" s="494"/>
      <c r="Y455" s="482"/>
      <c r="Z455" s="497"/>
      <c r="AA455" s="500" t="s">
        <v>353</v>
      </c>
      <c r="AB455" s="501"/>
      <c r="AC455" s="506" t="s">
        <v>257</v>
      </c>
      <c r="AD455" s="507"/>
      <c r="AE455" s="507"/>
      <c r="AF455" s="510"/>
      <c r="AG455" s="510"/>
      <c r="AH455" s="510"/>
      <c r="AI455" s="510"/>
      <c r="AJ455" s="510"/>
      <c r="AK455" s="510"/>
      <c r="AL455" s="510"/>
      <c r="AM455" s="510"/>
      <c r="AN455" s="510"/>
      <c r="AO455" s="510"/>
      <c r="AP455" s="510"/>
      <c r="AQ455" s="465"/>
      <c r="AR455" s="467">
        <f t="shared" ref="AR455" si="807">SUM(AF455:AQ456)</f>
        <v>0</v>
      </c>
      <c r="AS455" s="119" t="s">
        <v>257</v>
      </c>
      <c r="AT455" s="120"/>
      <c r="AU455" s="120"/>
      <c r="AV455" s="120"/>
      <c r="AW455" s="121"/>
      <c r="AX455" s="125">
        <f t="shared" ref="AX455:AX457" si="808">SUM(AT455:AW455)</f>
        <v>0</v>
      </c>
      <c r="AY455" s="141" t="s">
        <v>257</v>
      </c>
      <c r="AZ455" s="137"/>
      <c r="BA455" s="137"/>
      <c r="BB455" s="134">
        <f t="shared" ref="BB455:BB457" si="809">AZ455-BA455</f>
        <v>0</v>
      </c>
      <c r="BC455" s="469" t="s">
        <v>258</v>
      </c>
      <c r="BD455" s="470"/>
      <c r="BE455" s="13"/>
      <c r="BF455" s="16"/>
      <c r="BG455" s="13"/>
      <c r="BH455" s="16"/>
      <c r="BI455" s="13"/>
      <c r="BJ455" s="16"/>
      <c r="BK455" s="13"/>
      <c r="BL455" s="16"/>
      <c r="BM455" s="13"/>
      <c r="BN455" s="16"/>
      <c r="BO455" s="13"/>
      <c r="BP455" s="16"/>
      <c r="BQ455" s="106">
        <f t="shared" si="757"/>
        <v>0</v>
      </c>
      <c r="BR455" s="566"/>
      <c r="BS455" s="569"/>
      <c r="BT455" s="570"/>
      <c r="BU455" s="557"/>
      <c r="BV455" s="560"/>
      <c r="BW455" s="563"/>
      <c r="BX455" s="615"/>
    </row>
    <row r="456" spans="1:76" x14ac:dyDescent="0.25">
      <c r="A456" s="586"/>
      <c r="B456" s="590"/>
      <c r="C456" s="591"/>
      <c r="D456" s="605"/>
      <c r="E456" s="517"/>
      <c r="F456" s="518"/>
      <c r="G456" s="523"/>
      <c r="H456" s="524"/>
      <c r="I456" s="529"/>
      <c r="J456" s="530"/>
      <c r="K456" s="513"/>
      <c r="L456" s="534"/>
      <c r="M456" s="537"/>
      <c r="N456" s="541"/>
      <c r="O456" s="542"/>
      <c r="P456" s="483"/>
      <c r="Q456" s="484"/>
      <c r="R456" s="517"/>
      <c r="S456" s="518"/>
      <c r="T456" s="487"/>
      <c r="U456" s="488"/>
      <c r="V456" s="492"/>
      <c r="W456" s="483"/>
      <c r="X456" s="495"/>
      <c r="Y456" s="484"/>
      <c r="Z456" s="498"/>
      <c r="AA456" s="502"/>
      <c r="AB456" s="503"/>
      <c r="AC456" s="508"/>
      <c r="AD456" s="509"/>
      <c r="AE456" s="509"/>
      <c r="AF456" s="511"/>
      <c r="AG456" s="511"/>
      <c r="AH456" s="511"/>
      <c r="AI456" s="511"/>
      <c r="AJ456" s="511"/>
      <c r="AK456" s="511"/>
      <c r="AL456" s="511"/>
      <c r="AM456" s="511"/>
      <c r="AN456" s="511"/>
      <c r="AO456" s="511"/>
      <c r="AP456" s="511"/>
      <c r="AQ456" s="466"/>
      <c r="AR456" s="468"/>
      <c r="AS456" s="122" t="s">
        <v>259</v>
      </c>
      <c r="AT456" s="123"/>
      <c r="AU456" s="123"/>
      <c r="AV456" s="123"/>
      <c r="AW456" s="124"/>
      <c r="AX456" s="126">
        <f t="shared" si="808"/>
        <v>0</v>
      </c>
      <c r="AY456" s="142" t="s">
        <v>259</v>
      </c>
      <c r="AZ456" s="138"/>
      <c r="BA456" s="138"/>
      <c r="BB456" s="135">
        <f t="shared" si="809"/>
        <v>0</v>
      </c>
      <c r="BC456" s="474" t="s">
        <v>260</v>
      </c>
      <c r="BD456" s="475"/>
      <c r="BE456" s="14"/>
      <c r="BF456" s="17"/>
      <c r="BG456" s="14"/>
      <c r="BH456" s="17"/>
      <c r="BI456" s="14"/>
      <c r="BJ456" s="17"/>
      <c r="BK456" s="14"/>
      <c r="BL456" s="17"/>
      <c r="BM456" s="14"/>
      <c r="BN456" s="17"/>
      <c r="BO456" s="14"/>
      <c r="BP456" s="17"/>
      <c r="BQ456" s="107">
        <f t="shared" si="757"/>
        <v>0</v>
      </c>
      <c r="BR456" s="567"/>
      <c r="BS456" s="571"/>
      <c r="BT456" s="572"/>
      <c r="BU456" s="558"/>
      <c r="BV456" s="561"/>
      <c r="BW456" s="564"/>
      <c r="BX456" s="616"/>
    </row>
    <row r="457" spans="1:76" ht="15.75" thickBot="1" x14ac:dyDescent="0.3">
      <c r="A457" s="586"/>
      <c r="B457" s="590"/>
      <c r="C457" s="591"/>
      <c r="D457" s="605"/>
      <c r="E457" s="517"/>
      <c r="F457" s="518"/>
      <c r="G457" s="523"/>
      <c r="H457" s="524"/>
      <c r="I457" s="529"/>
      <c r="J457" s="530"/>
      <c r="K457" s="513"/>
      <c r="L457" s="534"/>
      <c r="M457" s="537"/>
      <c r="N457" s="541"/>
      <c r="O457" s="542"/>
      <c r="P457" s="483"/>
      <c r="Q457" s="484"/>
      <c r="R457" s="517"/>
      <c r="S457" s="518"/>
      <c r="T457" s="487"/>
      <c r="U457" s="488"/>
      <c r="V457" s="492"/>
      <c r="W457" s="483"/>
      <c r="X457" s="495"/>
      <c r="Y457" s="484"/>
      <c r="Z457" s="498"/>
      <c r="AA457" s="502"/>
      <c r="AB457" s="503"/>
      <c r="AC457" s="471" t="s">
        <v>259</v>
      </c>
      <c r="AD457" s="472"/>
      <c r="AE457" s="473"/>
      <c r="AF457" s="100"/>
      <c r="AG457" s="100"/>
      <c r="AH457" s="100"/>
      <c r="AI457" s="100"/>
      <c r="AJ457" s="100"/>
      <c r="AK457" s="100"/>
      <c r="AL457" s="100"/>
      <c r="AM457" s="100"/>
      <c r="AN457" s="100"/>
      <c r="AO457" s="100"/>
      <c r="AP457" s="100"/>
      <c r="AQ457" s="101"/>
      <c r="AR457" s="104">
        <f t="shared" ref="AR457:AR458" si="810">SUM(AF457:AQ457)</f>
        <v>0</v>
      </c>
      <c r="AS457" s="128" t="s">
        <v>261</v>
      </c>
      <c r="AT457" s="129"/>
      <c r="AU457" s="129"/>
      <c r="AV457" s="129"/>
      <c r="AW457" s="130"/>
      <c r="AX457" s="126">
        <f t="shared" si="808"/>
        <v>0</v>
      </c>
      <c r="AY457" s="143" t="s">
        <v>261</v>
      </c>
      <c r="AZ457" s="139"/>
      <c r="BA457" s="139"/>
      <c r="BB457" s="136">
        <f t="shared" si="809"/>
        <v>0</v>
      </c>
      <c r="BC457" s="474" t="s">
        <v>262</v>
      </c>
      <c r="BD457" s="475"/>
      <c r="BE457" s="14"/>
      <c r="BF457" s="17"/>
      <c r="BG457" s="14"/>
      <c r="BH457" s="17"/>
      <c r="BI457" s="14"/>
      <c r="BJ457" s="17"/>
      <c r="BK457" s="14"/>
      <c r="BL457" s="17"/>
      <c r="BM457" s="14"/>
      <c r="BN457" s="17"/>
      <c r="BO457" s="14"/>
      <c r="BP457" s="17"/>
      <c r="BQ457" s="108">
        <f t="shared" si="757"/>
        <v>0</v>
      </c>
      <c r="BR457" s="567"/>
      <c r="BS457" s="571"/>
      <c r="BT457" s="572"/>
      <c r="BU457" s="558"/>
      <c r="BV457" s="561"/>
      <c r="BW457" s="564"/>
      <c r="BX457" s="616"/>
    </row>
    <row r="458" spans="1:76" ht="15.75" thickBot="1" x14ac:dyDescent="0.3">
      <c r="A458" s="587"/>
      <c r="B458" s="592"/>
      <c r="C458" s="593"/>
      <c r="D458" s="606"/>
      <c r="E458" s="519"/>
      <c r="F458" s="520"/>
      <c r="G458" s="525"/>
      <c r="H458" s="526"/>
      <c r="I458" s="531"/>
      <c r="J458" s="532"/>
      <c r="K458" s="514"/>
      <c r="L458" s="535"/>
      <c r="M458" s="538"/>
      <c r="N458" s="543"/>
      <c r="O458" s="544"/>
      <c r="P458" s="485"/>
      <c r="Q458" s="486"/>
      <c r="R458" s="519"/>
      <c r="S458" s="520"/>
      <c r="T458" s="489"/>
      <c r="U458" s="490"/>
      <c r="V458" s="493"/>
      <c r="W458" s="485"/>
      <c r="X458" s="496"/>
      <c r="Y458" s="486"/>
      <c r="Z458" s="499"/>
      <c r="AA458" s="504"/>
      <c r="AB458" s="505"/>
      <c r="AC458" s="476" t="s">
        <v>261</v>
      </c>
      <c r="AD458" s="477"/>
      <c r="AE458" s="478"/>
      <c r="AF458" s="102"/>
      <c r="AG458" s="102"/>
      <c r="AH458" s="102"/>
      <c r="AI458" s="102"/>
      <c r="AJ458" s="102"/>
      <c r="AK458" s="102"/>
      <c r="AL458" s="102"/>
      <c r="AM458" s="102"/>
      <c r="AN458" s="102"/>
      <c r="AO458" s="102"/>
      <c r="AP458" s="102"/>
      <c r="AQ458" s="103"/>
      <c r="AR458" s="105">
        <f t="shared" si="810"/>
        <v>0</v>
      </c>
      <c r="AS458" s="131" t="s">
        <v>161</v>
      </c>
      <c r="AT458" s="132">
        <f t="shared" ref="AT458:AX458" si="811">SUM(AT455:AT457)</f>
        <v>0</v>
      </c>
      <c r="AU458" s="132">
        <f t="shared" si="811"/>
        <v>0</v>
      </c>
      <c r="AV458" s="132">
        <f t="shared" si="811"/>
        <v>0</v>
      </c>
      <c r="AW458" s="133">
        <f t="shared" si="811"/>
        <v>0</v>
      </c>
      <c r="AX458" s="127">
        <f t="shared" si="811"/>
        <v>0</v>
      </c>
      <c r="AY458" s="144" t="s">
        <v>161</v>
      </c>
      <c r="AZ458" s="140">
        <f t="shared" ref="AZ458:BB458" si="812">SUM(AZ455:AZ457)</f>
        <v>0</v>
      </c>
      <c r="BA458" s="140">
        <f t="shared" si="812"/>
        <v>0</v>
      </c>
      <c r="BB458" s="140">
        <f t="shared" si="812"/>
        <v>0</v>
      </c>
      <c r="BC458" s="479" t="s">
        <v>263</v>
      </c>
      <c r="BD458" s="480"/>
      <c r="BE458" s="15"/>
      <c r="BF458" s="18"/>
      <c r="BG458" s="15"/>
      <c r="BH458" s="18"/>
      <c r="BI458" s="15"/>
      <c r="BJ458" s="18"/>
      <c r="BK458" s="15"/>
      <c r="BL458" s="18"/>
      <c r="BM458" s="15"/>
      <c r="BN458" s="18"/>
      <c r="BO458" s="15"/>
      <c r="BP458" s="18"/>
      <c r="BQ458" s="109">
        <f t="shared" si="757"/>
        <v>0</v>
      </c>
      <c r="BR458" s="568"/>
      <c r="BS458" s="573"/>
      <c r="BT458" s="574"/>
      <c r="BU458" s="559"/>
      <c r="BV458" s="562"/>
      <c r="BW458" s="565"/>
      <c r="BX458" s="617"/>
    </row>
    <row r="459" spans="1:76" ht="15.75" thickTop="1" x14ac:dyDescent="0.25">
      <c r="A459" s="585">
        <v>113</v>
      </c>
      <c r="B459" s="588"/>
      <c r="C459" s="589"/>
      <c r="D459" s="604"/>
      <c r="E459" s="515"/>
      <c r="F459" s="516"/>
      <c r="G459" s="521"/>
      <c r="H459" s="522"/>
      <c r="I459" s="527"/>
      <c r="J459" s="528"/>
      <c r="K459" s="512" t="e">
        <f t="shared" ref="K459" si="813">INT(YEARFRAC(I459,AA459))</f>
        <v>#VALUE!</v>
      </c>
      <c r="L459" s="533">
        <f t="shared" ref="L459" ca="1" si="814">INT(YEARFRAC(I459,TODAY()))</f>
        <v>121</v>
      </c>
      <c r="M459" s="536"/>
      <c r="N459" s="539"/>
      <c r="O459" s="540"/>
      <c r="P459" s="481"/>
      <c r="Q459" s="482"/>
      <c r="R459" s="515"/>
      <c r="S459" s="516"/>
      <c r="T459" s="487"/>
      <c r="U459" s="488"/>
      <c r="V459" s="491"/>
      <c r="W459" s="481"/>
      <c r="X459" s="494"/>
      <c r="Y459" s="482"/>
      <c r="Z459" s="497"/>
      <c r="AA459" s="500" t="s">
        <v>354</v>
      </c>
      <c r="AB459" s="501"/>
      <c r="AC459" s="506" t="s">
        <v>257</v>
      </c>
      <c r="AD459" s="507"/>
      <c r="AE459" s="507"/>
      <c r="AF459" s="510"/>
      <c r="AG459" s="510"/>
      <c r="AH459" s="510"/>
      <c r="AI459" s="510"/>
      <c r="AJ459" s="510"/>
      <c r="AK459" s="510"/>
      <c r="AL459" s="510"/>
      <c r="AM459" s="510"/>
      <c r="AN459" s="510"/>
      <c r="AO459" s="510"/>
      <c r="AP459" s="510"/>
      <c r="AQ459" s="465"/>
      <c r="AR459" s="467">
        <f t="shared" ref="AR459" si="815">SUM(AF459:AQ460)</f>
        <v>0</v>
      </c>
      <c r="AS459" s="119" t="s">
        <v>257</v>
      </c>
      <c r="AT459" s="120"/>
      <c r="AU459" s="120"/>
      <c r="AV459" s="120"/>
      <c r="AW459" s="121"/>
      <c r="AX459" s="125">
        <f t="shared" ref="AX459:AX461" si="816">SUM(AT459:AW459)</f>
        <v>0</v>
      </c>
      <c r="AY459" s="141" t="s">
        <v>257</v>
      </c>
      <c r="AZ459" s="137"/>
      <c r="BA459" s="137"/>
      <c r="BB459" s="134">
        <f t="shared" ref="BB459:BB461" si="817">AZ459-BA459</f>
        <v>0</v>
      </c>
      <c r="BC459" s="469" t="s">
        <v>258</v>
      </c>
      <c r="BD459" s="470"/>
      <c r="BE459" s="13"/>
      <c r="BF459" s="16"/>
      <c r="BG459" s="13"/>
      <c r="BH459" s="16"/>
      <c r="BI459" s="13"/>
      <c r="BJ459" s="16"/>
      <c r="BK459" s="13"/>
      <c r="BL459" s="16"/>
      <c r="BM459" s="13"/>
      <c r="BN459" s="16"/>
      <c r="BO459" s="13"/>
      <c r="BP459" s="16"/>
      <c r="BQ459" s="106">
        <f t="shared" si="757"/>
        <v>0</v>
      </c>
      <c r="BR459" s="566"/>
      <c r="BS459" s="569"/>
      <c r="BT459" s="570"/>
      <c r="BU459" s="557"/>
      <c r="BV459" s="560"/>
      <c r="BW459" s="563"/>
      <c r="BX459" s="615"/>
    </row>
    <row r="460" spans="1:76" x14ac:dyDescent="0.25">
      <c r="A460" s="586"/>
      <c r="B460" s="590"/>
      <c r="C460" s="591"/>
      <c r="D460" s="605"/>
      <c r="E460" s="517"/>
      <c r="F460" s="518"/>
      <c r="G460" s="523"/>
      <c r="H460" s="524"/>
      <c r="I460" s="529"/>
      <c r="J460" s="530"/>
      <c r="K460" s="513"/>
      <c r="L460" s="534"/>
      <c r="M460" s="537"/>
      <c r="N460" s="541"/>
      <c r="O460" s="542"/>
      <c r="P460" s="483"/>
      <c r="Q460" s="484"/>
      <c r="R460" s="517"/>
      <c r="S460" s="518"/>
      <c r="T460" s="487"/>
      <c r="U460" s="488"/>
      <c r="V460" s="492"/>
      <c r="W460" s="483"/>
      <c r="X460" s="495"/>
      <c r="Y460" s="484"/>
      <c r="Z460" s="498"/>
      <c r="AA460" s="502"/>
      <c r="AB460" s="503"/>
      <c r="AC460" s="508"/>
      <c r="AD460" s="509"/>
      <c r="AE460" s="509"/>
      <c r="AF460" s="511"/>
      <c r="AG460" s="511"/>
      <c r="AH460" s="511"/>
      <c r="AI460" s="511"/>
      <c r="AJ460" s="511"/>
      <c r="AK460" s="511"/>
      <c r="AL460" s="511"/>
      <c r="AM460" s="511"/>
      <c r="AN460" s="511"/>
      <c r="AO460" s="511"/>
      <c r="AP460" s="511"/>
      <c r="AQ460" s="466"/>
      <c r="AR460" s="468"/>
      <c r="AS460" s="122" t="s">
        <v>259</v>
      </c>
      <c r="AT460" s="123"/>
      <c r="AU460" s="123"/>
      <c r="AV460" s="123"/>
      <c r="AW460" s="124"/>
      <c r="AX460" s="126">
        <f t="shared" si="816"/>
        <v>0</v>
      </c>
      <c r="AY460" s="142" t="s">
        <v>259</v>
      </c>
      <c r="AZ460" s="138"/>
      <c r="BA460" s="138"/>
      <c r="BB460" s="135">
        <f t="shared" si="817"/>
        <v>0</v>
      </c>
      <c r="BC460" s="474" t="s">
        <v>260</v>
      </c>
      <c r="BD460" s="475"/>
      <c r="BE460" s="14"/>
      <c r="BF460" s="17"/>
      <c r="BG460" s="14"/>
      <c r="BH460" s="17"/>
      <c r="BI460" s="14"/>
      <c r="BJ460" s="17"/>
      <c r="BK460" s="14"/>
      <c r="BL460" s="17"/>
      <c r="BM460" s="14"/>
      <c r="BN460" s="17"/>
      <c r="BO460" s="14"/>
      <c r="BP460" s="17"/>
      <c r="BQ460" s="107">
        <f t="shared" si="757"/>
        <v>0</v>
      </c>
      <c r="BR460" s="567"/>
      <c r="BS460" s="571"/>
      <c r="BT460" s="572"/>
      <c r="BU460" s="558"/>
      <c r="BV460" s="561"/>
      <c r="BW460" s="564"/>
      <c r="BX460" s="616"/>
    </row>
    <row r="461" spans="1:76" ht="15.75" thickBot="1" x14ac:dyDescent="0.3">
      <c r="A461" s="586"/>
      <c r="B461" s="590"/>
      <c r="C461" s="591"/>
      <c r="D461" s="605"/>
      <c r="E461" s="517"/>
      <c r="F461" s="518"/>
      <c r="G461" s="523"/>
      <c r="H461" s="524"/>
      <c r="I461" s="529"/>
      <c r="J461" s="530"/>
      <c r="K461" s="513"/>
      <c r="L461" s="534"/>
      <c r="M461" s="537"/>
      <c r="N461" s="541"/>
      <c r="O461" s="542"/>
      <c r="P461" s="483"/>
      <c r="Q461" s="484"/>
      <c r="R461" s="517"/>
      <c r="S461" s="518"/>
      <c r="T461" s="487"/>
      <c r="U461" s="488"/>
      <c r="V461" s="492"/>
      <c r="W461" s="483"/>
      <c r="X461" s="495"/>
      <c r="Y461" s="484"/>
      <c r="Z461" s="498"/>
      <c r="AA461" s="502"/>
      <c r="AB461" s="503"/>
      <c r="AC461" s="471" t="s">
        <v>259</v>
      </c>
      <c r="AD461" s="472"/>
      <c r="AE461" s="473"/>
      <c r="AF461" s="100"/>
      <c r="AG461" s="100"/>
      <c r="AH461" s="100"/>
      <c r="AI461" s="100"/>
      <c r="AJ461" s="100"/>
      <c r="AK461" s="100"/>
      <c r="AL461" s="100"/>
      <c r="AM461" s="100"/>
      <c r="AN461" s="100"/>
      <c r="AO461" s="100"/>
      <c r="AP461" s="100"/>
      <c r="AQ461" s="101"/>
      <c r="AR461" s="104">
        <f t="shared" ref="AR461:AR462" si="818">SUM(AF461:AQ461)</f>
        <v>0</v>
      </c>
      <c r="AS461" s="128" t="s">
        <v>261</v>
      </c>
      <c r="AT461" s="129"/>
      <c r="AU461" s="129"/>
      <c r="AV461" s="129"/>
      <c r="AW461" s="130"/>
      <c r="AX461" s="126">
        <f t="shared" si="816"/>
        <v>0</v>
      </c>
      <c r="AY461" s="143" t="s">
        <v>261</v>
      </c>
      <c r="AZ461" s="139"/>
      <c r="BA461" s="139"/>
      <c r="BB461" s="136">
        <f t="shared" si="817"/>
        <v>0</v>
      </c>
      <c r="BC461" s="474" t="s">
        <v>262</v>
      </c>
      <c r="BD461" s="475"/>
      <c r="BE461" s="14"/>
      <c r="BF461" s="17"/>
      <c r="BG461" s="14"/>
      <c r="BH461" s="17"/>
      <c r="BI461" s="14"/>
      <c r="BJ461" s="17"/>
      <c r="BK461" s="14"/>
      <c r="BL461" s="17"/>
      <c r="BM461" s="14"/>
      <c r="BN461" s="17"/>
      <c r="BO461" s="14"/>
      <c r="BP461" s="17"/>
      <c r="BQ461" s="108">
        <f t="shared" si="757"/>
        <v>0</v>
      </c>
      <c r="BR461" s="567"/>
      <c r="BS461" s="571"/>
      <c r="BT461" s="572"/>
      <c r="BU461" s="558"/>
      <c r="BV461" s="561"/>
      <c r="BW461" s="564"/>
      <c r="BX461" s="616"/>
    </row>
    <row r="462" spans="1:76" ht="15.75" thickBot="1" x14ac:dyDescent="0.3">
      <c r="A462" s="587"/>
      <c r="B462" s="592"/>
      <c r="C462" s="593"/>
      <c r="D462" s="606"/>
      <c r="E462" s="519"/>
      <c r="F462" s="520"/>
      <c r="G462" s="525"/>
      <c r="H462" s="526"/>
      <c r="I462" s="531"/>
      <c r="J462" s="532"/>
      <c r="K462" s="514"/>
      <c r="L462" s="535"/>
      <c r="M462" s="538"/>
      <c r="N462" s="543"/>
      <c r="O462" s="544"/>
      <c r="P462" s="485"/>
      <c r="Q462" s="486"/>
      <c r="R462" s="519"/>
      <c r="S462" s="520"/>
      <c r="T462" s="489"/>
      <c r="U462" s="490"/>
      <c r="V462" s="493"/>
      <c r="W462" s="485"/>
      <c r="X462" s="496"/>
      <c r="Y462" s="486"/>
      <c r="Z462" s="499"/>
      <c r="AA462" s="504"/>
      <c r="AB462" s="505"/>
      <c r="AC462" s="476" t="s">
        <v>261</v>
      </c>
      <c r="AD462" s="477"/>
      <c r="AE462" s="478"/>
      <c r="AF462" s="102"/>
      <c r="AG462" s="102"/>
      <c r="AH462" s="102"/>
      <c r="AI462" s="102"/>
      <c r="AJ462" s="102"/>
      <c r="AK462" s="102"/>
      <c r="AL462" s="102"/>
      <c r="AM462" s="102"/>
      <c r="AN462" s="102"/>
      <c r="AO462" s="102"/>
      <c r="AP462" s="102"/>
      <c r="AQ462" s="103"/>
      <c r="AR462" s="105">
        <f t="shared" si="818"/>
        <v>0</v>
      </c>
      <c r="AS462" s="131" t="s">
        <v>161</v>
      </c>
      <c r="AT462" s="132">
        <f t="shared" ref="AT462:AX462" si="819">SUM(AT459:AT461)</f>
        <v>0</v>
      </c>
      <c r="AU462" s="132">
        <f t="shared" si="819"/>
        <v>0</v>
      </c>
      <c r="AV462" s="132">
        <f t="shared" si="819"/>
        <v>0</v>
      </c>
      <c r="AW462" s="133">
        <f t="shared" si="819"/>
        <v>0</v>
      </c>
      <c r="AX462" s="127">
        <f t="shared" si="819"/>
        <v>0</v>
      </c>
      <c r="AY462" s="144" t="s">
        <v>161</v>
      </c>
      <c r="AZ462" s="140">
        <f t="shared" ref="AZ462:BB462" si="820">SUM(AZ459:AZ461)</f>
        <v>0</v>
      </c>
      <c r="BA462" s="140">
        <f t="shared" si="820"/>
        <v>0</v>
      </c>
      <c r="BB462" s="140">
        <f t="shared" si="820"/>
        <v>0</v>
      </c>
      <c r="BC462" s="479" t="s">
        <v>263</v>
      </c>
      <c r="BD462" s="480"/>
      <c r="BE462" s="15"/>
      <c r="BF462" s="18"/>
      <c r="BG462" s="15"/>
      <c r="BH462" s="18"/>
      <c r="BI462" s="15"/>
      <c r="BJ462" s="18"/>
      <c r="BK462" s="15"/>
      <c r="BL462" s="18"/>
      <c r="BM462" s="15"/>
      <c r="BN462" s="18"/>
      <c r="BO462" s="15"/>
      <c r="BP462" s="18"/>
      <c r="BQ462" s="109">
        <f t="shared" si="757"/>
        <v>0</v>
      </c>
      <c r="BR462" s="568"/>
      <c r="BS462" s="573"/>
      <c r="BT462" s="574"/>
      <c r="BU462" s="559"/>
      <c r="BV462" s="562"/>
      <c r="BW462" s="565"/>
      <c r="BX462" s="617"/>
    </row>
    <row r="463" spans="1:76" ht="15.75" thickTop="1" x14ac:dyDescent="0.25">
      <c r="A463" s="585">
        <v>114</v>
      </c>
      <c r="B463" s="588"/>
      <c r="C463" s="589"/>
      <c r="D463" s="604"/>
      <c r="E463" s="515"/>
      <c r="F463" s="516"/>
      <c r="G463" s="521"/>
      <c r="H463" s="522"/>
      <c r="I463" s="527"/>
      <c r="J463" s="528"/>
      <c r="K463" s="512" t="e">
        <f t="shared" ref="K463" si="821">INT(YEARFRAC(I463,AA463))</f>
        <v>#VALUE!</v>
      </c>
      <c r="L463" s="533">
        <f t="shared" ref="L463" ca="1" si="822">INT(YEARFRAC(I463,TODAY()))</f>
        <v>121</v>
      </c>
      <c r="M463" s="536"/>
      <c r="N463" s="539"/>
      <c r="O463" s="540"/>
      <c r="P463" s="481"/>
      <c r="Q463" s="482"/>
      <c r="R463" s="515"/>
      <c r="S463" s="516"/>
      <c r="T463" s="487"/>
      <c r="U463" s="488"/>
      <c r="V463" s="491"/>
      <c r="W463" s="481"/>
      <c r="X463" s="494"/>
      <c r="Y463" s="482"/>
      <c r="Z463" s="497"/>
      <c r="AA463" s="500" t="s">
        <v>355</v>
      </c>
      <c r="AB463" s="501"/>
      <c r="AC463" s="506" t="s">
        <v>257</v>
      </c>
      <c r="AD463" s="507"/>
      <c r="AE463" s="507"/>
      <c r="AF463" s="510"/>
      <c r="AG463" s="510"/>
      <c r="AH463" s="510"/>
      <c r="AI463" s="510"/>
      <c r="AJ463" s="510"/>
      <c r="AK463" s="510"/>
      <c r="AL463" s="510"/>
      <c r="AM463" s="510"/>
      <c r="AN463" s="510"/>
      <c r="AO463" s="510"/>
      <c r="AP463" s="510"/>
      <c r="AQ463" s="465"/>
      <c r="AR463" s="467">
        <f t="shared" ref="AR463" si="823">SUM(AF463:AQ464)</f>
        <v>0</v>
      </c>
      <c r="AS463" s="119" t="s">
        <v>257</v>
      </c>
      <c r="AT463" s="120"/>
      <c r="AU463" s="120"/>
      <c r="AV463" s="120"/>
      <c r="AW463" s="121"/>
      <c r="AX463" s="125">
        <f t="shared" ref="AX463:AX465" si="824">SUM(AT463:AW463)</f>
        <v>0</v>
      </c>
      <c r="AY463" s="141" t="s">
        <v>257</v>
      </c>
      <c r="AZ463" s="137"/>
      <c r="BA463" s="137"/>
      <c r="BB463" s="134">
        <f t="shared" ref="BB463:BB465" si="825">AZ463-BA463</f>
        <v>0</v>
      </c>
      <c r="BC463" s="469" t="s">
        <v>258</v>
      </c>
      <c r="BD463" s="470"/>
      <c r="BE463" s="13"/>
      <c r="BF463" s="16"/>
      <c r="BG463" s="13"/>
      <c r="BH463" s="16"/>
      <c r="BI463" s="13"/>
      <c r="BJ463" s="16"/>
      <c r="BK463" s="13"/>
      <c r="BL463" s="16"/>
      <c r="BM463" s="13"/>
      <c r="BN463" s="16"/>
      <c r="BO463" s="13"/>
      <c r="BP463" s="16"/>
      <c r="BQ463" s="106">
        <f t="shared" si="757"/>
        <v>0</v>
      </c>
      <c r="BR463" s="566"/>
      <c r="BS463" s="569"/>
      <c r="BT463" s="570"/>
      <c r="BU463" s="557"/>
      <c r="BV463" s="560"/>
      <c r="BW463" s="563"/>
      <c r="BX463" s="615"/>
    </row>
    <row r="464" spans="1:76" x14ac:dyDescent="0.25">
      <c r="A464" s="586"/>
      <c r="B464" s="590"/>
      <c r="C464" s="591"/>
      <c r="D464" s="605"/>
      <c r="E464" s="517"/>
      <c r="F464" s="518"/>
      <c r="G464" s="523"/>
      <c r="H464" s="524"/>
      <c r="I464" s="529"/>
      <c r="J464" s="530"/>
      <c r="K464" s="513"/>
      <c r="L464" s="534"/>
      <c r="M464" s="537"/>
      <c r="N464" s="541"/>
      <c r="O464" s="542"/>
      <c r="P464" s="483"/>
      <c r="Q464" s="484"/>
      <c r="R464" s="517"/>
      <c r="S464" s="518"/>
      <c r="T464" s="487"/>
      <c r="U464" s="488"/>
      <c r="V464" s="492"/>
      <c r="W464" s="483"/>
      <c r="X464" s="495"/>
      <c r="Y464" s="484"/>
      <c r="Z464" s="498"/>
      <c r="AA464" s="502"/>
      <c r="AB464" s="503"/>
      <c r="AC464" s="508"/>
      <c r="AD464" s="509"/>
      <c r="AE464" s="509"/>
      <c r="AF464" s="511"/>
      <c r="AG464" s="511"/>
      <c r="AH464" s="511"/>
      <c r="AI464" s="511"/>
      <c r="AJ464" s="511"/>
      <c r="AK464" s="511"/>
      <c r="AL464" s="511"/>
      <c r="AM464" s="511"/>
      <c r="AN464" s="511"/>
      <c r="AO464" s="511"/>
      <c r="AP464" s="511"/>
      <c r="AQ464" s="466"/>
      <c r="AR464" s="468"/>
      <c r="AS464" s="122" t="s">
        <v>259</v>
      </c>
      <c r="AT464" s="123"/>
      <c r="AU464" s="123"/>
      <c r="AV464" s="123"/>
      <c r="AW464" s="124"/>
      <c r="AX464" s="126">
        <f t="shared" si="824"/>
        <v>0</v>
      </c>
      <c r="AY464" s="142" t="s">
        <v>259</v>
      </c>
      <c r="AZ464" s="138"/>
      <c r="BA464" s="138"/>
      <c r="BB464" s="135">
        <f t="shared" si="825"/>
        <v>0</v>
      </c>
      <c r="BC464" s="474" t="s">
        <v>260</v>
      </c>
      <c r="BD464" s="475"/>
      <c r="BE464" s="14"/>
      <c r="BF464" s="17"/>
      <c r="BG464" s="14"/>
      <c r="BH464" s="17"/>
      <c r="BI464" s="14"/>
      <c r="BJ464" s="17"/>
      <c r="BK464" s="14"/>
      <c r="BL464" s="17"/>
      <c r="BM464" s="14"/>
      <c r="BN464" s="17"/>
      <c r="BO464" s="14"/>
      <c r="BP464" s="17"/>
      <c r="BQ464" s="107">
        <f t="shared" si="757"/>
        <v>0</v>
      </c>
      <c r="BR464" s="567"/>
      <c r="BS464" s="571"/>
      <c r="BT464" s="572"/>
      <c r="BU464" s="558"/>
      <c r="BV464" s="561"/>
      <c r="BW464" s="564"/>
      <c r="BX464" s="616"/>
    </row>
    <row r="465" spans="1:76" ht="15.75" thickBot="1" x14ac:dyDescent="0.3">
      <c r="A465" s="586"/>
      <c r="B465" s="590"/>
      <c r="C465" s="591"/>
      <c r="D465" s="605"/>
      <c r="E465" s="517"/>
      <c r="F465" s="518"/>
      <c r="G465" s="523"/>
      <c r="H465" s="524"/>
      <c r="I465" s="529"/>
      <c r="J465" s="530"/>
      <c r="K465" s="513"/>
      <c r="L465" s="534"/>
      <c r="M465" s="537"/>
      <c r="N465" s="541"/>
      <c r="O465" s="542"/>
      <c r="P465" s="483"/>
      <c r="Q465" s="484"/>
      <c r="R465" s="517"/>
      <c r="S465" s="518"/>
      <c r="T465" s="487"/>
      <c r="U465" s="488"/>
      <c r="V465" s="492"/>
      <c r="W465" s="483"/>
      <c r="X465" s="495"/>
      <c r="Y465" s="484"/>
      <c r="Z465" s="498"/>
      <c r="AA465" s="502"/>
      <c r="AB465" s="503"/>
      <c r="AC465" s="471" t="s">
        <v>259</v>
      </c>
      <c r="AD465" s="472"/>
      <c r="AE465" s="473"/>
      <c r="AF465" s="100"/>
      <c r="AG465" s="100"/>
      <c r="AH465" s="100"/>
      <c r="AI465" s="100"/>
      <c r="AJ465" s="100"/>
      <c r="AK465" s="100"/>
      <c r="AL465" s="100"/>
      <c r="AM465" s="100"/>
      <c r="AN465" s="100"/>
      <c r="AO465" s="100"/>
      <c r="AP465" s="100"/>
      <c r="AQ465" s="101"/>
      <c r="AR465" s="104">
        <f t="shared" ref="AR465:AR466" si="826">SUM(AF465:AQ465)</f>
        <v>0</v>
      </c>
      <c r="AS465" s="128" t="s">
        <v>261</v>
      </c>
      <c r="AT465" s="129"/>
      <c r="AU465" s="129"/>
      <c r="AV465" s="129"/>
      <c r="AW465" s="130"/>
      <c r="AX465" s="126">
        <f t="shared" si="824"/>
        <v>0</v>
      </c>
      <c r="AY465" s="143" t="s">
        <v>261</v>
      </c>
      <c r="AZ465" s="139"/>
      <c r="BA465" s="139"/>
      <c r="BB465" s="136">
        <f t="shared" si="825"/>
        <v>0</v>
      </c>
      <c r="BC465" s="474" t="s">
        <v>262</v>
      </c>
      <c r="BD465" s="475"/>
      <c r="BE465" s="14"/>
      <c r="BF465" s="17"/>
      <c r="BG465" s="14"/>
      <c r="BH465" s="17"/>
      <c r="BI465" s="14"/>
      <c r="BJ465" s="17"/>
      <c r="BK465" s="14"/>
      <c r="BL465" s="17"/>
      <c r="BM465" s="14"/>
      <c r="BN465" s="17"/>
      <c r="BO465" s="14"/>
      <c r="BP465" s="17"/>
      <c r="BQ465" s="108">
        <f t="shared" si="757"/>
        <v>0</v>
      </c>
      <c r="BR465" s="567"/>
      <c r="BS465" s="571"/>
      <c r="BT465" s="572"/>
      <c r="BU465" s="558"/>
      <c r="BV465" s="561"/>
      <c r="BW465" s="564"/>
      <c r="BX465" s="616"/>
    </row>
    <row r="466" spans="1:76" ht="15.75" thickBot="1" x14ac:dyDescent="0.3">
      <c r="A466" s="587"/>
      <c r="B466" s="592"/>
      <c r="C466" s="593"/>
      <c r="D466" s="606"/>
      <c r="E466" s="519"/>
      <c r="F466" s="520"/>
      <c r="G466" s="525"/>
      <c r="H466" s="526"/>
      <c r="I466" s="531"/>
      <c r="J466" s="532"/>
      <c r="K466" s="514"/>
      <c r="L466" s="535"/>
      <c r="M466" s="538"/>
      <c r="N466" s="543"/>
      <c r="O466" s="544"/>
      <c r="P466" s="485"/>
      <c r="Q466" s="486"/>
      <c r="R466" s="519"/>
      <c r="S466" s="520"/>
      <c r="T466" s="489"/>
      <c r="U466" s="490"/>
      <c r="V466" s="493"/>
      <c r="W466" s="485"/>
      <c r="X466" s="496"/>
      <c r="Y466" s="486"/>
      <c r="Z466" s="499"/>
      <c r="AA466" s="504"/>
      <c r="AB466" s="505"/>
      <c r="AC466" s="476" t="s">
        <v>261</v>
      </c>
      <c r="AD466" s="477"/>
      <c r="AE466" s="478"/>
      <c r="AF466" s="102"/>
      <c r="AG466" s="102"/>
      <c r="AH466" s="102"/>
      <c r="AI466" s="102"/>
      <c r="AJ466" s="102"/>
      <c r="AK466" s="102"/>
      <c r="AL466" s="102"/>
      <c r="AM466" s="102"/>
      <c r="AN466" s="102"/>
      <c r="AO466" s="102"/>
      <c r="AP466" s="102"/>
      <c r="AQ466" s="103"/>
      <c r="AR466" s="105">
        <f t="shared" si="826"/>
        <v>0</v>
      </c>
      <c r="AS466" s="131" t="s">
        <v>161</v>
      </c>
      <c r="AT466" s="132">
        <f t="shared" ref="AT466:AX466" si="827">SUM(AT463:AT465)</f>
        <v>0</v>
      </c>
      <c r="AU466" s="132">
        <f t="shared" si="827"/>
        <v>0</v>
      </c>
      <c r="AV466" s="132">
        <f t="shared" si="827"/>
        <v>0</v>
      </c>
      <c r="AW466" s="133">
        <f t="shared" si="827"/>
        <v>0</v>
      </c>
      <c r="AX466" s="127">
        <f t="shared" si="827"/>
        <v>0</v>
      </c>
      <c r="AY466" s="144" t="s">
        <v>161</v>
      </c>
      <c r="AZ466" s="140">
        <f t="shared" ref="AZ466:BB466" si="828">SUM(AZ463:AZ465)</f>
        <v>0</v>
      </c>
      <c r="BA466" s="140">
        <f t="shared" si="828"/>
        <v>0</v>
      </c>
      <c r="BB466" s="140">
        <f t="shared" si="828"/>
        <v>0</v>
      </c>
      <c r="BC466" s="479" t="s">
        <v>263</v>
      </c>
      <c r="BD466" s="480"/>
      <c r="BE466" s="15"/>
      <c r="BF466" s="18"/>
      <c r="BG466" s="15"/>
      <c r="BH466" s="18"/>
      <c r="BI466" s="15"/>
      <c r="BJ466" s="18"/>
      <c r="BK466" s="15"/>
      <c r="BL466" s="18"/>
      <c r="BM466" s="15"/>
      <c r="BN466" s="18"/>
      <c r="BO466" s="15"/>
      <c r="BP466" s="18"/>
      <c r="BQ466" s="109">
        <f t="shared" si="757"/>
        <v>0</v>
      </c>
      <c r="BR466" s="568"/>
      <c r="BS466" s="573"/>
      <c r="BT466" s="574"/>
      <c r="BU466" s="559"/>
      <c r="BV466" s="562"/>
      <c r="BW466" s="565"/>
      <c r="BX466" s="617"/>
    </row>
    <row r="467" spans="1:76" ht="15.75" thickTop="1" x14ac:dyDescent="0.25">
      <c r="A467" s="585">
        <v>115</v>
      </c>
      <c r="B467" s="588"/>
      <c r="C467" s="589"/>
      <c r="D467" s="604"/>
      <c r="E467" s="515"/>
      <c r="F467" s="516"/>
      <c r="G467" s="521"/>
      <c r="H467" s="522"/>
      <c r="I467" s="527"/>
      <c r="J467" s="528"/>
      <c r="K467" s="512" t="e">
        <f t="shared" ref="K467" si="829">INT(YEARFRAC(I467,AA467))</f>
        <v>#VALUE!</v>
      </c>
      <c r="L467" s="533">
        <f t="shared" ref="L467" ca="1" si="830">INT(YEARFRAC(I467,TODAY()))</f>
        <v>121</v>
      </c>
      <c r="M467" s="536"/>
      <c r="N467" s="539"/>
      <c r="O467" s="540"/>
      <c r="P467" s="481"/>
      <c r="Q467" s="482"/>
      <c r="R467" s="515"/>
      <c r="S467" s="516"/>
      <c r="T467" s="487"/>
      <c r="U467" s="488"/>
      <c r="V467" s="491"/>
      <c r="W467" s="481"/>
      <c r="X467" s="494"/>
      <c r="Y467" s="482"/>
      <c r="Z467" s="497"/>
      <c r="AA467" s="500" t="s">
        <v>356</v>
      </c>
      <c r="AB467" s="501"/>
      <c r="AC467" s="506" t="s">
        <v>257</v>
      </c>
      <c r="AD467" s="507"/>
      <c r="AE467" s="507"/>
      <c r="AF467" s="510"/>
      <c r="AG467" s="510"/>
      <c r="AH467" s="510"/>
      <c r="AI467" s="510"/>
      <c r="AJ467" s="510"/>
      <c r="AK467" s="510"/>
      <c r="AL467" s="510"/>
      <c r="AM467" s="510"/>
      <c r="AN467" s="510"/>
      <c r="AO467" s="510"/>
      <c r="AP467" s="510"/>
      <c r="AQ467" s="465"/>
      <c r="AR467" s="467">
        <f t="shared" ref="AR467" si="831">SUM(AF467:AQ468)</f>
        <v>0</v>
      </c>
      <c r="AS467" s="119" t="s">
        <v>257</v>
      </c>
      <c r="AT467" s="120"/>
      <c r="AU467" s="120"/>
      <c r="AV467" s="120"/>
      <c r="AW467" s="121"/>
      <c r="AX467" s="125">
        <f t="shared" ref="AX467:AX469" si="832">SUM(AT467:AW467)</f>
        <v>0</v>
      </c>
      <c r="AY467" s="141" t="s">
        <v>257</v>
      </c>
      <c r="AZ467" s="137"/>
      <c r="BA467" s="137"/>
      <c r="BB467" s="134">
        <f t="shared" ref="BB467:BB469" si="833">AZ467-BA467</f>
        <v>0</v>
      </c>
      <c r="BC467" s="469" t="s">
        <v>258</v>
      </c>
      <c r="BD467" s="470"/>
      <c r="BE467" s="13"/>
      <c r="BF467" s="16"/>
      <c r="BG467" s="13"/>
      <c r="BH467" s="16"/>
      <c r="BI467" s="13"/>
      <c r="BJ467" s="16"/>
      <c r="BK467" s="13"/>
      <c r="BL467" s="16"/>
      <c r="BM467" s="13"/>
      <c r="BN467" s="16"/>
      <c r="BO467" s="13"/>
      <c r="BP467" s="16"/>
      <c r="BQ467" s="106">
        <f t="shared" si="757"/>
        <v>0</v>
      </c>
      <c r="BR467" s="566"/>
      <c r="BS467" s="569"/>
      <c r="BT467" s="570"/>
      <c r="BU467" s="557"/>
      <c r="BV467" s="560"/>
      <c r="BW467" s="563"/>
      <c r="BX467" s="615"/>
    </row>
    <row r="468" spans="1:76" x14ac:dyDescent="0.25">
      <c r="A468" s="586"/>
      <c r="B468" s="590"/>
      <c r="C468" s="591"/>
      <c r="D468" s="605"/>
      <c r="E468" s="517"/>
      <c r="F468" s="518"/>
      <c r="G468" s="523"/>
      <c r="H468" s="524"/>
      <c r="I468" s="529"/>
      <c r="J468" s="530"/>
      <c r="K468" s="513"/>
      <c r="L468" s="534"/>
      <c r="M468" s="537"/>
      <c r="N468" s="541"/>
      <c r="O468" s="542"/>
      <c r="P468" s="483"/>
      <c r="Q468" s="484"/>
      <c r="R468" s="517"/>
      <c r="S468" s="518"/>
      <c r="T468" s="487"/>
      <c r="U468" s="488"/>
      <c r="V468" s="492"/>
      <c r="W468" s="483"/>
      <c r="X468" s="495"/>
      <c r="Y468" s="484"/>
      <c r="Z468" s="498"/>
      <c r="AA468" s="502"/>
      <c r="AB468" s="503"/>
      <c r="AC468" s="508"/>
      <c r="AD468" s="509"/>
      <c r="AE468" s="509"/>
      <c r="AF468" s="511"/>
      <c r="AG468" s="511"/>
      <c r="AH468" s="511"/>
      <c r="AI468" s="511"/>
      <c r="AJ468" s="511"/>
      <c r="AK468" s="511"/>
      <c r="AL468" s="511"/>
      <c r="AM468" s="511"/>
      <c r="AN468" s="511"/>
      <c r="AO468" s="511"/>
      <c r="AP468" s="511"/>
      <c r="AQ468" s="466"/>
      <c r="AR468" s="468"/>
      <c r="AS468" s="122" t="s">
        <v>259</v>
      </c>
      <c r="AT468" s="123"/>
      <c r="AU468" s="123"/>
      <c r="AV468" s="123"/>
      <c r="AW468" s="124"/>
      <c r="AX468" s="126">
        <f t="shared" si="832"/>
        <v>0</v>
      </c>
      <c r="AY468" s="142" t="s">
        <v>259</v>
      </c>
      <c r="AZ468" s="138"/>
      <c r="BA468" s="138"/>
      <c r="BB468" s="135">
        <f t="shared" si="833"/>
        <v>0</v>
      </c>
      <c r="BC468" s="474" t="s">
        <v>260</v>
      </c>
      <c r="BD468" s="475"/>
      <c r="BE468" s="14"/>
      <c r="BF468" s="17"/>
      <c r="BG468" s="14"/>
      <c r="BH468" s="17"/>
      <c r="BI468" s="14"/>
      <c r="BJ468" s="17"/>
      <c r="BK468" s="14"/>
      <c r="BL468" s="17"/>
      <c r="BM468" s="14"/>
      <c r="BN468" s="17"/>
      <c r="BO468" s="14"/>
      <c r="BP468" s="17"/>
      <c r="BQ468" s="107">
        <f t="shared" si="757"/>
        <v>0</v>
      </c>
      <c r="BR468" s="567"/>
      <c r="BS468" s="571"/>
      <c r="BT468" s="572"/>
      <c r="BU468" s="558"/>
      <c r="BV468" s="561"/>
      <c r="BW468" s="564"/>
      <c r="BX468" s="616"/>
    </row>
    <row r="469" spans="1:76" ht="15.75" thickBot="1" x14ac:dyDescent="0.3">
      <c r="A469" s="586"/>
      <c r="B469" s="590"/>
      <c r="C469" s="591"/>
      <c r="D469" s="605"/>
      <c r="E469" s="517"/>
      <c r="F469" s="518"/>
      <c r="G469" s="523"/>
      <c r="H469" s="524"/>
      <c r="I469" s="529"/>
      <c r="J469" s="530"/>
      <c r="K469" s="513"/>
      <c r="L469" s="534"/>
      <c r="M469" s="537"/>
      <c r="N469" s="541"/>
      <c r="O469" s="542"/>
      <c r="P469" s="483"/>
      <c r="Q469" s="484"/>
      <c r="R469" s="517"/>
      <c r="S469" s="518"/>
      <c r="T469" s="487"/>
      <c r="U469" s="488"/>
      <c r="V469" s="492"/>
      <c r="W469" s="483"/>
      <c r="X469" s="495"/>
      <c r="Y469" s="484"/>
      <c r="Z469" s="498"/>
      <c r="AA469" s="502"/>
      <c r="AB469" s="503"/>
      <c r="AC469" s="471" t="s">
        <v>259</v>
      </c>
      <c r="AD469" s="472"/>
      <c r="AE469" s="473"/>
      <c r="AF469" s="100"/>
      <c r="AG469" s="100"/>
      <c r="AH469" s="100"/>
      <c r="AI469" s="100"/>
      <c r="AJ469" s="100"/>
      <c r="AK469" s="100"/>
      <c r="AL469" s="100"/>
      <c r="AM469" s="100"/>
      <c r="AN469" s="100"/>
      <c r="AO469" s="100"/>
      <c r="AP469" s="100"/>
      <c r="AQ469" s="101"/>
      <c r="AR469" s="104">
        <f t="shared" ref="AR469:AR470" si="834">SUM(AF469:AQ469)</f>
        <v>0</v>
      </c>
      <c r="AS469" s="128" t="s">
        <v>261</v>
      </c>
      <c r="AT469" s="129"/>
      <c r="AU469" s="129"/>
      <c r="AV469" s="129"/>
      <c r="AW469" s="130"/>
      <c r="AX469" s="126">
        <f t="shared" si="832"/>
        <v>0</v>
      </c>
      <c r="AY469" s="143" t="s">
        <v>261</v>
      </c>
      <c r="AZ469" s="139"/>
      <c r="BA469" s="139"/>
      <c r="BB469" s="136">
        <f t="shared" si="833"/>
        <v>0</v>
      </c>
      <c r="BC469" s="474" t="s">
        <v>262</v>
      </c>
      <c r="BD469" s="475"/>
      <c r="BE469" s="14"/>
      <c r="BF469" s="17"/>
      <c r="BG469" s="14"/>
      <c r="BH469" s="17"/>
      <c r="BI469" s="14"/>
      <c r="BJ469" s="17"/>
      <c r="BK469" s="14"/>
      <c r="BL469" s="17"/>
      <c r="BM469" s="14"/>
      <c r="BN469" s="17"/>
      <c r="BO469" s="14"/>
      <c r="BP469" s="17"/>
      <c r="BQ469" s="108">
        <f t="shared" si="757"/>
        <v>0</v>
      </c>
      <c r="BR469" s="567"/>
      <c r="BS469" s="571"/>
      <c r="BT469" s="572"/>
      <c r="BU469" s="558"/>
      <c r="BV469" s="561"/>
      <c r="BW469" s="564"/>
      <c r="BX469" s="616"/>
    </row>
    <row r="470" spans="1:76" ht="15.75" thickBot="1" x14ac:dyDescent="0.3">
      <c r="A470" s="587"/>
      <c r="B470" s="592"/>
      <c r="C470" s="593"/>
      <c r="D470" s="606"/>
      <c r="E470" s="519"/>
      <c r="F470" s="520"/>
      <c r="G470" s="525"/>
      <c r="H470" s="526"/>
      <c r="I470" s="531"/>
      <c r="J470" s="532"/>
      <c r="K470" s="514"/>
      <c r="L470" s="535"/>
      <c r="M470" s="538"/>
      <c r="N470" s="543"/>
      <c r="O470" s="544"/>
      <c r="P470" s="485"/>
      <c r="Q470" s="486"/>
      <c r="R470" s="519"/>
      <c r="S470" s="520"/>
      <c r="T470" s="489"/>
      <c r="U470" s="490"/>
      <c r="V470" s="493"/>
      <c r="W470" s="485"/>
      <c r="X470" s="496"/>
      <c r="Y470" s="486"/>
      <c r="Z470" s="499"/>
      <c r="AA470" s="504"/>
      <c r="AB470" s="505"/>
      <c r="AC470" s="476" t="s">
        <v>261</v>
      </c>
      <c r="AD470" s="477"/>
      <c r="AE470" s="478"/>
      <c r="AF470" s="102"/>
      <c r="AG470" s="102"/>
      <c r="AH470" s="102"/>
      <c r="AI470" s="102"/>
      <c r="AJ470" s="102"/>
      <c r="AK470" s="102"/>
      <c r="AL470" s="102"/>
      <c r="AM470" s="102"/>
      <c r="AN470" s="102"/>
      <c r="AO470" s="102"/>
      <c r="AP470" s="102"/>
      <c r="AQ470" s="103"/>
      <c r="AR470" s="105">
        <f t="shared" si="834"/>
        <v>0</v>
      </c>
      <c r="AS470" s="131" t="s">
        <v>161</v>
      </c>
      <c r="AT470" s="132">
        <f t="shared" ref="AT470:AX470" si="835">SUM(AT467:AT469)</f>
        <v>0</v>
      </c>
      <c r="AU470" s="132">
        <f t="shared" si="835"/>
        <v>0</v>
      </c>
      <c r="AV470" s="132">
        <f t="shared" si="835"/>
        <v>0</v>
      </c>
      <c r="AW470" s="133">
        <f t="shared" si="835"/>
        <v>0</v>
      </c>
      <c r="AX470" s="127">
        <f t="shared" si="835"/>
        <v>0</v>
      </c>
      <c r="AY470" s="144" t="s">
        <v>161</v>
      </c>
      <c r="AZ470" s="140">
        <f t="shared" ref="AZ470:BB470" si="836">SUM(AZ467:AZ469)</f>
        <v>0</v>
      </c>
      <c r="BA470" s="140">
        <f t="shared" si="836"/>
        <v>0</v>
      </c>
      <c r="BB470" s="140">
        <f t="shared" si="836"/>
        <v>0</v>
      </c>
      <c r="BC470" s="479" t="s">
        <v>263</v>
      </c>
      <c r="BD470" s="480"/>
      <c r="BE470" s="15"/>
      <c r="BF470" s="18"/>
      <c r="BG470" s="15"/>
      <c r="BH470" s="18"/>
      <c r="BI470" s="15"/>
      <c r="BJ470" s="18"/>
      <c r="BK470" s="15"/>
      <c r="BL470" s="18"/>
      <c r="BM470" s="15"/>
      <c r="BN470" s="18"/>
      <c r="BO470" s="15"/>
      <c r="BP470" s="18"/>
      <c r="BQ470" s="109">
        <f t="shared" si="757"/>
        <v>0</v>
      </c>
      <c r="BR470" s="568"/>
      <c r="BS470" s="573"/>
      <c r="BT470" s="574"/>
      <c r="BU470" s="559"/>
      <c r="BV470" s="562"/>
      <c r="BW470" s="565"/>
      <c r="BX470" s="617"/>
    </row>
    <row r="471" spans="1:76" ht="15.75" thickTop="1" x14ac:dyDescent="0.25">
      <c r="A471" s="585">
        <v>116</v>
      </c>
      <c r="B471" s="588"/>
      <c r="C471" s="589"/>
      <c r="D471" s="604"/>
      <c r="E471" s="515"/>
      <c r="F471" s="516"/>
      <c r="G471" s="521"/>
      <c r="H471" s="522"/>
      <c r="I471" s="527"/>
      <c r="J471" s="528"/>
      <c r="K471" s="512" t="e">
        <f t="shared" ref="K471" si="837">INT(YEARFRAC(I471,AA471))</f>
        <v>#VALUE!</v>
      </c>
      <c r="L471" s="533">
        <f t="shared" ref="L471" ca="1" si="838">INT(YEARFRAC(I471,TODAY()))</f>
        <v>121</v>
      </c>
      <c r="M471" s="536"/>
      <c r="N471" s="539"/>
      <c r="O471" s="540"/>
      <c r="P471" s="481"/>
      <c r="Q471" s="482"/>
      <c r="R471" s="515"/>
      <c r="S471" s="516"/>
      <c r="T471" s="487"/>
      <c r="U471" s="488"/>
      <c r="V471" s="491"/>
      <c r="W471" s="481"/>
      <c r="X471" s="494"/>
      <c r="Y471" s="482"/>
      <c r="Z471" s="497"/>
      <c r="AA471" s="500" t="s">
        <v>357</v>
      </c>
      <c r="AB471" s="501"/>
      <c r="AC471" s="506" t="s">
        <v>257</v>
      </c>
      <c r="AD471" s="507"/>
      <c r="AE471" s="507"/>
      <c r="AF471" s="510"/>
      <c r="AG471" s="510"/>
      <c r="AH471" s="510"/>
      <c r="AI471" s="510"/>
      <c r="AJ471" s="510"/>
      <c r="AK471" s="510"/>
      <c r="AL471" s="510"/>
      <c r="AM471" s="510"/>
      <c r="AN471" s="510"/>
      <c r="AO471" s="510"/>
      <c r="AP471" s="510"/>
      <c r="AQ471" s="465"/>
      <c r="AR471" s="467">
        <f t="shared" ref="AR471" si="839">SUM(AF471:AQ472)</f>
        <v>0</v>
      </c>
      <c r="AS471" s="119" t="s">
        <v>257</v>
      </c>
      <c r="AT471" s="120"/>
      <c r="AU471" s="120"/>
      <c r="AV471" s="120"/>
      <c r="AW471" s="121"/>
      <c r="AX471" s="125">
        <f t="shared" ref="AX471:AX473" si="840">SUM(AT471:AW471)</f>
        <v>0</v>
      </c>
      <c r="AY471" s="141" t="s">
        <v>257</v>
      </c>
      <c r="AZ471" s="137"/>
      <c r="BA471" s="137"/>
      <c r="BB471" s="134">
        <f t="shared" ref="BB471:BB473" si="841">AZ471-BA471</f>
        <v>0</v>
      </c>
      <c r="BC471" s="469" t="s">
        <v>258</v>
      </c>
      <c r="BD471" s="470"/>
      <c r="BE471" s="13"/>
      <c r="BF471" s="16"/>
      <c r="BG471" s="13"/>
      <c r="BH471" s="16"/>
      <c r="BI471" s="13"/>
      <c r="BJ471" s="16"/>
      <c r="BK471" s="13"/>
      <c r="BL471" s="16"/>
      <c r="BM471" s="13"/>
      <c r="BN471" s="16"/>
      <c r="BO471" s="13"/>
      <c r="BP471" s="16"/>
      <c r="BQ471" s="106">
        <f t="shared" si="757"/>
        <v>0</v>
      </c>
      <c r="BR471" s="566"/>
      <c r="BS471" s="569"/>
      <c r="BT471" s="570"/>
      <c r="BU471" s="557"/>
      <c r="BV471" s="560"/>
      <c r="BW471" s="563"/>
      <c r="BX471" s="615"/>
    </row>
    <row r="472" spans="1:76" x14ac:dyDescent="0.25">
      <c r="A472" s="586"/>
      <c r="B472" s="590"/>
      <c r="C472" s="591"/>
      <c r="D472" s="605"/>
      <c r="E472" s="517"/>
      <c r="F472" s="518"/>
      <c r="G472" s="523"/>
      <c r="H472" s="524"/>
      <c r="I472" s="529"/>
      <c r="J472" s="530"/>
      <c r="K472" s="513"/>
      <c r="L472" s="534"/>
      <c r="M472" s="537"/>
      <c r="N472" s="541"/>
      <c r="O472" s="542"/>
      <c r="P472" s="483"/>
      <c r="Q472" s="484"/>
      <c r="R472" s="517"/>
      <c r="S472" s="518"/>
      <c r="T472" s="487"/>
      <c r="U472" s="488"/>
      <c r="V472" s="492"/>
      <c r="W472" s="483"/>
      <c r="X472" s="495"/>
      <c r="Y472" s="484"/>
      <c r="Z472" s="498"/>
      <c r="AA472" s="502"/>
      <c r="AB472" s="503"/>
      <c r="AC472" s="508"/>
      <c r="AD472" s="509"/>
      <c r="AE472" s="509"/>
      <c r="AF472" s="511"/>
      <c r="AG472" s="511"/>
      <c r="AH472" s="511"/>
      <c r="AI472" s="511"/>
      <c r="AJ472" s="511"/>
      <c r="AK472" s="511"/>
      <c r="AL472" s="511"/>
      <c r="AM472" s="511"/>
      <c r="AN472" s="511"/>
      <c r="AO472" s="511"/>
      <c r="AP472" s="511"/>
      <c r="AQ472" s="466"/>
      <c r="AR472" s="468"/>
      <c r="AS472" s="122" t="s">
        <v>259</v>
      </c>
      <c r="AT472" s="123"/>
      <c r="AU472" s="123"/>
      <c r="AV472" s="123"/>
      <c r="AW472" s="124"/>
      <c r="AX472" s="126">
        <f t="shared" si="840"/>
        <v>0</v>
      </c>
      <c r="AY472" s="142" t="s">
        <v>259</v>
      </c>
      <c r="AZ472" s="138"/>
      <c r="BA472" s="138"/>
      <c r="BB472" s="135">
        <f t="shared" si="841"/>
        <v>0</v>
      </c>
      <c r="BC472" s="474" t="s">
        <v>260</v>
      </c>
      <c r="BD472" s="475"/>
      <c r="BE472" s="14"/>
      <c r="BF472" s="17"/>
      <c r="BG472" s="14"/>
      <c r="BH472" s="17"/>
      <c r="BI472" s="14"/>
      <c r="BJ472" s="17"/>
      <c r="BK472" s="14"/>
      <c r="BL472" s="17"/>
      <c r="BM472" s="14"/>
      <c r="BN472" s="17"/>
      <c r="BO472" s="14"/>
      <c r="BP472" s="17"/>
      <c r="BQ472" s="107">
        <f t="shared" si="757"/>
        <v>0</v>
      </c>
      <c r="BR472" s="567"/>
      <c r="BS472" s="571"/>
      <c r="BT472" s="572"/>
      <c r="BU472" s="558"/>
      <c r="BV472" s="561"/>
      <c r="BW472" s="564"/>
      <c r="BX472" s="616"/>
    </row>
    <row r="473" spans="1:76" ht="15.75" thickBot="1" x14ac:dyDescent="0.3">
      <c r="A473" s="586"/>
      <c r="B473" s="590"/>
      <c r="C473" s="591"/>
      <c r="D473" s="605"/>
      <c r="E473" s="517"/>
      <c r="F473" s="518"/>
      <c r="G473" s="523"/>
      <c r="H473" s="524"/>
      <c r="I473" s="529"/>
      <c r="J473" s="530"/>
      <c r="K473" s="513"/>
      <c r="L473" s="534"/>
      <c r="M473" s="537"/>
      <c r="N473" s="541"/>
      <c r="O473" s="542"/>
      <c r="P473" s="483"/>
      <c r="Q473" s="484"/>
      <c r="R473" s="517"/>
      <c r="S473" s="518"/>
      <c r="T473" s="487"/>
      <c r="U473" s="488"/>
      <c r="V473" s="492"/>
      <c r="W473" s="483"/>
      <c r="X473" s="495"/>
      <c r="Y473" s="484"/>
      <c r="Z473" s="498"/>
      <c r="AA473" s="502"/>
      <c r="AB473" s="503"/>
      <c r="AC473" s="471" t="s">
        <v>259</v>
      </c>
      <c r="AD473" s="472"/>
      <c r="AE473" s="473"/>
      <c r="AF473" s="100"/>
      <c r="AG473" s="100"/>
      <c r="AH473" s="100"/>
      <c r="AI473" s="100"/>
      <c r="AJ473" s="100"/>
      <c r="AK473" s="100"/>
      <c r="AL473" s="100"/>
      <c r="AM473" s="100"/>
      <c r="AN473" s="100"/>
      <c r="AO473" s="100"/>
      <c r="AP473" s="100"/>
      <c r="AQ473" s="101"/>
      <c r="AR473" s="104">
        <f t="shared" ref="AR473:AR474" si="842">SUM(AF473:AQ473)</f>
        <v>0</v>
      </c>
      <c r="AS473" s="128" t="s">
        <v>261</v>
      </c>
      <c r="AT473" s="129"/>
      <c r="AU473" s="129"/>
      <c r="AV473" s="129"/>
      <c r="AW473" s="130"/>
      <c r="AX473" s="126">
        <f t="shared" si="840"/>
        <v>0</v>
      </c>
      <c r="AY473" s="143" t="s">
        <v>261</v>
      </c>
      <c r="AZ473" s="139"/>
      <c r="BA473" s="139"/>
      <c r="BB473" s="136">
        <f t="shared" si="841"/>
        <v>0</v>
      </c>
      <c r="BC473" s="474" t="s">
        <v>262</v>
      </c>
      <c r="BD473" s="475"/>
      <c r="BE473" s="14"/>
      <c r="BF473" s="17"/>
      <c r="BG473" s="14"/>
      <c r="BH473" s="17"/>
      <c r="BI473" s="14"/>
      <c r="BJ473" s="17"/>
      <c r="BK473" s="14"/>
      <c r="BL473" s="17"/>
      <c r="BM473" s="14"/>
      <c r="BN473" s="17"/>
      <c r="BO473" s="14"/>
      <c r="BP473" s="17"/>
      <c r="BQ473" s="108">
        <f t="shared" si="757"/>
        <v>0</v>
      </c>
      <c r="BR473" s="567"/>
      <c r="BS473" s="571"/>
      <c r="BT473" s="572"/>
      <c r="BU473" s="558"/>
      <c r="BV473" s="561"/>
      <c r="BW473" s="564"/>
      <c r="BX473" s="616"/>
    </row>
    <row r="474" spans="1:76" ht="15.75" thickBot="1" x14ac:dyDescent="0.3">
      <c r="A474" s="587"/>
      <c r="B474" s="592"/>
      <c r="C474" s="593"/>
      <c r="D474" s="606"/>
      <c r="E474" s="519"/>
      <c r="F474" s="520"/>
      <c r="G474" s="525"/>
      <c r="H474" s="526"/>
      <c r="I474" s="531"/>
      <c r="J474" s="532"/>
      <c r="K474" s="514"/>
      <c r="L474" s="535"/>
      <c r="M474" s="538"/>
      <c r="N474" s="543"/>
      <c r="O474" s="544"/>
      <c r="P474" s="485"/>
      <c r="Q474" s="486"/>
      <c r="R474" s="519"/>
      <c r="S474" s="520"/>
      <c r="T474" s="489"/>
      <c r="U474" s="490"/>
      <c r="V474" s="493"/>
      <c r="W474" s="485"/>
      <c r="X474" s="496"/>
      <c r="Y474" s="486"/>
      <c r="Z474" s="499"/>
      <c r="AA474" s="504"/>
      <c r="AB474" s="505"/>
      <c r="AC474" s="476" t="s">
        <v>261</v>
      </c>
      <c r="AD474" s="477"/>
      <c r="AE474" s="478"/>
      <c r="AF474" s="102"/>
      <c r="AG474" s="102"/>
      <c r="AH474" s="102"/>
      <c r="AI474" s="102"/>
      <c r="AJ474" s="102"/>
      <c r="AK474" s="102"/>
      <c r="AL474" s="102"/>
      <c r="AM474" s="102"/>
      <c r="AN474" s="102"/>
      <c r="AO474" s="102"/>
      <c r="AP474" s="102"/>
      <c r="AQ474" s="103"/>
      <c r="AR474" s="105">
        <f t="shared" si="842"/>
        <v>0</v>
      </c>
      <c r="AS474" s="131" t="s">
        <v>161</v>
      </c>
      <c r="AT474" s="132">
        <f t="shared" ref="AT474:AX474" si="843">SUM(AT471:AT473)</f>
        <v>0</v>
      </c>
      <c r="AU474" s="132">
        <f t="shared" si="843"/>
        <v>0</v>
      </c>
      <c r="AV474" s="132">
        <f t="shared" si="843"/>
        <v>0</v>
      </c>
      <c r="AW474" s="133">
        <f t="shared" si="843"/>
        <v>0</v>
      </c>
      <c r="AX474" s="127">
        <f t="shared" si="843"/>
        <v>0</v>
      </c>
      <c r="AY474" s="144" t="s">
        <v>161</v>
      </c>
      <c r="AZ474" s="140">
        <f t="shared" ref="AZ474:BB474" si="844">SUM(AZ471:AZ473)</f>
        <v>0</v>
      </c>
      <c r="BA474" s="140">
        <f t="shared" si="844"/>
        <v>0</v>
      </c>
      <c r="BB474" s="140">
        <f t="shared" si="844"/>
        <v>0</v>
      </c>
      <c r="BC474" s="479" t="s">
        <v>263</v>
      </c>
      <c r="BD474" s="480"/>
      <c r="BE474" s="15"/>
      <c r="BF474" s="18"/>
      <c r="BG474" s="15"/>
      <c r="BH474" s="18"/>
      <c r="BI474" s="15"/>
      <c r="BJ474" s="18"/>
      <c r="BK474" s="15"/>
      <c r="BL474" s="18"/>
      <c r="BM474" s="15"/>
      <c r="BN474" s="18"/>
      <c r="BO474" s="15"/>
      <c r="BP474" s="18"/>
      <c r="BQ474" s="109">
        <f t="shared" si="757"/>
        <v>0</v>
      </c>
      <c r="BR474" s="568"/>
      <c r="BS474" s="573"/>
      <c r="BT474" s="574"/>
      <c r="BU474" s="559"/>
      <c r="BV474" s="562"/>
      <c r="BW474" s="565"/>
      <c r="BX474" s="617"/>
    </row>
    <row r="475" spans="1:76" ht="15.75" thickTop="1" x14ac:dyDescent="0.25">
      <c r="A475" s="585">
        <v>117</v>
      </c>
      <c r="B475" s="588"/>
      <c r="C475" s="589"/>
      <c r="D475" s="604"/>
      <c r="E475" s="515"/>
      <c r="F475" s="516"/>
      <c r="G475" s="521"/>
      <c r="H475" s="522"/>
      <c r="I475" s="527"/>
      <c r="J475" s="528"/>
      <c r="K475" s="512" t="e">
        <f t="shared" ref="K475" si="845">INT(YEARFRAC(I475,AA475))</f>
        <v>#VALUE!</v>
      </c>
      <c r="L475" s="533">
        <f t="shared" ref="L475" ca="1" si="846">INT(YEARFRAC(I475,TODAY()))</f>
        <v>121</v>
      </c>
      <c r="M475" s="536"/>
      <c r="N475" s="539"/>
      <c r="O475" s="540"/>
      <c r="P475" s="481"/>
      <c r="Q475" s="482"/>
      <c r="R475" s="515"/>
      <c r="S475" s="516"/>
      <c r="T475" s="487"/>
      <c r="U475" s="488"/>
      <c r="V475" s="491"/>
      <c r="W475" s="481"/>
      <c r="X475" s="494"/>
      <c r="Y475" s="482"/>
      <c r="Z475" s="497"/>
      <c r="AA475" s="500" t="s">
        <v>358</v>
      </c>
      <c r="AB475" s="501"/>
      <c r="AC475" s="506" t="s">
        <v>257</v>
      </c>
      <c r="AD475" s="507"/>
      <c r="AE475" s="507"/>
      <c r="AF475" s="510"/>
      <c r="AG475" s="510"/>
      <c r="AH475" s="510"/>
      <c r="AI475" s="510"/>
      <c r="AJ475" s="510"/>
      <c r="AK475" s="510"/>
      <c r="AL475" s="510"/>
      <c r="AM475" s="510"/>
      <c r="AN475" s="510"/>
      <c r="AO475" s="510"/>
      <c r="AP475" s="510"/>
      <c r="AQ475" s="465"/>
      <c r="AR475" s="467">
        <f t="shared" ref="AR475" si="847">SUM(AF475:AQ476)</f>
        <v>0</v>
      </c>
      <c r="AS475" s="119" t="s">
        <v>257</v>
      </c>
      <c r="AT475" s="120"/>
      <c r="AU475" s="120"/>
      <c r="AV475" s="120"/>
      <c r="AW475" s="121"/>
      <c r="AX475" s="125">
        <f t="shared" ref="AX475:AX477" si="848">SUM(AT475:AW475)</f>
        <v>0</v>
      </c>
      <c r="AY475" s="141" t="s">
        <v>257</v>
      </c>
      <c r="AZ475" s="137"/>
      <c r="BA475" s="137"/>
      <c r="BB475" s="134">
        <f t="shared" ref="BB475:BB477" si="849">AZ475-BA475</f>
        <v>0</v>
      </c>
      <c r="BC475" s="469" t="s">
        <v>258</v>
      </c>
      <c r="BD475" s="470"/>
      <c r="BE475" s="13"/>
      <c r="BF475" s="16"/>
      <c r="BG475" s="13"/>
      <c r="BH475" s="16"/>
      <c r="BI475" s="13"/>
      <c r="BJ475" s="16"/>
      <c r="BK475" s="13"/>
      <c r="BL475" s="16"/>
      <c r="BM475" s="13"/>
      <c r="BN475" s="16"/>
      <c r="BO475" s="13"/>
      <c r="BP475" s="16"/>
      <c r="BQ475" s="106">
        <f t="shared" si="757"/>
        <v>0</v>
      </c>
      <c r="BR475" s="566"/>
      <c r="BS475" s="569"/>
      <c r="BT475" s="570"/>
      <c r="BU475" s="557"/>
      <c r="BV475" s="560"/>
      <c r="BW475" s="563"/>
      <c r="BX475" s="615"/>
    </row>
    <row r="476" spans="1:76" x14ac:dyDescent="0.25">
      <c r="A476" s="586"/>
      <c r="B476" s="590"/>
      <c r="C476" s="591"/>
      <c r="D476" s="605"/>
      <c r="E476" s="517"/>
      <c r="F476" s="518"/>
      <c r="G476" s="523"/>
      <c r="H476" s="524"/>
      <c r="I476" s="529"/>
      <c r="J476" s="530"/>
      <c r="K476" s="513"/>
      <c r="L476" s="534"/>
      <c r="M476" s="537"/>
      <c r="N476" s="541"/>
      <c r="O476" s="542"/>
      <c r="P476" s="483"/>
      <c r="Q476" s="484"/>
      <c r="R476" s="517"/>
      <c r="S476" s="518"/>
      <c r="T476" s="487"/>
      <c r="U476" s="488"/>
      <c r="V476" s="492"/>
      <c r="W476" s="483"/>
      <c r="X476" s="495"/>
      <c r="Y476" s="484"/>
      <c r="Z476" s="498"/>
      <c r="AA476" s="502"/>
      <c r="AB476" s="503"/>
      <c r="AC476" s="508"/>
      <c r="AD476" s="509"/>
      <c r="AE476" s="509"/>
      <c r="AF476" s="511"/>
      <c r="AG476" s="511"/>
      <c r="AH476" s="511"/>
      <c r="AI476" s="511"/>
      <c r="AJ476" s="511"/>
      <c r="AK476" s="511"/>
      <c r="AL476" s="511"/>
      <c r="AM476" s="511"/>
      <c r="AN476" s="511"/>
      <c r="AO476" s="511"/>
      <c r="AP476" s="511"/>
      <c r="AQ476" s="466"/>
      <c r="AR476" s="468"/>
      <c r="AS476" s="122" t="s">
        <v>259</v>
      </c>
      <c r="AT476" s="123"/>
      <c r="AU476" s="123"/>
      <c r="AV476" s="123"/>
      <c r="AW476" s="124"/>
      <c r="AX476" s="126">
        <f t="shared" si="848"/>
        <v>0</v>
      </c>
      <c r="AY476" s="142" t="s">
        <v>259</v>
      </c>
      <c r="AZ476" s="138"/>
      <c r="BA476" s="138"/>
      <c r="BB476" s="135">
        <f t="shared" si="849"/>
        <v>0</v>
      </c>
      <c r="BC476" s="474" t="s">
        <v>260</v>
      </c>
      <c r="BD476" s="475"/>
      <c r="BE476" s="14"/>
      <c r="BF476" s="17"/>
      <c r="BG476" s="14"/>
      <c r="BH476" s="17"/>
      <c r="BI476" s="14"/>
      <c r="BJ476" s="17"/>
      <c r="BK476" s="14"/>
      <c r="BL476" s="17"/>
      <c r="BM476" s="14"/>
      <c r="BN476" s="17"/>
      <c r="BO476" s="14"/>
      <c r="BP476" s="17"/>
      <c r="BQ476" s="107">
        <f t="shared" si="757"/>
        <v>0</v>
      </c>
      <c r="BR476" s="567"/>
      <c r="BS476" s="571"/>
      <c r="BT476" s="572"/>
      <c r="BU476" s="558"/>
      <c r="BV476" s="561"/>
      <c r="BW476" s="564"/>
      <c r="BX476" s="616"/>
    </row>
    <row r="477" spans="1:76" ht="15.75" thickBot="1" x14ac:dyDescent="0.3">
      <c r="A477" s="586"/>
      <c r="B477" s="590"/>
      <c r="C477" s="591"/>
      <c r="D477" s="605"/>
      <c r="E477" s="517"/>
      <c r="F477" s="518"/>
      <c r="G477" s="523"/>
      <c r="H477" s="524"/>
      <c r="I477" s="529"/>
      <c r="J477" s="530"/>
      <c r="K477" s="513"/>
      <c r="L477" s="534"/>
      <c r="M477" s="537"/>
      <c r="N477" s="541"/>
      <c r="O477" s="542"/>
      <c r="P477" s="483"/>
      <c r="Q477" s="484"/>
      <c r="R477" s="517"/>
      <c r="S477" s="518"/>
      <c r="T477" s="487"/>
      <c r="U477" s="488"/>
      <c r="V477" s="492"/>
      <c r="W477" s="483"/>
      <c r="X477" s="495"/>
      <c r="Y477" s="484"/>
      <c r="Z477" s="498"/>
      <c r="AA477" s="502"/>
      <c r="AB477" s="503"/>
      <c r="AC477" s="471" t="s">
        <v>259</v>
      </c>
      <c r="AD477" s="472"/>
      <c r="AE477" s="473"/>
      <c r="AF477" s="100"/>
      <c r="AG477" s="100"/>
      <c r="AH477" s="100"/>
      <c r="AI477" s="100"/>
      <c r="AJ477" s="100"/>
      <c r="AK477" s="100"/>
      <c r="AL477" s="100"/>
      <c r="AM477" s="100"/>
      <c r="AN477" s="100"/>
      <c r="AO477" s="100"/>
      <c r="AP477" s="100"/>
      <c r="AQ477" s="101"/>
      <c r="AR477" s="104">
        <f t="shared" ref="AR477:AR478" si="850">SUM(AF477:AQ477)</f>
        <v>0</v>
      </c>
      <c r="AS477" s="128" t="s">
        <v>261</v>
      </c>
      <c r="AT477" s="129"/>
      <c r="AU477" s="129"/>
      <c r="AV477" s="129"/>
      <c r="AW477" s="130"/>
      <c r="AX477" s="126">
        <f t="shared" si="848"/>
        <v>0</v>
      </c>
      <c r="AY477" s="143" t="s">
        <v>261</v>
      </c>
      <c r="AZ477" s="139"/>
      <c r="BA477" s="139"/>
      <c r="BB477" s="136">
        <f t="shared" si="849"/>
        <v>0</v>
      </c>
      <c r="BC477" s="474" t="s">
        <v>262</v>
      </c>
      <c r="BD477" s="475"/>
      <c r="BE477" s="14"/>
      <c r="BF477" s="17"/>
      <c r="BG477" s="14"/>
      <c r="BH477" s="17"/>
      <c r="BI477" s="14"/>
      <c r="BJ477" s="17"/>
      <c r="BK477" s="14"/>
      <c r="BL477" s="17"/>
      <c r="BM477" s="14"/>
      <c r="BN477" s="17"/>
      <c r="BO477" s="14"/>
      <c r="BP477" s="17"/>
      <c r="BQ477" s="108">
        <f t="shared" si="757"/>
        <v>0</v>
      </c>
      <c r="BR477" s="567"/>
      <c r="BS477" s="571"/>
      <c r="BT477" s="572"/>
      <c r="BU477" s="558"/>
      <c r="BV477" s="561"/>
      <c r="BW477" s="564"/>
      <c r="BX477" s="616"/>
    </row>
    <row r="478" spans="1:76" ht="15.75" thickBot="1" x14ac:dyDescent="0.3">
      <c r="A478" s="587"/>
      <c r="B478" s="592"/>
      <c r="C478" s="593"/>
      <c r="D478" s="606"/>
      <c r="E478" s="519"/>
      <c r="F478" s="520"/>
      <c r="G478" s="525"/>
      <c r="H478" s="526"/>
      <c r="I478" s="531"/>
      <c r="J478" s="532"/>
      <c r="K478" s="514"/>
      <c r="L478" s="535"/>
      <c r="M478" s="538"/>
      <c r="N478" s="543"/>
      <c r="O478" s="544"/>
      <c r="P478" s="485"/>
      <c r="Q478" s="486"/>
      <c r="R478" s="519"/>
      <c r="S478" s="520"/>
      <c r="T478" s="489"/>
      <c r="U478" s="490"/>
      <c r="V478" s="493"/>
      <c r="W478" s="485"/>
      <c r="X478" s="496"/>
      <c r="Y478" s="486"/>
      <c r="Z478" s="499"/>
      <c r="AA478" s="504"/>
      <c r="AB478" s="505"/>
      <c r="AC478" s="476" t="s">
        <v>261</v>
      </c>
      <c r="AD478" s="477"/>
      <c r="AE478" s="478"/>
      <c r="AF478" s="102"/>
      <c r="AG478" s="102"/>
      <c r="AH478" s="102"/>
      <c r="AI478" s="102"/>
      <c r="AJ478" s="102"/>
      <c r="AK478" s="102"/>
      <c r="AL478" s="102"/>
      <c r="AM478" s="102"/>
      <c r="AN478" s="102"/>
      <c r="AO478" s="102"/>
      <c r="AP478" s="102"/>
      <c r="AQ478" s="103"/>
      <c r="AR478" s="105">
        <f t="shared" si="850"/>
        <v>0</v>
      </c>
      <c r="AS478" s="131" t="s">
        <v>161</v>
      </c>
      <c r="AT478" s="132">
        <f t="shared" ref="AT478:AX478" si="851">SUM(AT475:AT477)</f>
        <v>0</v>
      </c>
      <c r="AU478" s="132">
        <f t="shared" si="851"/>
        <v>0</v>
      </c>
      <c r="AV478" s="132">
        <f t="shared" si="851"/>
        <v>0</v>
      </c>
      <c r="AW478" s="133">
        <f t="shared" si="851"/>
        <v>0</v>
      </c>
      <c r="AX478" s="127">
        <f t="shared" si="851"/>
        <v>0</v>
      </c>
      <c r="AY478" s="144" t="s">
        <v>161</v>
      </c>
      <c r="AZ478" s="140">
        <f t="shared" ref="AZ478:BB478" si="852">SUM(AZ475:AZ477)</f>
        <v>0</v>
      </c>
      <c r="BA478" s="140">
        <f t="shared" si="852"/>
        <v>0</v>
      </c>
      <c r="BB478" s="140">
        <f t="shared" si="852"/>
        <v>0</v>
      </c>
      <c r="BC478" s="479" t="s">
        <v>263</v>
      </c>
      <c r="BD478" s="480"/>
      <c r="BE478" s="15"/>
      <c r="BF478" s="18"/>
      <c r="BG478" s="15"/>
      <c r="BH478" s="18"/>
      <c r="BI478" s="15"/>
      <c r="BJ478" s="18"/>
      <c r="BK478" s="15"/>
      <c r="BL478" s="18"/>
      <c r="BM478" s="15"/>
      <c r="BN478" s="18"/>
      <c r="BO478" s="15"/>
      <c r="BP478" s="18"/>
      <c r="BQ478" s="109">
        <f t="shared" si="757"/>
        <v>0</v>
      </c>
      <c r="BR478" s="568"/>
      <c r="BS478" s="573"/>
      <c r="BT478" s="574"/>
      <c r="BU478" s="559"/>
      <c r="BV478" s="562"/>
      <c r="BW478" s="565"/>
      <c r="BX478" s="617"/>
    </row>
    <row r="479" spans="1:76" ht="15.75" thickTop="1" x14ac:dyDescent="0.25">
      <c r="A479" s="585">
        <v>118</v>
      </c>
      <c r="B479" s="588"/>
      <c r="C479" s="589"/>
      <c r="D479" s="604"/>
      <c r="E479" s="515"/>
      <c r="F479" s="516"/>
      <c r="G479" s="521"/>
      <c r="H479" s="522"/>
      <c r="I479" s="527"/>
      <c r="J479" s="528"/>
      <c r="K479" s="512" t="e">
        <f t="shared" ref="K479" si="853">INT(YEARFRAC(I479,AA479))</f>
        <v>#VALUE!</v>
      </c>
      <c r="L479" s="533">
        <f t="shared" ref="L479" ca="1" si="854">INT(YEARFRAC(I479,TODAY()))</f>
        <v>121</v>
      </c>
      <c r="M479" s="536"/>
      <c r="N479" s="539"/>
      <c r="O479" s="540"/>
      <c r="P479" s="481"/>
      <c r="Q479" s="482"/>
      <c r="R479" s="515"/>
      <c r="S479" s="516"/>
      <c r="T479" s="487"/>
      <c r="U479" s="488"/>
      <c r="V479" s="491"/>
      <c r="W479" s="481"/>
      <c r="X479" s="494"/>
      <c r="Y479" s="482"/>
      <c r="Z479" s="497"/>
      <c r="AA479" s="500" t="s">
        <v>359</v>
      </c>
      <c r="AB479" s="501"/>
      <c r="AC479" s="506" t="s">
        <v>257</v>
      </c>
      <c r="AD479" s="507"/>
      <c r="AE479" s="507"/>
      <c r="AF479" s="510"/>
      <c r="AG479" s="510"/>
      <c r="AH479" s="510"/>
      <c r="AI479" s="510"/>
      <c r="AJ479" s="510"/>
      <c r="AK479" s="510"/>
      <c r="AL479" s="510"/>
      <c r="AM479" s="510"/>
      <c r="AN479" s="510"/>
      <c r="AO479" s="510"/>
      <c r="AP479" s="510"/>
      <c r="AQ479" s="465"/>
      <c r="AR479" s="467">
        <f t="shared" ref="AR479" si="855">SUM(AF479:AQ480)</f>
        <v>0</v>
      </c>
      <c r="AS479" s="119" t="s">
        <v>257</v>
      </c>
      <c r="AT479" s="120"/>
      <c r="AU479" s="120"/>
      <c r="AV479" s="120"/>
      <c r="AW479" s="121"/>
      <c r="AX479" s="125">
        <f t="shared" ref="AX479:AX481" si="856">SUM(AT479:AW479)</f>
        <v>0</v>
      </c>
      <c r="AY479" s="141" t="s">
        <v>257</v>
      </c>
      <c r="AZ479" s="137"/>
      <c r="BA479" s="137"/>
      <c r="BB479" s="134">
        <f t="shared" ref="BB479:BB481" si="857">AZ479-BA479</f>
        <v>0</v>
      </c>
      <c r="BC479" s="469" t="s">
        <v>258</v>
      </c>
      <c r="BD479" s="470"/>
      <c r="BE479" s="13"/>
      <c r="BF479" s="16"/>
      <c r="BG479" s="13"/>
      <c r="BH479" s="16"/>
      <c r="BI479" s="13"/>
      <c r="BJ479" s="16"/>
      <c r="BK479" s="13"/>
      <c r="BL479" s="16"/>
      <c r="BM479" s="13"/>
      <c r="BN479" s="16"/>
      <c r="BO479" s="13"/>
      <c r="BP479" s="16"/>
      <c r="BQ479" s="106">
        <f t="shared" si="757"/>
        <v>0</v>
      </c>
      <c r="BR479" s="566"/>
      <c r="BS479" s="569"/>
      <c r="BT479" s="570"/>
      <c r="BU479" s="557"/>
      <c r="BV479" s="560"/>
      <c r="BW479" s="563"/>
      <c r="BX479" s="615"/>
    </row>
    <row r="480" spans="1:76" x14ac:dyDescent="0.25">
      <c r="A480" s="586"/>
      <c r="B480" s="590"/>
      <c r="C480" s="591"/>
      <c r="D480" s="605"/>
      <c r="E480" s="517"/>
      <c r="F480" s="518"/>
      <c r="G480" s="523"/>
      <c r="H480" s="524"/>
      <c r="I480" s="529"/>
      <c r="J480" s="530"/>
      <c r="K480" s="513"/>
      <c r="L480" s="534"/>
      <c r="M480" s="537"/>
      <c r="N480" s="541"/>
      <c r="O480" s="542"/>
      <c r="P480" s="483"/>
      <c r="Q480" s="484"/>
      <c r="R480" s="517"/>
      <c r="S480" s="518"/>
      <c r="T480" s="487"/>
      <c r="U480" s="488"/>
      <c r="V480" s="492"/>
      <c r="W480" s="483"/>
      <c r="X480" s="495"/>
      <c r="Y480" s="484"/>
      <c r="Z480" s="498"/>
      <c r="AA480" s="502"/>
      <c r="AB480" s="503"/>
      <c r="AC480" s="508"/>
      <c r="AD480" s="509"/>
      <c r="AE480" s="509"/>
      <c r="AF480" s="511"/>
      <c r="AG480" s="511"/>
      <c r="AH480" s="511"/>
      <c r="AI480" s="511"/>
      <c r="AJ480" s="511"/>
      <c r="AK480" s="511"/>
      <c r="AL480" s="511"/>
      <c r="AM480" s="511"/>
      <c r="AN480" s="511"/>
      <c r="AO480" s="511"/>
      <c r="AP480" s="511"/>
      <c r="AQ480" s="466"/>
      <c r="AR480" s="468"/>
      <c r="AS480" s="122" t="s">
        <v>259</v>
      </c>
      <c r="AT480" s="123"/>
      <c r="AU480" s="123"/>
      <c r="AV480" s="123"/>
      <c r="AW480" s="124"/>
      <c r="AX480" s="126">
        <f t="shared" si="856"/>
        <v>0</v>
      </c>
      <c r="AY480" s="142" t="s">
        <v>259</v>
      </c>
      <c r="AZ480" s="138"/>
      <c r="BA480" s="138"/>
      <c r="BB480" s="135">
        <f t="shared" si="857"/>
        <v>0</v>
      </c>
      <c r="BC480" s="474" t="s">
        <v>260</v>
      </c>
      <c r="BD480" s="475"/>
      <c r="BE480" s="14"/>
      <c r="BF480" s="17"/>
      <c r="BG480" s="14"/>
      <c r="BH480" s="17"/>
      <c r="BI480" s="14"/>
      <c r="BJ480" s="17"/>
      <c r="BK480" s="14"/>
      <c r="BL480" s="17"/>
      <c r="BM480" s="14"/>
      <c r="BN480" s="17"/>
      <c r="BO480" s="14"/>
      <c r="BP480" s="17"/>
      <c r="BQ480" s="107">
        <f t="shared" si="757"/>
        <v>0</v>
      </c>
      <c r="BR480" s="567"/>
      <c r="BS480" s="571"/>
      <c r="BT480" s="572"/>
      <c r="BU480" s="558"/>
      <c r="BV480" s="561"/>
      <c r="BW480" s="564"/>
      <c r="BX480" s="616"/>
    </row>
    <row r="481" spans="1:76" ht="15.75" thickBot="1" x14ac:dyDescent="0.3">
      <c r="A481" s="586"/>
      <c r="B481" s="590"/>
      <c r="C481" s="591"/>
      <c r="D481" s="605"/>
      <c r="E481" s="517"/>
      <c r="F481" s="518"/>
      <c r="G481" s="523"/>
      <c r="H481" s="524"/>
      <c r="I481" s="529"/>
      <c r="J481" s="530"/>
      <c r="K481" s="513"/>
      <c r="L481" s="534"/>
      <c r="M481" s="537"/>
      <c r="N481" s="541"/>
      <c r="O481" s="542"/>
      <c r="P481" s="483"/>
      <c r="Q481" s="484"/>
      <c r="R481" s="517"/>
      <c r="S481" s="518"/>
      <c r="T481" s="487"/>
      <c r="U481" s="488"/>
      <c r="V481" s="492"/>
      <c r="W481" s="483"/>
      <c r="X481" s="495"/>
      <c r="Y481" s="484"/>
      <c r="Z481" s="498"/>
      <c r="AA481" s="502"/>
      <c r="AB481" s="503"/>
      <c r="AC481" s="471" t="s">
        <v>259</v>
      </c>
      <c r="AD481" s="472"/>
      <c r="AE481" s="473"/>
      <c r="AF481" s="100"/>
      <c r="AG481" s="100"/>
      <c r="AH481" s="100"/>
      <c r="AI481" s="100"/>
      <c r="AJ481" s="100"/>
      <c r="AK481" s="100"/>
      <c r="AL481" s="100"/>
      <c r="AM481" s="100"/>
      <c r="AN481" s="100"/>
      <c r="AO481" s="100"/>
      <c r="AP481" s="100"/>
      <c r="AQ481" s="101"/>
      <c r="AR481" s="104">
        <f t="shared" ref="AR481:AR482" si="858">SUM(AF481:AQ481)</f>
        <v>0</v>
      </c>
      <c r="AS481" s="128" t="s">
        <v>261</v>
      </c>
      <c r="AT481" s="129"/>
      <c r="AU481" s="129"/>
      <c r="AV481" s="129"/>
      <c r="AW481" s="130"/>
      <c r="AX481" s="126">
        <f t="shared" si="856"/>
        <v>0</v>
      </c>
      <c r="AY481" s="143" t="s">
        <v>261</v>
      </c>
      <c r="AZ481" s="139"/>
      <c r="BA481" s="139"/>
      <c r="BB481" s="136">
        <f t="shared" si="857"/>
        <v>0</v>
      </c>
      <c r="BC481" s="474" t="s">
        <v>262</v>
      </c>
      <c r="BD481" s="475"/>
      <c r="BE481" s="14"/>
      <c r="BF481" s="17"/>
      <c r="BG481" s="14"/>
      <c r="BH481" s="17"/>
      <c r="BI481" s="14"/>
      <c r="BJ481" s="17"/>
      <c r="BK481" s="14"/>
      <c r="BL481" s="17"/>
      <c r="BM481" s="14"/>
      <c r="BN481" s="17"/>
      <c r="BO481" s="14"/>
      <c r="BP481" s="17"/>
      <c r="BQ481" s="108">
        <f t="shared" si="757"/>
        <v>0</v>
      </c>
      <c r="BR481" s="567"/>
      <c r="BS481" s="571"/>
      <c r="BT481" s="572"/>
      <c r="BU481" s="558"/>
      <c r="BV481" s="561"/>
      <c r="BW481" s="564"/>
      <c r="BX481" s="616"/>
    </row>
    <row r="482" spans="1:76" ht="15.75" thickBot="1" x14ac:dyDescent="0.3">
      <c r="A482" s="587"/>
      <c r="B482" s="592"/>
      <c r="C482" s="593"/>
      <c r="D482" s="606"/>
      <c r="E482" s="519"/>
      <c r="F482" s="520"/>
      <c r="G482" s="525"/>
      <c r="H482" s="526"/>
      <c r="I482" s="531"/>
      <c r="J482" s="532"/>
      <c r="K482" s="514"/>
      <c r="L482" s="535"/>
      <c r="M482" s="538"/>
      <c r="N482" s="543"/>
      <c r="O482" s="544"/>
      <c r="P482" s="485"/>
      <c r="Q482" s="486"/>
      <c r="R482" s="519"/>
      <c r="S482" s="520"/>
      <c r="T482" s="489"/>
      <c r="U482" s="490"/>
      <c r="V482" s="493"/>
      <c r="W482" s="485"/>
      <c r="X482" s="496"/>
      <c r="Y482" s="486"/>
      <c r="Z482" s="499"/>
      <c r="AA482" s="504"/>
      <c r="AB482" s="505"/>
      <c r="AC482" s="476" t="s">
        <v>261</v>
      </c>
      <c r="AD482" s="477"/>
      <c r="AE482" s="478"/>
      <c r="AF482" s="102"/>
      <c r="AG482" s="102"/>
      <c r="AH482" s="102"/>
      <c r="AI482" s="102"/>
      <c r="AJ482" s="102"/>
      <c r="AK482" s="102"/>
      <c r="AL482" s="102"/>
      <c r="AM482" s="102"/>
      <c r="AN482" s="102"/>
      <c r="AO482" s="102"/>
      <c r="AP482" s="102"/>
      <c r="AQ482" s="103"/>
      <c r="AR482" s="105">
        <f t="shared" si="858"/>
        <v>0</v>
      </c>
      <c r="AS482" s="131" t="s">
        <v>161</v>
      </c>
      <c r="AT482" s="132">
        <f t="shared" ref="AT482:AX482" si="859">SUM(AT479:AT481)</f>
        <v>0</v>
      </c>
      <c r="AU482" s="132">
        <f t="shared" si="859"/>
        <v>0</v>
      </c>
      <c r="AV482" s="132">
        <f t="shared" si="859"/>
        <v>0</v>
      </c>
      <c r="AW482" s="133">
        <f t="shared" si="859"/>
        <v>0</v>
      </c>
      <c r="AX482" s="127">
        <f t="shared" si="859"/>
        <v>0</v>
      </c>
      <c r="AY482" s="144" t="s">
        <v>161</v>
      </c>
      <c r="AZ482" s="140">
        <f t="shared" ref="AZ482:BB482" si="860">SUM(AZ479:AZ481)</f>
        <v>0</v>
      </c>
      <c r="BA482" s="140">
        <f t="shared" si="860"/>
        <v>0</v>
      </c>
      <c r="BB482" s="140">
        <f t="shared" si="860"/>
        <v>0</v>
      </c>
      <c r="BC482" s="479" t="s">
        <v>263</v>
      </c>
      <c r="BD482" s="480"/>
      <c r="BE482" s="15"/>
      <c r="BF482" s="18"/>
      <c r="BG482" s="15"/>
      <c r="BH482" s="18"/>
      <c r="BI482" s="15"/>
      <c r="BJ482" s="18"/>
      <c r="BK482" s="15"/>
      <c r="BL482" s="18"/>
      <c r="BM482" s="15"/>
      <c r="BN482" s="18"/>
      <c r="BO482" s="15"/>
      <c r="BP482" s="18"/>
      <c r="BQ482" s="109">
        <f t="shared" si="757"/>
        <v>0</v>
      </c>
      <c r="BR482" s="568"/>
      <c r="BS482" s="573"/>
      <c r="BT482" s="574"/>
      <c r="BU482" s="559"/>
      <c r="BV482" s="562"/>
      <c r="BW482" s="565"/>
      <c r="BX482" s="617"/>
    </row>
    <row r="483" spans="1:76" ht="15.75" thickTop="1" x14ac:dyDescent="0.25">
      <c r="A483" s="585">
        <v>119</v>
      </c>
      <c r="B483" s="588"/>
      <c r="C483" s="589"/>
      <c r="D483" s="604"/>
      <c r="E483" s="515"/>
      <c r="F483" s="516"/>
      <c r="G483" s="521"/>
      <c r="H483" s="522"/>
      <c r="I483" s="527"/>
      <c r="J483" s="528"/>
      <c r="K483" s="512" t="e">
        <f t="shared" ref="K483" si="861">INT(YEARFRAC(I483,AA483))</f>
        <v>#VALUE!</v>
      </c>
      <c r="L483" s="533">
        <f t="shared" ref="L483" ca="1" si="862">INT(YEARFRAC(I483,TODAY()))</f>
        <v>121</v>
      </c>
      <c r="M483" s="536"/>
      <c r="N483" s="539"/>
      <c r="O483" s="540"/>
      <c r="P483" s="481"/>
      <c r="Q483" s="482"/>
      <c r="R483" s="515"/>
      <c r="S483" s="516"/>
      <c r="T483" s="487"/>
      <c r="U483" s="488"/>
      <c r="V483" s="491"/>
      <c r="W483" s="481"/>
      <c r="X483" s="494"/>
      <c r="Y483" s="482"/>
      <c r="Z483" s="497"/>
      <c r="AA483" s="500" t="s">
        <v>360</v>
      </c>
      <c r="AB483" s="501"/>
      <c r="AC483" s="506" t="s">
        <v>257</v>
      </c>
      <c r="AD483" s="507"/>
      <c r="AE483" s="507"/>
      <c r="AF483" s="510"/>
      <c r="AG483" s="510"/>
      <c r="AH483" s="510"/>
      <c r="AI483" s="510"/>
      <c r="AJ483" s="510"/>
      <c r="AK483" s="510"/>
      <c r="AL483" s="510"/>
      <c r="AM483" s="510"/>
      <c r="AN483" s="510"/>
      <c r="AO483" s="510"/>
      <c r="AP483" s="510"/>
      <c r="AQ483" s="465"/>
      <c r="AR483" s="467">
        <f t="shared" ref="AR483" si="863">SUM(AF483:AQ484)</f>
        <v>0</v>
      </c>
      <c r="AS483" s="119" t="s">
        <v>257</v>
      </c>
      <c r="AT483" s="120"/>
      <c r="AU483" s="120"/>
      <c r="AV483" s="120"/>
      <c r="AW483" s="121"/>
      <c r="AX483" s="125">
        <f t="shared" ref="AX483:AX485" si="864">SUM(AT483:AW483)</f>
        <v>0</v>
      </c>
      <c r="AY483" s="141" t="s">
        <v>257</v>
      </c>
      <c r="AZ483" s="137"/>
      <c r="BA483" s="137"/>
      <c r="BB483" s="134">
        <f t="shared" ref="BB483:BB485" si="865">AZ483-BA483</f>
        <v>0</v>
      </c>
      <c r="BC483" s="469" t="s">
        <v>258</v>
      </c>
      <c r="BD483" s="470"/>
      <c r="BE483" s="13"/>
      <c r="BF483" s="16"/>
      <c r="BG483" s="13"/>
      <c r="BH483" s="16"/>
      <c r="BI483" s="13"/>
      <c r="BJ483" s="16"/>
      <c r="BK483" s="13"/>
      <c r="BL483" s="16"/>
      <c r="BM483" s="13"/>
      <c r="BN483" s="16"/>
      <c r="BO483" s="13"/>
      <c r="BP483" s="16"/>
      <c r="BQ483" s="106">
        <f t="shared" si="757"/>
        <v>0</v>
      </c>
      <c r="BR483" s="566"/>
      <c r="BS483" s="569"/>
      <c r="BT483" s="570"/>
      <c r="BU483" s="557"/>
      <c r="BV483" s="560"/>
      <c r="BW483" s="563"/>
      <c r="BX483" s="615"/>
    </row>
    <row r="484" spans="1:76" x14ac:dyDescent="0.25">
      <c r="A484" s="586"/>
      <c r="B484" s="590"/>
      <c r="C484" s="591"/>
      <c r="D484" s="605"/>
      <c r="E484" s="517"/>
      <c r="F484" s="518"/>
      <c r="G484" s="523"/>
      <c r="H484" s="524"/>
      <c r="I484" s="529"/>
      <c r="J484" s="530"/>
      <c r="K484" s="513"/>
      <c r="L484" s="534"/>
      <c r="M484" s="537"/>
      <c r="N484" s="541"/>
      <c r="O484" s="542"/>
      <c r="P484" s="483"/>
      <c r="Q484" s="484"/>
      <c r="R484" s="517"/>
      <c r="S484" s="518"/>
      <c r="T484" s="487"/>
      <c r="U484" s="488"/>
      <c r="V484" s="492"/>
      <c r="W484" s="483"/>
      <c r="X484" s="495"/>
      <c r="Y484" s="484"/>
      <c r="Z484" s="498"/>
      <c r="AA484" s="502"/>
      <c r="AB484" s="503"/>
      <c r="AC484" s="508"/>
      <c r="AD484" s="509"/>
      <c r="AE484" s="509"/>
      <c r="AF484" s="511"/>
      <c r="AG484" s="511"/>
      <c r="AH484" s="511"/>
      <c r="AI484" s="511"/>
      <c r="AJ484" s="511"/>
      <c r="AK484" s="511"/>
      <c r="AL484" s="511"/>
      <c r="AM484" s="511"/>
      <c r="AN484" s="511"/>
      <c r="AO484" s="511"/>
      <c r="AP484" s="511"/>
      <c r="AQ484" s="466"/>
      <c r="AR484" s="468"/>
      <c r="AS484" s="122" t="s">
        <v>259</v>
      </c>
      <c r="AT484" s="123"/>
      <c r="AU484" s="123"/>
      <c r="AV484" s="123"/>
      <c r="AW484" s="124"/>
      <c r="AX484" s="126">
        <f t="shared" si="864"/>
        <v>0</v>
      </c>
      <c r="AY484" s="142" t="s">
        <v>259</v>
      </c>
      <c r="AZ484" s="138"/>
      <c r="BA484" s="138"/>
      <c r="BB484" s="135">
        <f t="shared" si="865"/>
        <v>0</v>
      </c>
      <c r="BC484" s="474" t="s">
        <v>260</v>
      </c>
      <c r="BD484" s="475"/>
      <c r="BE484" s="14"/>
      <c r="BF484" s="17"/>
      <c r="BG484" s="14"/>
      <c r="BH484" s="17"/>
      <c r="BI484" s="14"/>
      <c r="BJ484" s="17"/>
      <c r="BK484" s="14"/>
      <c r="BL484" s="17"/>
      <c r="BM484" s="14"/>
      <c r="BN484" s="17"/>
      <c r="BO484" s="14"/>
      <c r="BP484" s="17"/>
      <c r="BQ484" s="107">
        <f t="shared" si="757"/>
        <v>0</v>
      </c>
      <c r="BR484" s="567"/>
      <c r="BS484" s="571"/>
      <c r="BT484" s="572"/>
      <c r="BU484" s="558"/>
      <c r="BV484" s="561"/>
      <c r="BW484" s="564"/>
      <c r="BX484" s="616"/>
    </row>
    <row r="485" spans="1:76" ht="15.75" thickBot="1" x14ac:dyDescent="0.3">
      <c r="A485" s="586"/>
      <c r="B485" s="590"/>
      <c r="C485" s="591"/>
      <c r="D485" s="605"/>
      <c r="E485" s="517"/>
      <c r="F485" s="518"/>
      <c r="G485" s="523"/>
      <c r="H485" s="524"/>
      <c r="I485" s="529"/>
      <c r="J485" s="530"/>
      <c r="K485" s="513"/>
      <c r="L485" s="534"/>
      <c r="M485" s="537"/>
      <c r="N485" s="541"/>
      <c r="O485" s="542"/>
      <c r="P485" s="483"/>
      <c r="Q485" s="484"/>
      <c r="R485" s="517"/>
      <c r="S485" s="518"/>
      <c r="T485" s="487"/>
      <c r="U485" s="488"/>
      <c r="V485" s="492"/>
      <c r="W485" s="483"/>
      <c r="X485" s="495"/>
      <c r="Y485" s="484"/>
      <c r="Z485" s="498"/>
      <c r="AA485" s="502"/>
      <c r="AB485" s="503"/>
      <c r="AC485" s="471" t="s">
        <v>259</v>
      </c>
      <c r="AD485" s="472"/>
      <c r="AE485" s="473"/>
      <c r="AF485" s="100"/>
      <c r="AG485" s="100"/>
      <c r="AH485" s="100"/>
      <c r="AI485" s="100"/>
      <c r="AJ485" s="100"/>
      <c r="AK485" s="100"/>
      <c r="AL485" s="100"/>
      <c r="AM485" s="100"/>
      <c r="AN485" s="100"/>
      <c r="AO485" s="100"/>
      <c r="AP485" s="100"/>
      <c r="AQ485" s="101"/>
      <c r="AR485" s="104">
        <f t="shared" ref="AR485:AR486" si="866">SUM(AF485:AQ485)</f>
        <v>0</v>
      </c>
      <c r="AS485" s="128" t="s">
        <v>261</v>
      </c>
      <c r="AT485" s="129"/>
      <c r="AU485" s="129"/>
      <c r="AV485" s="129"/>
      <c r="AW485" s="130"/>
      <c r="AX485" s="126">
        <f t="shared" si="864"/>
        <v>0</v>
      </c>
      <c r="AY485" s="143" t="s">
        <v>261</v>
      </c>
      <c r="AZ485" s="139"/>
      <c r="BA485" s="139"/>
      <c r="BB485" s="136">
        <f t="shared" si="865"/>
        <v>0</v>
      </c>
      <c r="BC485" s="474" t="s">
        <v>262</v>
      </c>
      <c r="BD485" s="475"/>
      <c r="BE485" s="14"/>
      <c r="BF485" s="17"/>
      <c r="BG485" s="14"/>
      <c r="BH485" s="17"/>
      <c r="BI485" s="14"/>
      <c r="BJ485" s="17"/>
      <c r="BK485" s="14"/>
      <c r="BL485" s="17"/>
      <c r="BM485" s="14"/>
      <c r="BN485" s="17"/>
      <c r="BO485" s="14"/>
      <c r="BP485" s="17"/>
      <c r="BQ485" s="108">
        <f t="shared" si="757"/>
        <v>0</v>
      </c>
      <c r="BR485" s="567"/>
      <c r="BS485" s="571"/>
      <c r="BT485" s="572"/>
      <c r="BU485" s="558"/>
      <c r="BV485" s="561"/>
      <c r="BW485" s="564"/>
      <c r="BX485" s="616"/>
    </row>
    <row r="486" spans="1:76" ht="15.75" thickBot="1" x14ac:dyDescent="0.3">
      <c r="A486" s="587"/>
      <c r="B486" s="592"/>
      <c r="C486" s="593"/>
      <c r="D486" s="606"/>
      <c r="E486" s="519"/>
      <c r="F486" s="520"/>
      <c r="G486" s="525"/>
      <c r="H486" s="526"/>
      <c r="I486" s="531"/>
      <c r="J486" s="532"/>
      <c r="K486" s="514"/>
      <c r="L486" s="535"/>
      <c r="M486" s="538"/>
      <c r="N486" s="543"/>
      <c r="O486" s="544"/>
      <c r="P486" s="485"/>
      <c r="Q486" s="486"/>
      <c r="R486" s="519"/>
      <c r="S486" s="520"/>
      <c r="T486" s="489"/>
      <c r="U486" s="490"/>
      <c r="V486" s="493"/>
      <c r="W486" s="485"/>
      <c r="X486" s="496"/>
      <c r="Y486" s="486"/>
      <c r="Z486" s="499"/>
      <c r="AA486" s="504"/>
      <c r="AB486" s="505"/>
      <c r="AC486" s="476" t="s">
        <v>261</v>
      </c>
      <c r="AD486" s="477"/>
      <c r="AE486" s="478"/>
      <c r="AF486" s="102"/>
      <c r="AG486" s="102"/>
      <c r="AH486" s="102"/>
      <c r="AI486" s="102"/>
      <c r="AJ486" s="102"/>
      <c r="AK486" s="102"/>
      <c r="AL486" s="102"/>
      <c r="AM486" s="102"/>
      <c r="AN486" s="102"/>
      <c r="AO486" s="102"/>
      <c r="AP486" s="102"/>
      <c r="AQ486" s="103"/>
      <c r="AR486" s="105">
        <f t="shared" si="866"/>
        <v>0</v>
      </c>
      <c r="AS486" s="131" t="s">
        <v>161</v>
      </c>
      <c r="AT486" s="132">
        <f t="shared" ref="AT486:AX486" si="867">SUM(AT483:AT485)</f>
        <v>0</v>
      </c>
      <c r="AU486" s="132">
        <f t="shared" si="867"/>
        <v>0</v>
      </c>
      <c r="AV486" s="132">
        <f t="shared" si="867"/>
        <v>0</v>
      </c>
      <c r="AW486" s="133">
        <f t="shared" si="867"/>
        <v>0</v>
      </c>
      <c r="AX486" s="127">
        <f t="shared" si="867"/>
        <v>0</v>
      </c>
      <c r="AY486" s="144" t="s">
        <v>161</v>
      </c>
      <c r="AZ486" s="140">
        <f t="shared" ref="AZ486:BB486" si="868">SUM(AZ483:AZ485)</f>
        <v>0</v>
      </c>
      <c r="BA486" s="140">
        <f t="shared" si="868"/>
        <v>0</v>
      </c>
      <c r="BB486" s="140">
        <f t="shared" si="868"/>
        <v>0</v>
      </c>
      <c r="BC486" s="479" t="s">
        <v>263</v>
      </c>
      <c r="BD486" s="480"/>
      <c r="BE486" s="15"/>
      <c r="BF486" s="18"/>
      <c r="BG486" s="15"/>
      <c r="BH486" s="18"/>
      <c r="BI486" s="15"/>
      <c r="BJ486" s="18"/>
      <c r="BK486" s="15"/>
      <c r="BL486" s="18"/>
      <c r="BM486" s="15"/>
      <c r="BN486" s="18"/>
      <c r="BO486" s="15"/>
      <c r="BP486" s="18"/>
      <c r="BQ486" s="109">
        <f t="shared" si="757"/>
        <v>0</v>
      </c>
      <c r="BR486" s="568"/>
      <c r="BS486" s="573"/>
      <c r="BT486" s="574"/>
      <c r="BU486" s="559"/>
      <c r="BV486" s="562"/>
      <c r="BW486" s="565"/>
      <c r="BX486" s="617"/>
    </row>
    <row r="487" spans="1:76" ht="15.75" thickTop="1" x14ac:dyDescent="0.25">
      <c r="A487" s="585">
        <v>120</v>
      </c>
      <c r="B487" s="588"/>
      <c r="C487" s="589"/>
      <c r="D487" s="604"/>
      <c r="E487" s="515"/>
      <c r="F487" s="516"/>
      <c r="G487" s="521"/>
      <c r="H487" s="522"/>
      <c r="I487" s="527"/>
      <c r="J487" s="528"/>
      <c r="K487" s="512" t="e">
        <f t="shared" ref="K487" si="869">INT(YEARFRAC(I487,AA487))</f>
        <v>#VALUE!</v>
      </c>
      <c r="L487" s="533">
        <f t="shared" ref="L487" ca="1" si="870">INT(YEARFRAC(I487,TODAY()))</f>
        <v>121</v>
      </c>
      <c r="M487" s="536"/>
      <c r="N487" s="539"/>
      <c r="O487" s="540"/>
      <c r="P487" s="481"/>
      <c r="Q487" s="482"/>
      <c r="R487" s="515"/>
      <c r="S487" s="516"/>
      <c r="T487" s="487"/>
      <c r="U487" s="488"/>
      <c r="V487" s="491"/>
      <c r="W487" s="481"/>
      <c r="X487" s="494"/>
      <c r="Y487" s="482"/>
      <c r="Z487" s="497"/>
      <c r="AA487" s="500" t="s">
        <v>361</v>
      </c>
      <c r="AB487" s="501"/>
      <c r="AC487" s="506" t="s">
        <v>257</v>
      </c>
      <c r="AD487" s="507"/>
      <c r="AE487" s="507"/>
      <c r="AF487" s="510"/>
      <c r="AG487" s="510"/>
      <c r="AH487" s="510"/>
      <c r="AI487" s="510"/>
      <c r="AJ487" s="510"/>
      <c r="AK487" s="510"/>
      <c r="AL487" s="510"/>
      <c r="AM487" s="510"/>
      <c r="AN487" s="510"/>
      <c r="AO487" s="510"/>
      <c r="AP487" s="510"/>
      <c r="AQ487" s="465"/>
      <c r="AR487" s="467">
        <f t="shared" ref="AR487" si="871">SUM(AF487:AQ488)</f>
        <v>0</v>
      </c>
      <c r="AS487" s="119" t="s">
        <v>257</v>
      </c>
      <c r="AT487" s="120"/>
      <c r="AU487" s="120"/>
      <c r="AV487" s="120"/>
      <c r="AW487" s="121"/>
      <c r="AX487" s="125">
        <f t="shared" ref="AX487:AX489" si="872">SUM(AT487:AW487)</f>
        <v>0</v>
      </c>
      <c r="AY487" s="141" t="s">
        <v>257</v>
      </c>
      <c r="AZ487" s="137"/>
      <c r="BA487" s="137"/>
      <c r="BB487" s="134">
        <f t="shared" ref="BB487:BB489" si="873">AZ487-BA487</f>
        <v>0</v>
      </c>
      <c r="BC487" s="469" t="s">
        <v>258</v>
      </c>
      <c r="BD487" s="470"/>
      <c r="BE487" s="13"/>
      <c r="BF487" s="16"/>
      <c r="BG487" s="13"/>
      <c r="BH487" s="16"/>
      <c r="BI487" s="13"/>
      <c r="BJ487" s="16"/>
      <c r="BK487" s="13"/>
      <c r="BL487" s="16"/>
      <c r="BM487" s="13"/>
      <c r="BN487" s="16"/>
      <c r="BO487" s="13"/>
      <c r="BP487" s="16"/>
      <c r="BQ487" s="106">
        <f t="shared" si="757"/>
        <v>0</v>
      </c>
      <c r="BR487" s="566"/>
      <c r="BS487" s="569"/>
      <c r="BT487" s="570"/>
      <c r="BU487" s="557"/>
      <c r="BV487" s="560"/>
      <c r="BW487" s="563"/>
      <c r="BX487" s="615"/>
    </row>
    <row r="488" spans="1:76" x14ac:dyDescent="0.25">
      <c r="A488" s="586"/>
      <c r="B488" s="590"/>
      <c r="C488" s="591"/>
      <c r="D488" s="605"/>
      <c r="E488" s="517"/>
      <c r="F488" s="518"/>
      <c r="G488" s="523"/>
      <c r="H488" s="524"/>
      <c r="I488" s="529"/>
      <c r="J488" s="530"/>
      <c r="K488" s="513"/>
      <c r="L488" s="534"/>
      <c r="M488" s="537"/>
      <c r="N488" s="541"/>
      <c r="O488" s="542"/>
      <c r="P488" s="483"/>
      <c r="Q488" s="484"/>
      <c r="R488" s="517"/>
      <c r="S488" s="518"/>
      <c r="T488" s="487"/>
      <c r="U488" s="488"/>
      <c r="V488" s="492"/>
      <c r="W488" s="483"/>
      <c r="X488" s="495"/>
      <c r="Y488" s="484"/>
      <c r="Z488" s="498"/>
      <c r="AA488" s="502"/>
      <c r="AB488" s="503"/>
      <c r="AC488" s="508"/>
      <c r="AD488" s="509"/>
      <c r="AE488" s="509"/>
      <c r="AF488" s="511"/>
      <c r="AG488" s="511"/>
      <c r="AH488" s="511"/>
      <c r="AI488" s="511"/>
      <c r="AJ488" s="511"/>
      <c r="AK488" s="511"/>
      <c r="AL488" s="511"/>
      <c r="AM488" s="511"/>
      <c r="AN488" s="511"/>
      <c r="AO488" s="511"/>
      <c r="AP488" s="511"/>
      <c r="AQ488" s="466"/>
      <c r="AR488" s="468"/>
      <c r="AS488" s="122" t="s">
        <v>259</v>
      </c>
      <c r="AT488" s="123"/>
      <c r="AU488" s="123"/>
      <c r="AV488" s="123"/>
      <c r="AW488" s="124"/>
      <c r="AX488" s="126">
        <f t="shared" si="872"/>
        <v>0</v>
      </c>
      <c r="AY488" s="142" t="s">
        <v>259</v>
      </c>
      <c r="AZ488" s="138"/>
      <c r="BA488" s="138"/>
      <c r="BB488" s="135">
        <f t="shared" si="873"/>
        <v>0</v>
      </c>
      <c r="BC488" s="474" t="s">
        <v>260</v>
      </c>
      <c r="BD488" s="475"/>
      <c r="BE488" s="14"/>
      <c r="BF488" s="17"/>
      <c r="BG488" s="14"/>
      <c r="BH488" s="17"/>
      <c r="BI488" s="14"/>
      <c r="BJ488" s="17"/>
      <c r="BK488" s="14"/>
      <c r="BL488" s="17"/>
      <c r="BM488" s="14"/>
      <c r="BN488" s="17"/>
      <c r="BO488" s="14"/>
      <c r="BP488" s="17"/>
      <c r="BQ488" s="107">
        <f t="shared" si="757"/>
        <v>0</v>
      </c>
      <c r="BR488" s="567"/>
      <c r="BS488" s="571"/>
      <c r="BT488" s="572"/>
      <c r="BU488" s="558"/>
      <c r="BV488" s="561"/>
      <c r="BW488" s="564"/>
      <c r="BX488" s="616"/>
    </row>
    <row r="489" spans="1:76" ht="15.75" thickBot="1" x14ac:dyDescent="0.3">
      <c r="A489" s="586"/>
      <c r="B489" s="590"/>
      <c r="C489" s="591"/>
      <c r="D489" s="605"/>
      <c r="E489" s="517"/>
      <c r="F489" s="518"/>
      <c r="G489" s="523"/>
      <c r="H489" s="524"/>
      <c r="I489" s="529"/>
      <c r="J489" s="530"/>
      <c r="K489" s="513"/>
      <c r="L489" s="534"/>
      <c r="M489" s="537"/>
      <c r="N489" s="541"/>
      <c r="O489" s="542"/>
      <c r="P489" s="483"/>
      <c r="Q489" s="484"/>
      <c r="R489" s="517"/>
      <c r="S489" s="518"/>
      <c r="T489" s="487"/>
      <c r="U489" s="488"/>
      <c r="V489" s="492"/>
      <c r="W489" s="483"/>
      <c r="X489" s="495"/>
      <c r="Y489" s="484"/>
      <c r="Z489" s="498"/>
      <c r="AA489" s="502"/>
      <c r="AB489" s="503"/>
      <c r="AC489" s="471" t="s">
        <v>259</v>
      </c>
      <c r="AD489" s="472"/>
      <c r="AE489" s="473"/>
      <c r="AF489" s="100"/>
      <c r="AG489" s="100"/>
      <c r="AH489" s="100"/>
      <c r="AI489" s="100"/>
      <c r="AJ489" s="100"/>
      <c r="AK489" s="100"/>
      <c r="AL489" s="100"/>
      <c r="AM489" s="100"/>
      <c r="AN489" s="100"/>
      <c r="AO489" s="100"/>
      <c r="AP489" s="100"/>
      <c r="AQ489" s="101"/>
      <c r="AR489" s="104">
        <f t="shared" ref="AR489:AR490" si="874">SUM(AF489:AQ489)</f>
        <v>0</v>
      </c>
      <c r="AS489" s="128" t="s">
        <v>261</v>
      </c>
      <c r="AT489" s="129"/>
      <c r="AU489" s="129"/>
      <c r="AV489" s="129"/>
      <c r="AW489" s="130"/>
      <c r="AX489" s="126">
        <f t="shared" si="872"/>
        <v>0</v>
      </c>
      <c r="AY489" s="143" t="s">
        <v>261</v>
      </c>
      <c r="AZ489" s="139"/>
      <c r="BA489" s="139"/>
      <c r="BB489" s="136">
        <f t="shared" si="873"/>
        <v>0</v>
      </c>
      <c r="BC489" s="474" t="s">
        <v>262</v>
      </c>
      <c r="BD489" s="475"/>
      <c r="BE489" s="14"/>
      <c r="BF489" s="17"/>
      <c r="BG489" s="14"/>
      <c r="BH489" s="17"/>
      <c r="BI489" s="14"/>
      <c r="BJ489" s="17"/>
      <c r="BK489" s="14"/>
      <c r="BL489" s="17"/>
      <c r="BM489" s="14"/>
      <c r="BN489" s="17"/>
      <c r="BO489" s="14"/>
      <c r="BP489" s="17"/>
      <c r="BQ489" s="108">
        <f t="shared" si="757"/>
        <v>0</v>
      </c>
      <c r="BR489" s="567"/>
      <c r="BS489" s="571"/>
      <c r="BT489" s="572"/>
      <c r="BU489" s="558"/>
      <c r="BV489" s="561"/>
      <c r="BW489" s="564"/>
      <c r="BX489" s="616"/>
    </row>
    <row r="490" spans="1:76" ht="15.75" thickBot="1" x14ac:dyDescent="0.3">
      <c r="A490" s="587"/>
      <c r="B490" s="592"/>
      <c r="C490" s="593"/>
      <c r="D490" s="606"/>
      <c r="E490" s="519"/>
      <c r="F490" s="520"/>
      <c r="G490" s="525"/>
      <c r="H490" s="526"/>
      <c r="I490" s="531"/>
      <c r="J490" s="532"/>
      <c r="K490" s="514"/>
      <c r="L490" s="535"/>
      <c r="M490" s="538"/>
      <c r="N490" s="543"/>
      <c r="O490" s="544"/>
      <c r="P490" s="485"/>
      <c r="Q490" s="486"/>
      <c r="R490" s="519"/>
      <c r="S490" s="520"/>
      <c r="T490" s="489"/>
      <c r="U490" s="490"/>
      <c r="V490" s="493"/>
      <c r="W490" s="485"/>
      <c r="X490" s="496"/>
      <c r="Y490" s="486"/>
      <c r="Z490" s="499"/>
      <c r="AA490" s="504"/>
      <c r="AB490" s="505"/>
      <c r="AC490" s="476" t="s">
        <v>261</v>
      </c>
      <c r="AD490" s="477"/>
      <c r="AE490" s="478"/>
      <c r="AF490" s="102"/>
      <c r="AG490" s="102"/>
      <c r="AH490" s="102"/>
      <c r="AI490" s="102"/>
      <c r="AJ490" s="102"/>
      <c r="AK490" s="102"/>
      <c r="AL490" s="102"/>
      <c r="AM490" s="102"/>
      <c r="AN490" s="102"/>
      <c r="AO490" s="102"/>
      <c r="AP490" s="102"/>
      <c r="AQ490" s="103"/>
      <c r="AR490" s="105">
        <f t="shared" si="874"/>
        <v>0</v>
      </c>
      <c r="AS490" s="131" t="s">
        <v>161</v>
      </c>
      <c r="AT490" s="132">
        <f t="shared" ref="AT490:AX490" si="875">SUM(AT487:AT489)</f>
        <v>0</v>
      </c>
      <c r="AU490" s="132">
        <f t="shared" si="875"/>
        <v>0</v>
      </c>
      <c r="AV490" s="132">
        <f t="shared" si="875"/>
        <v>0</v>
      </c>
      <c r="AW490" s="133">
        <f t="shared" si="875"/>
        <v>0</v>
      </c>
      <c r="AX490" s="127">
        <f t="shared" si="875"/>
        <v>0</v>
      </c>
      <c r="AY490" s="144" t="s">
        <v>161</v>
      </c>
      <c r="AZ490" s="140">
        <f t="shared" ref="AZ490:BB490" si="876">SUM(AZ487:AZ489)</f>
        <v>0</v>
      </c>
      <c r="BA490" s="140">
        <f t="shared" si="876"/>
        <v>0</v>
      </c>
      <c r="BB490" s="140">
        <f t="shared" si="876"/>
        <v>0</v>
      </c>
      <c r="BC490" s="479" t="s">
        <v>263</v>
      </c>
      <c r="BD490" s="480"/>
      <c r="BE490" s="15"/>
      <c r="BF490" s="18"/>
      <c r="BG490" s="15"/>
      <c r="BH490" s="18"/>
      <c r="BI490" s="15"/>
      <c r="BJ490" s="18"/>
      <c r="BK490" s="15"/>
      <c r="BL490" s="18"/>
      <c r="BM490" s="15"/>
      <c r="BN490" s="18"/>
      <c r="BO490" s="15"/>
      <c r="BP490" s="18"/>
      <c r="BQ490" s="109">
        <f t="shared" si="757"/>
        <v>0</v>
      </c>
      <c r="BR490" s="568"/>
      <c r="BS490" s="573"/>
      <c r="BT490" s="574"/>
      <c r="BU490" s="559"/>
      <c r="BV490" s="562"/>
      <c r="BW490" s="565"/>
      <c r="BX490" s="617"/>
    </row>
    <row r="491" spans="1:76" ht="15.75" thickTop="1" x14ac:dyDescent="0.25">
      <c r="A491" s="585">
        <v>121</v>
      </c>
      <c r="B491" s="588"/>
      <c r="C491" s="589"/>
      <c r="D491" s="604"/>
      <c r="E491" s="515"/>
      <c r="F491" s="516"/>
      <c r="G491" s="521"/>
      <c r="H491" s="522"/>
      <c r="I491" s="527"/>
      <c r="J491" s="528"/>
      <c r="K491" s="512" t="e">
        <f t="shared" ref="K491" si="877">INT(YEARFRAC(I491,AA491))</f>
        <v>#VALUE!</v>
      </c>
      <c r="L491" s="533">
        <f t="shared" ref="L491" ca="1" si="878">INT(YEARFRAC(I491,TODAY()))</f>
        <v>121</v>
      </c>
      <c r="M491" s="536"/>
      <c r="N491" s="539"/>
      <c r="O491" s="540"/>
      <c r="P491" s="481"/>
      <c r="Q491" s="482"/>
      <c r="R491" s="515"/>
      <c r="S491" s="516"/>
      <c r="T491" s="487"/>
      <c r="U491" s="488"/>
      <c r="V491" s="491"/>
      <c r="W491" s="481"/>
      <c r="X491" s="494"/>
      <c r="Y491" s="482"/>
      <c r="Z491" s="497"/>
      <c r="AA491" s="500" t="s">
        <v>362</v>
      </c>
      <c r="AB491" s="501"/>
      <c r="AC491" s="506" t="s">
        <v>257</v>
      </c>
      <c r="AD491" s="507"/>
      <c r="AE491" s="507"/>
      <c r="AF491" s="510"/>
      <c r="AG491" s="510"/>
      <c r="AH491" s="510"/>
      <c r="AI491" s="510"/>
      <c r="AJ491" s="510"/>
      <c r="AK491" s="510"/>
      <c r="AL491" s="510"/>
      <c r="AM491" s="510"/>
      <c r="AN491" s="510"/>
      <c r="AO491" s="510"/>
      <c r="AP491" s="510"/>
      <c r="AQ491" s="465"/>
      <c r="AR491" s="467">
        <f t="shared" ref="AR491" si="879">SUM(AF491:AQ492)</f>
        <v>0</v>
      </c>
      <c r="AS491" s="119" t="s">
        <v>257</v>
      </c>
      <c r="AT491" s="120"/>
      <c r="AU491" s="120"/>
      <c r="AV491" s="120"/>
      <c r="AW491" s="121"/>
      <c r="AX491" s="125">
        <f t="shared" ref="AX491:AX493" si="880">SUM(AT491:AW491)</f>
        <v>0</v>
      </c>
      <c r="AY491" s="141" t="s">
        <v>257</v>
      </c>
      <c r="AZ491" s="137"/>
      <c r="BA491" s="137"/>
      <c r="BB491" s="134">
        <f t="shared" ref="BB491:BB493" si="881">AZ491-BA491</f>
        <v>0</v>
      </c>
      <c r="BC491" s="469" t="s">
        <v>258</v>
      </c>
      <c r="BD491" s="470"/>
      <c r="BE491" s="13"/>
      <c r="BF491" s="16"/>
      <c r="BG491" s="13"/>
      <c r="BH491" s="16"/>
      <c r="BI491" s="13"/>
      <c r="BJ491" s="16"/>
      <c r="BK491" s="13"/>
      <c r="BL491" s="16"/>
      <c r="BM491" s="13"/>
      <c r="BN491" s="16"/>
      <c r="BO491" s="13"/>
      <c r="BP491" s="16"/>
      <c r="BQ491" s="106">
        <f t="shared" ref="BQ491:BQ554" si="882">SUM(BE491:BP491)</f>
        <v>0</v>
      </c>
      <c r="BR491" s="566"/>
      <c r="BS491" s="569"/>
      <c r="BT491" s="570"/>
      <c r="BU491" s="557"/>
      <c r="BV491" s="560"/>
      <c r="BW491" s="563"/>
      <c r="BX491" s="615"/>
    </row>
    <row r="492" spans="1:76" x14ac:dyDescent="0.25">
      <c r="A492" s="586"/>
      <c r="B492" s="590"/>
      <c r="C492" s="591"/>
      <c r="D492" s="605"/>
      <c r="E492" s="517"/>
      <c r="F492" s="518"/>
      <c r="G492" s="523"/>
      <c r="H492" s="524"/>
      <c r="I492" s="529"/>
      <c r="J492" s="530"/>
      <c r="K492" s="513"/>
      <c r="L492" s="534"/>
      <c r="M492" s="537"/>
      <c r="N492" s="541"/>
      <c r="O492" s="542"/>
      <c r="P492" s="483"/>
      <c r="Q492" s="484"/>
      <c r="R492" s="517"/>
      <c r="S492" s="518"/>
      <c r="T492" s="487"/>
      <c r="U492" s="488"/>
      <c r="V492" s="492"/>
      <c r="W492" s="483"/>
      <c r="X492" s="495"/>
      <c r="Y492" s="484"/>
      <c r="Z492" s="498"/>
      <c r="AA492" s="502"/>
      <c r="AB492" s="503"/>
      <c r="AC492" s="508"/>
      <c r="AD492" s="509"/>
      <c r="AE492" s="509"/>
      <c r="AF492" s="511"/>
      <c r="AG492" s="511"/>
      <c r="AH492" s="511"/>
      <c r="AI492" s="511"/>
      <c r="AJ492" s="511"/>
      <c r="AK492" s="511"/>
      <c r="AL492" s="511"/>
      <c r="AM492" s="511"/>
      <c r="AN492" s="511"/>
      <c r="AO492" s="511"/>
      <c r="AP492" s="511"/>
      <c r="AQ492" s="466"/>
      <c r="AR492" s="468"/>
      <c r="AS492" s="122" t="s">
        <v>259</v>
      </c>
      <c r="AT492" s="123"/>
      <c r="AU492" s="123"/>
      <c r="AV492" s="123"/>
      <c r="AW492" s="124"/>
      <c r="AX492" s="126">
        <f t="shared" si="880"/>
        <v>0</v>
      </c>
      <c r="AY492" s="142" t="s">
        <v>259</v>
      </c>
      <c r="AZ492" s="138"/>
      <c r="BA492" s="138"/>
      <c r="BB492" s="135">
        <f t="shared" si="881"/>
        <v>0</v>
      </c>
      <c r="BC492" s="474" t="s">
        <v>260</v>
      </c>
      <c r="BD492" s="475"/>
      <c r="BE492" s="14"/>
      <c r="BF492" s="17"/>
      <c r="BG492" s="14"/>
      <c r="BH492" s="17"/>
      <c r="BI492" s="14"/>
      <c r="BJ492" s="17"/>
      <c r="BK492" s="14"/>
      <c r="BL492" s="17"/>
      <c r="BM492" s="14"/>
      <c r="BN492" s="17"/>
      <c r="BO492" s="14"/>
      <c r="BP492" s="17"/>
      <c r="BQ492" s="107">
        <f t="shared" si="882"/>
        <v>0</v>
      </c>
      <c r="BR492" s="567"/>
      <c r="BS492" s="571"/>
      <c r="BT492" s="572"/>
      <c r="BU492" s="558"/>
      <c r="BV492" s="561"/>
      <c r="BW492" s="564"/>
      <c r="BX492" s="616"/>
    </row>
    <row r="493" spans="1:76" ht="15.75" thickBot="1" x14ac:dyDescent="0.3">
      <c r="A493" s="586"/>
      <c r="B493" s="590"/>
      <c r="C493" s="591"/>
      <c r="D493" s="605"/>
      <c r="E493" s="517"/>
      <c r="F493" s="518"/>
      <c r="G493" s="523"/>
      <c r="H493" s="524"/>
      <c r="I493" s="529"/>
      <c r="J493" s="530"/>
      <c r="K493" s="513"/>
      <c r="L493" s="534"/>
      <c r="M493" s="537"/>
      <c r="N493" s="541"/>
      <c r="O493" s="542"/>
      <c r="P493" s="483"/>
      <c r="Q493" s="484"/>
      <c r="R493" s="517"/>
      <c r="S493" s="518"/>
      <c r="T493" s="487"/>
      <c r="U493" s="488"/>
      <c r="V493" s="492"/>
      <c r="W493" s="483"/>
      <c r="X493" s="495"/>
      <c r="Y493" s="484"/>
      <c r="Z493" s="498"/>
      <c r="AA493" s="502"/>
      <c r="AB493" s="503"/>
      <c r="AC493" s="471" t="s">
        <v>259</v>
      </c>
      <c r="AD493" s="472"/>
      <c r="AE493" s="473"/>
      <c r="AF493" s="100"/>
      <c r="AG493" s="100"/>
      <c r="AH493" s="100"/>
      <c r="AI493" s="100"/>
      <c r="AJ493" s="100"/>
      <c r="AK493" s="100"/>
      <c r="AL493" s="100"/>
      <c r="AM493" s="100"/>
      <c r="AN493" s="100"/>
      <c r="AO493" s="100"/>
      <c r="AP493" s="100"/>
      <c r="AQ493" s="101"/>
      <c r="AR493" s="104">
        <f t="shared" ref="AR493:AR494" si="883">SUM(AF493:AQ493)</f>
        <v>0</v>
      </c>
      <c r="AS493" s="128" t="s">
        <v>261</v>
      </c>
      <c r="AT493" s="129"/>
      <c r="AU493" s="129"/>
      <c r="AV493" s="129"/>
      <c r="AW493" s="130"/>
      <c r="AX493" s="126">
        <f t="shared" si="880"/>
        <v>0</v>
      </c>
      <c r="AY493" s="143" t="s">
        <v>261</v>
      </c>
      <c r="AZ493" s="139"/>
      <c r="BA493" s="139"/>
      <c r="BB493" s="136">
        <f t="shared" si="881"/>
        <v>0</v>
      </c>
      <c r="BC493" s="474" t="s">
        <v>262</v>
      </c>
      <c r="BD493" s="475"/>
      <c r="BE493" s="14"/>
      <c r="BF493" s="17"/>
      <c r="BG493" s="14"/>
      <c r="BH493" s="17"/>
      <c r="BI493" s="14"/>
      <c r="BJ493" s="17"/>
      <c r="BK493" s="14"/>
      <c r="BL493" s="17"/>
      <c r="BM493" s="14"/>
      <c r="BN493" s="17"/>
      <c r="BO493" s="14"/>
      <c r="BP493" s="17"/>
      <c r="BQ493" s="108">
        <f t="shared" si="882"/>
        <v>0</v>
      </c>
      <c r="BR493" s="567"/>
      <c r="BS493" s="571"/>
      <c r="BT493" s="572"/>
      <c r="BU493" s="558"/>
      <c r="BV493" s="561"/>
      <c r="BW493" s="564"/>
      <c r="BX493" s="616"/>
    </row>
    <row r="494" spans="1:76" ht="15.75" thickBot="1" x14ac:dyDescent="0.3">
      <c r="A494" s="587"/>
      <c r="B494" s="592"/>
      <c r="C494" s="593"/>
      <c r="D494" s="606"/>
      <c r="E494" s="519"/>
      <c r="F494" s="520"/>
      <c r="G494" s="525"/>
      <c r="H494" s="526"/>
      <c r="I494" s="531"/>
      <c r="J494" s="532"/>
      <c r="K494" s="514"/>
      <c r="L494" s="535"/>
      <c r="M494" s="538"/>
      <c r="N494" s="543"/>
      <c r="O494" s="544"/>
      <c r="P494" s="485"/>
      <c r="Q494" s="486"/>
      <c r="R494" s="519"/>
      <c r="S494" s="520"/>
      <c r="T494" s="489"/>
      <c r="U494" s="490"/>
      <c r="V494" s="493"/>
      <c r="W494" s="485"/>
      <c r="X494" s="496"/>
      <c r="Y494" s="486"/>
      <c r="Z494" s="499"/>
      <c r="AA494" s="504"/>
      <c r="AB494" s="505"/>
      <c r="AC494" s="476" t="s">
        <v>261</v>
      </c>
      <c r="AD494" s="477"/>
      <c r="AE494" s="478"/>
      <c r="AF494" s="102"/>
      <c r="AG494" s="102"/>
      <c r="AH494" s="102"/>
      <c r="AI494" s="102"/>
      <c r="AJ494" s="102"/>
      <c r="AK494" s="102"/>
      <c r="AL494" s="102"/>
      <c r="AM494" s="102"/>
      <c r="AN494" s="102"/>
      <c r="AO494" s="102"/>
      <c r="AP494" s="102"/>
      <c r="AQ494" s="103"/>
      <c r="AR494" s="105">
        <f t="shared" si="883"/>
        <v>0</v>
      </c>
      <c r="AS494" s="131" t="s">
        <v>161</v>
      </c>
      <c r="AT494" s="132">
        <f t="shared" ref="AT494:AX494" si="884">SUM(AT491:AT493)</f>
        <v>0</v>
      </c>
      <c r="AU494" s="132">
        <f t="shared" si="884"/>
        <v>0</v>
      </c>
      <c r="AV494" s="132">
        <f t="shared" si="884"/>
        <v>0</v>
      </c>
      <c r="AW494" s="133">
        <f t="shared" si="884"/>
        <v>0</v>
      </c>
      <c r="AX494" s="127">
        <f t="shared" si="884"/>
        <v>0</v>
      </c>
      <c r="AY494" s="144" t="s">
        <v>161</v>
      </c>
      <c r="AZ494" s="140">
        <f t="shared" ref="AZ494:BB494" si="885">SUM(AZ491:AZ493)</f>
        <v>0</v>
      </c>
      <c r="BA494" s="140">
        <f t="shared" si="885"/>
        <v>0</v>
      </c>
      <c r="BB494" s="140">
        <f t="shared" si="885"/>
        <v>0</v>
      </c>
      <c r="BC494" s="479" t="s">
        <v>263</v>
      </c>
      <c r="BD494" s="480"/>
      <c r="BE494" s="15"/>
      <c r="BF494" s="18"/>
      <c r="BG494" s="15"/>
      <c r="BH494" s="18"/>
      <c r="BI494" s="15"/>
      <c r="BJ494" s="18"/>
      <c r="BK494" s="15"/>
      <c r="BL494" s="18"/>
      <c r="BM494" s="15"/>
      <c r="BN494" s="18"/>
      <c r="BO494" s="15"/>
      <c r="BP494" s="18"/>
      <c r="BQ494" s="109">
        <f t="shared" si="882"/>
        <v>0</v>
      </c>
      <c r="BR494" s="568"/>
      <c r="BS494" s="573"/>
      <c r="BT494" s="574"/>
      <c r="BU494" s="559"/>
      <c r="BV494" s="562"/>
      <c r="BW494" s="565"/>
      <c r="BX494" s="617"/>
    </row>
    <row r="495" spans="1:76" ht="15.75" thickTop="1" x14ac:dyDescent="0.25">
      <c r="A495" s="585">
        <v>122</v>
      </c>
      <c r="B495" s="588"/>
      <c r="C495" s="589"/>
      <c r="D495" s="604"/>
      <c r="E495" s="515"/>
      <c r="F495" s="516"/>
      <c r="G495" s="521"/>
      <c r="H495" s="522"/>
      <c r="I495" s="527"/>
      <c r="J495" s="528"/>
      <c r="K495" s="512" t="e">
        <f t="shared" ref="K495" si="886">INT(YEARFRAC(I495,AA495))</f>
        <v>#VALUE!</v>
      </c>
      <c r="L495" s="533">
        <f t="shared" ref="L495" ca="1" si="887">INT(YEARFRAC(I495,TODAY()))</f>
        <v>121</v>
      </c>
      <c r="M495" s="536"/>
      <c r="N495" s="539"/>
      <c r="O495" s="540"/>
      <c r="P495" s="481"/>
      <c r="Q495" s="482"/>
      <c r="R495" s="515"/>
      <c r="S495" s="516"/>
      <c r="T495" s="487"/>
      <c r="U495" s="488"/>
      <c r="V495" s="491"/>
      <c r="W495" s="481"/>
      <c r="X495" s="494"/>
      <c r="Y495" s="482"/>
      <c r="Z495" s="497"/>
      <c r="AA495" s="500" t="s">
        <v>363</v>
      </c>
      <c r="AB495" s="501"/>
      <c r="AC495" s="506" t="s">
        <v>257</v>
      </c>
      <c r="AD495" s="507"/>
      <c r="AE495" s="507"/>
      <c r="AF495" s="510"/>
      <c r="AG495" s="510"/>
      <c r="AH495" s="510"/>
      <c r="AI495" s="510"/>
      <c r="AJ495" s="510"/>
      <c r="AK495" s="510"/>
      <c r="AL495" s="510"/>
      <c r="AM495" s="510"/>
      <c r="AN495" s="510"/>
      <c r="AO495" s="510"/>
      <c r="AP495" s="510"/>
      <c r="AQ495" s="465"/>
      <c r="AR495" s="467">
        <f t="shared" ref="AR495" si="888">SUM(AF495:AQ496)</f>
        <v>0</v>
      </c>
      <c r="AS495" s="119" t="s">
        <v>257</v>
      </c>
      <c r="AT495" s="120"/>
      <c r="AU495" s="120"/>
      <c r="AV495" s="120"/>
      <c r="AW495" s="121"/>
      <c r="AX495" s="125">
        <f t="shared" ref="AX495:AX497" si="889">SUM(AT495:AW495)</f>
        <v>0</v>
      </c>
      <c r="AY495" s="141" t="s">
        <v>257</v>
      </c>
      <c r="AZ495" s="137"/>
      <c r="BA495" s="137"/>
      <c r="BB495" s="134">
        <f t="shared" ref="BB495:BB497" si="890">AZ495-BA495</f>
        <v>0</v>
      </c>
      <c r="BC495" s="469" t="s">
        <v>258</v>
      </c>
      <c r="BD495" s="470"/>
      <c r="BE495" s="13"/>
      <c r="BF495" s="16"/>
      <c r="BG495" s="13"/>
      <c r="BH495" s="16"/>
      <c r="BI495" s="13"/>
      <c r="BJ495" s="16"/>
      <c r="BK495" s="13"/>
      <c r="BL495" s="16"/>
      <c r="BM495" s="13"/>
      <c r="BN495" s="16"/>
      <c r="BO495" s="13"/>
      <c r="BP495" s="16"/>
      <c r="BQ495" s="106">
        <f t="shared" si="882"/>
        <v>0</v>
      </c>
      <c r="BR495" s="566"/>
      <c r="BS495" s="569"/>
      <c r="BT495" s="570"/>
      <c r="BU495" s="557"/>
      <c r="BV495" s="560"/>
      <c r="BW495" s="563"/>
      <c r="BX495" s="615"/>
    </row>
    <row r="496" spans="1:76" x14ac:dyDescent="0.25">
      <c r="A496" s="586"/>
      <c r="B496" s="590"/>
      <c r="C496" s="591"/>
      <c r="D496" s="605"/>
      <c r="E496" s="517"/>
      <c r="F496" s="518"/>
      <c r="G496" s="523"/>
      <c r="H496" s="524"/>
      <c r="I496" s="529"/>
      <c r="J496" s="530"/>
      <c r="K496" s="513"/>
      <c r="L496" s="534"/>
      <c r="M496" s="537"/>
      <c r="N496" s="541"/>
      <c r="O496" s="542"/>
      <c r="P496" s="483"/>
      <c r="Q496" s="484"/>
      <c r="R496" s="517"/>
      <c r="S496" s="518"/>
      <c r="T496" s="487"/>
      <c r="U496" s="488"/>
      <c r="V496" s="492"/>
      <c r="W496" s="483"/>
      <c r="X496" s="495"/>
      <c r="Y496" s="484"/>
      <c r="Z496" s="498"/>
      <c r="AA496" s="502"/>
      <c r="AB496" s="503"/>
      <c r="AC496" s="508"/>
      <c r="AD496" s="509"/>
      <c r="AE496" s="509"/>
      <c r="AF496" s="511"/>
      <c r="AG496" s="511"/>
      <c r="AH496" s="511"/>
      <c r="AI496" s="511"/>
      <c r="AJ496" s="511"/>
      <c r="AK496" s="511"/>
      <c r="AL496" s="511"/>
      <c r="AM496" s="511"/>
      <c r="AN496" s="511"/>
      <c r="AO496" s="511"/>
      <c r="AP496" s="511"/>
      <c r="AQ496" s="466"/>
      <c r="AR496" s="468"/>
      <c r="AS496" s="122" t="s">
        <v>259</v>
      </c>
      <c r="AT496" s="123"/>
      <c r="AU496" s="123"/>
      <c r="AV496" s="123"/>
      <c r="AW496" s="124"/>
      <c r="AX496" s="126">
        <f t="shared" si="889"/>
        <v>0</v>
      </c>
      <c r="AY496" s="142" t="s">
        <v>259</v>
      </c>
      <c r="AZ496" s="138"/>
      <c r="BA496" s="138"/>
      <c r="BB496" s="135">
        <f t="shared" si="890"/>
        <v>0</v>
      </c>
      <c r="BC496" s="474" t="s">
        <v>260</v>
      </c>
      <c r="BD496" s="475"/>
      <c r="BE496" s="14"/>
      <c r="BF496" s="17"/>
      <c r="BG496" s="14"/>
      <c r="BH496" s="17"/>
      <c r="BI496" s="14"/>
      <c r="BJ496" s="17"/>
      <c r="BK496" s="14"/>
      <c r="BL496" s="17"/>
      <c r="BM496" s="14"/>
      <c r="BN496" s="17"/>
      <c r="BO496" s="14"/>
      <c r="BP496" s="17"/>
      <c r="BQ496" s="107">
        <f t="shared" si="882"/>
        <v>0</v>
      </c>
      <c r="BR496" s="567"/>
      <c r="BS496" s="571"/>
      <c r="BT496" s="572"/>
      <c r="BU496" s="558"/>
      <c r="BV496" s="561"/>
      <c r="BW496" s="564"/>
      <c r="BX496" s="616"/>
    </row>
    <row r="497" spans="1:76" ht="15.75" thickBot="1" x14ac:dyDescent="0.3">
      <c r="A497" s="586"/>
      <c r="B497" s="590"/>
      <c r="C497" s="591"/>
      <c r="D497" s="605"/>
      <c r="E497" s="517"/>
      <c r="F497" s="518"/>
      <c r="G497" s="523"/>
      <c r="H497" s="524"/>
      <c r="I497" s="529"/>
      <c r="J497" s="530"/>
      <c r="K497" s="513"/>
      <c r="L497" s="534"/>
      <c r="M497" s="537"/>
      <c r="N497" s="541"/>
      <c r="O497" s="542"/>
      <c r="P497" s="483"/>
      <c r="Q497" s="484"/>
      <c r="R497" s="517"/>
      <c r="S497" s="518"/>
      <c r="T497" s="487"/>
      <c r="U497" s="488"/>
      <c r="V497" s="492"/>
      <c r="W497" s="483"/>
      <c r="X497" s="495"/>
      <c r="Y497" s="484"/>
      <c r="Z497" s="498"/>
      <c r="AA497" s="502"/>
      <c r="AB497" s="503"/>
      <c r="AC497" s="471" t="s">
        <v>259</v>
      </c>
      <c r="AD497" s="472"/>
      <c r="AE497" s="473"/>
      <c r="AF497" s="100"/>
      <c r="AG497" s="100"/>
      <c r="AH497" s="100"/>
      <c r="AI497" s="100"/>
      <c r="AJ497" s="100"/>
      <c r="AK497" s="100"/>
      <c r="AL497" s="100"/>
      <c r="AM497" s="100"/>
      <c r="AN497" s="100"/>
      <c r="AO497" s="100"/>
      <c r="AP497" s="100"/>
      <c r="AQ497" s="101"/>
      <c r="AR497" s="104">
        <f t="shared" ref="AR497:AR498" si="891">SUM(AF497:AQ497)</f>
        <v>0</v>
      </c>
      <c r="AS497" s="128" t="s">
        <v>261</v>
      </c>
      <c r="AT497" s="129"/>
      <c r="AU497" s="129"/>
      <c r="AV497" s="129"/>
      <c r="AW497" s="130"/>
      <c r="AX497" s="126">
        <f t="shared" si="889"/>
        <v>0</v>
      </c>
      <c r="AY497" s="143" t="s">
        <v>261</v>
      </c>
      <c r="AZ497" s="139"/>
      <c r="BA497" s="139"/>
      <c r="BB497" s="136">
        <f t="shared" si="890"/>
        <v>0</v>
      </c>
      <c r="BC497" s="474" t="s">
        <v>262</v>
      </c>
      <c r="BD497" s="475"/>
      <c r="BE497" s="14"/>
      <c r="BF497" s="17"/>
      <c r="BG497" s="14"/>
      <c r="BH497" s="17"/>
      <c r="BI497" s="14"/>
      <c r="BJ497" s="17"/>
      <c r="BK497" s="14"/>
      <c r="BL497" s="17"/>
      <c r="BM497" s="14"/>
      <c r="BN497" s="17"/>
      <c r="BO497" s="14"/>
      <c r="BP497" s="17"/>
      <c r="BQ497" s="108">
        <f t="shared" si="882"/>
        <v>0</v>
      </c>
      <c r="BR497" s="567"/>
      <c r="BS497" s="571"/>
      <c r="BT497" s="572"/>
      <c r="BU497" s="558"/>
      <c r="BV497" s="561"/>
      <c r="BW497" s="564"/>
      <c r="BX497" s="616"/>
    </row>
    <row r="498" spans="1:76" ht="15.75" thickBot="1" x14ac:dyDescent="0.3">
      <c r="A498" s="587"/>
      <c r="B498" s="592"/>
      <c r="C498" s="593"/>
      <c r="D498" s="606"/>
      <c r="E498" s="519"/>
      <c r="F498" s="520"/>
      <c r="G498" s="525"/>
      <c r="H498" s="526"/>
      <c r="I498" s="531"/>
      <c r="J498" s="532"/>
      <c r="K498" s="514"/>
      <c r="L498" s="535"/>
      <c r="M498" s="538"/>
      <c r="N498" s="543"/>
      <c r="O498" s="544"/>
      <c r="P498" s="485"/>
      <c r="Q498" s="486"/>
      <c r="R498" s="519"/>
      <c r="S498" s="520"/>
      <c r="T498" s="489"/>
      <c r="U498" s="490"/>
      <c r="V498" s="493"/>
      <c r="W498" s="485"/>
      <c r="X498" s="496"/>
      <c r="Y498" s="486"/>
      <c r="Z498" s="499"/>
      <c r="AA498" s="504"/>
      <c r="AB498" s="505"/>
      <c r="AC498" s="476" t="s">
        <v>261</v>
      </c>
      <c r="AD498" s="477"/>
      <c r="AE498" s="478"/>
      <c r="AF498" s="102"/>
      <c r="AG498" s="102"/>
      <c r="AH498" s="102"/>
      <c r="AI498" s="102"/>
      <c r="AJ498" s="102"/>
      <c r="AK498" s="102"/>
      <c r="AL498" s="102"/>
      <c r="AM498" s="102"/>
      <c r="AN498" s="102"/>
      <c r="AO498" s="102"/>
      <c r="AP498" s="102"/>
      <c r="AQ498" s="103"/>
      <c r="AR498" s="105">
        <f t="shared" si="891"/>
        <v>0</v>
      </c>
      <c r="AS498" s="131" t="s">
        <v>161</v>
      </c>
      <c r="AT498" s="132">
        <f t="shared" ref="AT498:AX498" si="892">SUM(AT495:AT497)</f>
        <v>0</v>
      </c>
      <c r="AU498" s="132">
        <f t="shared" si="892"/>
        <v>0</v>
      </c>
      <c r="AV498" s="132">
        <f t="shared" si="892"/>
        <v>0</v>
      </c>
      <c r="AW498" s="133">
        <f t="shared" si="892"/>
        <v>0</v>
      </c>
      <c r="AX498" s="127">
        <f t="shared" si="892"/>
        <v>0</v>
      </c>
      <c r="AY498" s="144" t="s">
        <v>161</v>
      </c>
      <c r="AZ498" s="140">
        <f t="shared" ref="AZ498:BB498" si="893">SUM(AZ495:AZ497)</f>
        <v>0</v>
      </c>
      <c r="BA498" s="140">
        <f t="shared" si="893"/>
        <v>0</v>
      </c>
      <c r="BB498" s="140">
        <f t="shared" si="893"/>
        <v>0</v>
      </c>
      <c r="BC498" s="479" t="s">
        <v>263</v>
      </c>
      <c r="BD498" s="480"/>
      <c r="BE498" s="15"/>
      <c r="BF498" s="18"/>
      <c r="BG498" s="15"/>
      <c r="BH498" s="18"/>
      <c r="BI498" s="15"/>
      <c r="BJ498" s="18"/>
      <c r="BK498" s="15"/>
      <c r="BL498" s="18"/>
      <c r="BM498" s="15"/>
      <c r="BN498" s="18"/>
      <c r="BO498" s="15"/>
      <c r="BP498" s="18"/>
      <c r="BQ498" s="109">
        <f t="shared" si="882"/>
        <v>0</v>
      </c>
      <c r="BR498" s="568"/>
      <c r="BS498" s="573"/>
      <c r="BT498" s="574"/>
      <c r="BU498" s="559"/>
      <c r="BV498" s="562"/>
      <c r="BW498" s="565"/>
      <c r="BX498" s="617"/>
    </row>
    <row r="499" spans="1:76" ht="15.75" thickTop="1" x14ac:dyDescent="0.25">
      <c r="A499" s="585">
        <v>123</v>
      </c>
      <c r="B499" s="588"/>
      <c r="C499" s="589"/>
      <c r="D499" s="604"/>
      <c r="E499" s="515"/>
      <c r="F499" s="516"/>
      <c r="G499" s="521"/>
      <c r="H499" s="522"/>
      <c r="I499" s="527"/>
      <c r="J499" s="528"/>
      <c r="K499" s="512" t="e">
        <f t="shared" ref="K499" si="894">INT(YEARFRAC(I499,AA499))</f>
        <v>#VALUE!</v>
      </c>
      <c r="L499" s="533">
        <f t="shared" ref="L499" ca="1" si="895">INT(YEARFRAC(I499,TODAY()))</f>
        <v>121</v>
      </c>
      <c r="M499" s="536"/>
      <c r="N499" s="539"/>
      <c r="O499" s="540"/>
      <c r="P499" s="481"/>
      <c r="Q499" s="482"/>
      <c r="R499" s="515"/>
      <c r="S499" s="516"/>
      <c r="T499" s="487"/>
      <c r="U499" s="488"/>
      <c r="V499" s="491"/>
      <c r="W499" s="481"/>
      <c r="X499" s="494"/>
      <c r="Y499" s="482"/>
      <c r="Z499" s="497"/>
      <c r="AA499" s="500" t="s">
        <v>364</v>
      </c>
      <c r="AB499" s="501"/>
      <c r="AC499" s="506" t="s">
        <v>257</v>
      </c>
      <c r="AD499" s="507"/>
      <c r="AE499" s="507"/>
      <c r="AF499" s="510"/>
      <c r="AG499" s="510"/>
      <c r="AH499" s="510"/>
      <c r="AI499" s="510"/>
      <c r="AJ499" s="510"/>
      <c r="AK499" s="510"/>
      <c r="AL499" s="510"/>
      <c r="AM499" s="510"/>
      <c r="AN499" s="510"/>
      <c r="AO499" s="510"/>
      <c r="AP499" s="510"/>
      <c r="AQ499" s="465"/>
      <c r="AR499" s="467">
        <f t="shared" ref="AR499" si="896">SUM(AF499:AQ500)</f>
        <v>0</v>
      </c>
      <c r="AS499" s="119" t="s">
        <v>257</v>
      </c>
      <c r="AT499" s="120"/>
      <c r="AU499" s="120"/>
      <c r="AV499" s="120"/>
      <c r="AW499" s="121"/>
      <c r="AX499" s="125">
        <f t="shared" ref="AX499:AX501" si="897">SUM(AT499:AW499)</f>
        <v>0</v>
      </c>
      <c r="AY499" s="141" t="s">
        <v>257</v>
      </c>
      <c r="AZ499" s="137"/>
      <c r="BA499" s="137"/>
      <c r="BB499" s="134">
        <f t="shared" ref="BB499:BB501" si="898">AZ499-BA499</f>
        <v>0</v>
      </c>
      <c r="BC499" s="469" t="s">
        <v>258</v>
      </c>
      <c r="BD499" s="470"/>
      <c r="BE499" s="13"/>
      <c r="BF499" s="16"/>
      <c r="BG499" s="13"/>
      <c r="BH499" s="16"/>
      <c r="BI499" s="13"/>
      <c r="BJ499" s="16"/>
      <c r="BK499" s="13"/>
      <c r="BL499" s="16"/>
      <c r="BM499" s="13"/>
      <c r="BN499" s="16"/>
      <c r="BO499" s="13"/>
      <c r="BP499" s="16"/>
      <c r="BQ499" s="106">
        <f t="shared" si="882"/>
        <v>0</v>
      </c>
      <c r="BR499" s="566"/>
      <c r="BS499" s="569"/>
      <c r="BT499" s="570"/>
      <c r="BU499" s="557"/>
      <c r="BV499" s="560"/>
      <c r="BW499" s="563"/>
      <c r="BX499" s="615"/>
    </row>
    <row r="500" spans="1:76" x14ac:dyDescent="0.25">
      <c r="A500" s="586"/>
      <c r="B500" s="590"/>
      <c r="C500" s="591"/>
      <c r="D500" s="605"/>
      <c r="E500" s="517"/>
      <c r="F500" s="518"/>
      <c r="G500" s="523"/>
      <c r="H500" s="524"/>
      <c r="I500" s="529"/>
      <c r="J500" s="530"/>
      <c r="K500" s="513"/>
      <c r="L500" s="534"/>
      <c r="M500" s="537"/>
      <c r="N500" s="541"/>
      <c r="O500" s="542"/>
      <c r="P500" s="483"/>
      <c r="Q500" s="484"/>
      <c r="R500" s="517"/>
      <c r="S500" s="518"/>
      <c r="T500" s="487"/>
      <c r="U500" s="488"/>
      <c r="V500" s="492"/>
      <c r="W500" s="483"/>
      <c r="X500" s="495"/>
      <c r="Y500" s="484"/>
      <c r="Z500" s="498"/>
      <c r="AA500" s="502"/>
      <c r="AB500" s="503"/>
      <c r="AC500" s="508"/>
      <c r="AD500" s="509"/>
      <c r="AE500" s="509"/>
      <c r="AF500" s="511"/>
      <c r="AG500" s="511"/>
      <c r="AH500" s="511"/>
      <c r="AI500" s="511"/>
      <c r="AJ500" s="511"/>
      <c r="AK500" s="511"/>
      <c r="AL500" s="511"/>
      <c r="AM500" s="511"/>
      <c r="AN500" s="511"/>
      <c r="AO500" s="511"/>
      <c r="AP500" s="511"/>
      <c r="AQ500" s="466"/>
      <c r="AR500" s="468"/>
      <c r="AS500" s="122" t="s">
        <v>259</v>
      </c>
      <c r="AT500" s="123"/>
      <c r="AU500" s="123"/>
      <c r="AV500" s="123"/>
      <c r="AW500" s="124"/>
      <c r="AX500" s="126">
        <f t="shared" si="897"/>
        <v>0</v>
      </c>
      <c r="AY500" s="142" t="s">
        <v>259</v>
      </c>
      <c r="AZ500" s="138"/>
      <c r="BA500" s="138"/>
      <c r="BB500" s="135">
        <f t="shared" si="898"/>
        <v>0</v>
      </c>
      <c r="BC500" s="474" t="s">
        <v>260</v>
      </c>
      <c r="BD500" s="475"/>
      <c r="BE500" s="14"/>
      <c r="BF500" s="17"/>
      <c r="BG500" s="14"/>
      <c r="BH500" s="17"/>
      <c r="BI500" s="14"/>
      <c r="BJ500" s="17"/>
      <c r="BK500" s="14"/>
      <c r="BL500" s="17"/>
      <c r="BM500" s="14"/>
      <c r="BN500" s="17"/>
      <c r="BO500" s="14"/>
      <c r="BP500" s="17"/>
      <c r="BQ500" s="107">
        <f t="shared" si="882"/>
        <v>0</v>
      </c>
      <c r="BR500" s="567"/>
      <c r="BS500" s="571"/>
      <c r="BT500" s="572"/>
      <c r="BU500" s="558"/>
      <c r="BV500" s="561"/>
      <c r="BW500" s="564"/>
      <c r="BX500" s="616"/>
    </row>
    <row r="501" spans="1:76" ht="15.75" thickBot="1" x14ac:dyDescent="0.3">
      <c r="A501" s="586"/>
      <c r="B501" s="590"/>
      <c r="C501" s="591"/>
      <c r="D501" s="605"/>
      <c r="E501" s="517"/>
      <c r="F501" s="518"/>
      <c r="G501" s="523"/>
      <c r="H501" s="524"/>
      <c r="I501" s="529"/>
      <c r="J501" s="530"/>
      <c r="K501" s="513"/>
      <c r="L501" s="534"/>
      <c r="M501" s="537"/>
      <c r="N501" s="541"/>
      <c r="O501" s="542"/>
      <c r="P501" s="483"/>
      <c r="Q501" s="484"/>
      <c r="R501" s="517"/>
      <c r="S501" s="518"/>
      <c r="T501" s="487"/>
      <c r="U501" s="488"/>
      <c r="V501" s="492"/>
      <c r="W501" s="483"/>
      <c r="X501" s="495"/>
      <c r="Y501" s="484"/>
      <c r="Z501" s="498"/>
      <c r="AA501" s="502"/>
      <c r="AB501" s="503"/>
      <c r="AC501" s="471" t="s">
        <v>259</v>
      </c>
      <c r="AD501" s="472"/>
      <c r="AE501" s="473"/>
      <c r="AF501" s="100"/>
      <c r="AG501" s="100"/>
      <c r="AH501" s="100"/>
      <c r="AI501" s="100"/>
      <c r="AJ501" s="100"/>
      <c r="AK501" s="100"/>
      <c r="AL501" s="100"/>
      <c r="AM501" s="100"/>
      <c r="AN501" s="100"/>
      <c r="AO501" s="100"/>
      <c r="AP501" s="100"/>
      <c r="AQ501" s="101"/>
      <c r="AR501" s="104">
        <f t="shared" ref="AR501:AR502" si="899">SUM(AF501:AQ501)</f>
        <v>0</v>
      </c>
      <c r="AS501" s="128" t="s">
        <v>261</v>
      </c>
      <c r="AT501" s="129"/>
      <c r="AU501" s="129"/>
      <c r="AV501" s="129"/>
      <c r="AW501" s="130"/>
      <c r="AX501" s="126">
        <f t="shared" si="897"/>
        <v>0</v>
      </c>
      <c r="AY501" s="143" t="s">
        <v>261</v>
      </c>
      <c r="AZ501" s="139"/>
      <c r="BA501" s="139"/>
      <c r="BB501" s="136">
        <f t="shared" si="898"/>
        <v>0</v>
      </c>
      <c r="BC501" s="474" t="s">
        <v>262</v>
      </c>
      <c r="BD501" s="475"/>
      <c r="BE501" s="14"/>
      <c r="BF501" s="17"/>
      <c r="BG501" s="14"/>
      <c r="BH501" s="17"/>
      <c r="BI501" s="14"/>
      <c r="BJ501" s="17"/>
      <c r="BK501" s="14"/>
      <c r="BL501" s="17"/>
      <c r="BM501" s="14"/>
      <c r="BN501" s="17"/>
      <c r="BO501" s="14"/>
      <c r="BP501" s="17"/>
      <c r="BQ501" s="108">
        <f t="shared" si="882"/>
        <v>0</v>
      </c>
      <c r="BR501" s="567"/>
      <c r="BS501" s="571"/>
      <c r="BT501" s="572"/>
      <c r="BU501" s="558"/>
      <c r="BV501" s="561"/>
      <c r="BW501" s="564"/>
      <c r="BX501" s="616"/>
    </row>
    <row r="502" spans="1:76" ht="15.75" thickBot="1" x14ac:dyDescent="0.3">
      <c r="A502" s="587"/>
      <c r="B502" s="592"/>
      <c r="C502" s="593"/>
      <c r="D502" s="606"/>
      <c r="E502" s="519"/>
      <c r="F502" s="520"/>
      <c r="G502" s="525"/>
      <c r="H502" s="526"/>
      <c r="I502" s="531"/>
      <c r="J502" s="532"/>
      <c r="K502" s="514"/>
      <c r="L502" s="535"/>
      <c r="M502" s="538"/>
      <c r="N502" s="543"/>
      <c r="O502" s="544"/>
      <c r="P502" s="485"/>
      <c r="Q502" s="486"/>
      <c r="R502" s="519"/>
      <c r="S502" s="520"/>
      <c r="T502" s="489"/>
      <c r="U502" s="490"/>
      <c r="V502" s="493"/>
      <c r="W502" s="485"/>
      <c r="X502" s="496"/>
      <c r="Y502" s="486"/>
      <c r="Z502" s="499"/>
      <c r="AA502" s="504"/>
      <c r="AB502" s="505"/>
      <c r="AC502" s="476" t="s">
        <v>261</v>
      </c>
      <c r="AD502" s="477"/>
      <c r="AE502" s="478"/>
      <c r="AF502" s="102"/>
      <c r="AG502" s="102"/>
      <c r="AH502" s="102"/>
      <c r="AI502" s="102"/>
      <c r="AJ502" s="102"/>
      <c r="AK502" s="102"/>
      <c r="AL502" s="102"/>
      <c r="AM502" s="102"/>
      <c r="AN502" s="102"/>
      <c r="AO502" s="102"/>
      <c r="AP502" s="102"/>
      <c r="AQ502" s="103"/>
      <c r="AR502" s="105">
        <f t="shared" si="899"/>
        <v>0</v>
      </c>
      <c r="AS502" s="131" t="s">
        <v>161</v>
      </c>
      <c r="AT502" s="132">
        <f t="shared" ref="AT502:AX502" si="900">SUM(AT499:AT501)</f>
        <v>0</v>
      </c>
      <c r="AU502" s="132">
        <f t="shared" si="900"/>
        <v>0</v>
      </c>
      <c r="AV502" s="132">
        <f t="shared" si="900"/>
        <v>0</v>
      </c>
      <c r="AW502" s="133">
        <f t="shared" si="900"/>
        <v>0</v>
      </c>
      <c r="AX502" s="127">
        <f t="shared" si="900"/>
        <v>0</v>
      </c>
      <c r="AY502" s="144" t="s">
        <v>161</v>
      </c>
      <c r="AZ502" s="140">
        <f t="shared" ref="AZ502:BB502" si="901">SUM(AZ499:AZ501)</f>
        <v>0</v>
      </c>
      <c r="BA502" s="140">
        <f t="shared" si="901"/>
        <v>0</v>
      </c>
      <c r="BB502" s="140">
        <f t="shared" si="901"/>
        <v>0</v>
      </c>
      <c r="BC502" s="479" t="s">
        <v>263</v>
      </c>
      <c r="BD502" s="480"/>
      <c r="BE502" s="15"/>
      <c r="BF502" s="18"/>
      <c r="BG502" s="15"/>
      <c r="BH502" s="18"/>
      <c r="BI502" s="15"/>
      <c r="BJ502" s="18"/>
      <c r="BK502" s="15"/>
      <c r="BL502" s="18"/>
      <c r="BM502" s="15"/>
      <c r="BN502" s="18"/>
      <c r="BO502" s="15"/>
      <c r="BP502" s="18"/>
      <c r="BQ502" s="109">
        <f t="shared" si="882"/>
        <v>0</v>
      </c>
      <c r="BR502" s="568"/>
      <c r="BS502" s="573"/>
      <c r="BT502" s="574"/>
      <c r="BU502" s="559"/>
      <c r="BV502" s="562"/>
      <c r="BW502" s="565"/>
      <c r="BX502" s="617"/>
    </row>
    <row r="503" spans="1:76" ht="15.75" thickTop="1" x14ac:dyDescent="0.25">
      <c r="A503" s="585">
        <v>124</v>
      </c>
      <c r="B503" s="588"/>
      <c r="C503" s="589"/>
      <c r="D503" s="604"/>
      <c r="E503" s="515"/>
      <c r="F503" s="516"/>
      <c r="G503" s="521"/>
      <c r="H503" s="522"/>
      <c r="I503" s="527"/>
      <c r="J503" s="528"/>
      <c r="K503" s="512" t="e">
        <f t="shared" ref="K503" si="902">INT(YEARFRAC(I503,AA503))</f>
        <v>#VALUE!</v>
      </c>
      <c r="L503" s="533">
        <f t="shared" ref="L503" ca="1" si="903">INT(YEARFRAC(I503,TODAY()))</f>
        <v>121</v>
      </c>
      <c r="M503" s="536"/>
      <c r="N503" s="539"/>
      <c r="O503" s="540"/>
      <c r="P503" s="481"/>
      <c r="Q503" s="482"/>
      <c r="R503" s="515"/>
      <c r="S503" s="516"/>
      <c r="T503" s="487"/>
      <c r="U503" s="488"/>
      <c r="V503" s="491"/>
      <c r="W503" s="481"/>
      <c r="X503" s="494"/>
      <c r="Y503" s="482"/>
      <c r="Z503" s="497"/>
      <c r="AA503" s="500" t="s">
        <v>365</v>
      </c>
      <c r="AB503" s="501"/>
      <c r="AC503" s="506" t="s">
        <v>257</v>
      </c>
      <c r="AD503" s="507"/>
      <c r="AE503" s="507"/>
      <c r="AF503" s="510"/>
      <c r="AG503" s="510"/>
      <c r="AH503" s="510"/>
      <c r="AI503" s="510"/>
      <c r="AJ503" s="510"/>
      <c r="AK503" s="510"/>
      <c r="AL503" s="510"/>
      <c r="AM503" s="510"/>
      <c r="AN503" s="510"/>
      <c r="AO503" s="510"/>
      <c r="AP503" s="510"/>
      <c r="AQ503" s="465"/>
      <c r="AR503" s="467">
        <f t="shared" ref="AR503" si="904">SUM(AF503:AQ504)</f>
        <v>0</v>
      </c>
      <c r="AS503" s="119" t="s">
        <v>257</v>
      </c>
      <c r="AT503" s="120"/>
      <c r="AU503" s="120"/>
      <c r="AV503" s="120"/>
      <c r="AW503" s="121"/>
      <c r="AX503" s="125">
        <f t="shared" ref="AX503:AX505" si="905">SUM(AT503:AW503)</f>
        <v>0</v>
      </c>
      <c r="AY503" s="141" t="s">
        <v>257</v>
      </c>
      <c r="AZ503" s="137"/>
      <c r="BA503" s="137"/>
      <c r="BB503" s="134">
        <f t="shared" ref="BB503:BB505" si="906">AZ503-BA503</f>
        <v>0</v>
      </c>
      <c r="BC503" s="469" t="s">
        <v>258</v>
      </c>
      <c r="BD503" s="470"/>
      <c r="BE503" s="13"/>
      <c r="BF503" s="16"/>
      <c r="BG503" s="13"/>
      <c r="BH503" s="16"/>
      <c r="BI503" s="13"/>
      <c r="BJ503" s="16"/>
      <c r="BK503" s="13"/>
      <c r="BL503" s="16"/>
      <c r="BM503" s="13"/>
      <c r="BN503" s="16"/>
      <c r="BO503" s="13"/>
      <c r="BP503" s="16"/>
      <c r="BQ503" s="106">
        <f t="shared" si="882"/>
        <v>0</v>
      </c>
      <c r="BR503" s="566"/>
      <c r="BS503" s="569"/>
      <c r="BT503" s="570"/>
      <c r="BU503" s="557"/>
      <c r="BV503" s="560"/>
      <c r="BW503" s="563"/>
      <c r="BX503" s="615"/>
    </row>
    <row r="504" spans="1:76" x14ac:dyDescent="0.25">
      <c r="A504" s="586"/>
      <c r="B504" s="590"/>
      <c r="C504" s="591"/>
      <c r="D504" s="605"/>
      <c r="E504" s="517"/>
      <c r="F504" s="518"/>
      <c r="G504" s="523"/>
      <c r="H504" s="524"/>
      <c r="I504" s="529"/>
      <c r="J504" s="530"/>
      <c r="K504" s="513"/>
      <c r="L504" s="534"/>
      <c r="M504" s="537"/>
      <c r="N504" s="541"/>
      <c r="O504" s="542"/>
      <c r="P504" s="483"/>
      <c r="Q504" s="484"/>
      <c r="R504" s="517"/>
      <c r="S504" s="518"/>
      <c r="T504" s="487"/>
      <c r="U504" s="488"/>
      <c r="V504" s="492"/>
      <c r="W504" s="483"/>
      <c r="X504" s="495"/>
      <c r="Y504" s="484"/>
      <c r="Z504" s="498"/>
      <c r="AA504" s="502"/>
      <c r="AB504" s="503"/>
      <c r="AC504" s="508"/>
      <c r="AD504" s="509"/>
      <c r="AE504" s="509"/>
      <c r="AF504" s="511"/>
      <c r="AG504" s="511"/>
      <c r="AH504" s="511"/>
      <c r="AI504" s="511"/>
      <c r="AJ504" s="511"/>
      <c r="AK504" s="511"/>
      <c r="AL504" s="511"/>
      <c r="AM504" s="511"/>
      <c r="AN504" s="511"/>
      <c r="AO504" s="511"/>
      <c r="AP504" s="511"/>
      <c r="AQ504" s="466"/>
      <c r="AR504" s="468"/>
      <c r="AS504" s="122" t="s">
        <v>259</v>
      </c>
      <c r="AT504" s="123"/>
      <c r="AU504" s="123"/>
      <c r="AV504" s="123"/>
      <c r="AW504" s="124"/>
      <c r="AX504" s="126">
        <f t="shared" si="905"/>
        <v>0</v>
      </c>
      <c r="AY504" s="142" t="s">
        <v>259</v>
      </c>
      <c r="AZ504" s="138"/>
      <c r="BA504" s="138"/>
      <c r="BB504" s="135">
        <f t="shared" si="906"/>
        <v>0</v>
      </c>
      <c r="BC504" s="474" t="s">
        <v>260</v>
      </c>
      <c r="BD504" s="475"/>
      <c r="BE504" s="14"/>
      <c r="BF504" s="17"/>
      <c r="BG504" s="14"/>
      <c r="BH504" s="17"/>
      <c r="BI504" s="14"/>
      <c r="BJ504" s="17"/>
      <c r="BK504" s="14"/>
      <c r="BL504" s="17"/>
      <c r="BM504" s="14"/>
      <c r="BN504" s="17"/>
      <c r="BO504" s="14"/>
      <c r="BP504" s="17"/>
      <c r="BQ504" s="107">
        <f t="shared" si="882"/>
        <v>0</v>
      </c>
      <c r="BR504" s="567"/>
      <c r="BS504" s="571"/>
      <c r="BT504" s="572"/>
      <c r="BU504" s="558"/>
      <c r="BV504" s="561"/>
      <c r="BW504" s="564"/>
      <c r="BX504" s="616"/>
    </row>
    <row r="505" spans="1:76" ht="15.75" thickBot="1" x14ac:dyDescent="0.3">
      <c r="A505" s="586"/>
      <c r="B505" s="590"/>
      <c r="C505" s="591"/>
      <c r="D505" s="605"/>
      <c r="E505" s="517"/>
      <c r="F505" s="518"/>
      <c r="G505" s="523"/>
      <c r="H505" s="524"/>
      <c r="I505" s="529"/>
      <c r="J505" s="530"/>
      <c r="K505" s="513"/>
      <c r="L505" s="534"/>
      <c r="M505" s="537"/>
      <c r="N505" s="541"/>
      <c r="O505" s="542"/>
      <c r="P505" s="483"/>
      <c r="Q505" s="484"/>
      <c r="R505" s="517"/>
      <c r="S505" s="518"/>
      <c r="T505" s="487"/>
      <c r="U505" s="488"/>
      <c r="V505" s="492"/>
      <c r="W505" s="483"/>
      <c r="X505" s="495"/>
      <c r="Y505" s="484"/>
      <c r="Z505" s="498"/>
      <c r="AA505" s="502"/>
      <c r="AB505" s="503"/>
      <c r="AC505" s="471" t="s">
        <v>259</v>
      </c>
      <c r="AD505" s="472"/>
      <c r="AE505" s="473"/>
      <c r="AF505" s="100"/>
      <c r="AG505" s="100"/>
      <c r="AH505" s="100"/>
      <c r="AI505" s="100"/>
      <c r="AJ505" s="100"/>
      <c r="AK505" s="100"/>
      <c r="AL505" s="100"/>
      <c r="AM505" s="100"/>
      <c r="AN505" s="100"/>
      <c r="AO505" s="100"/>
      <c r="AP505" s="100"/>
      <c r="AQ505" s="101"/>
      <c r="AR505" s="104">
        <f t="shared" ref="AR505:AR506" si="907">SUM(AF505:AQ505)</f>
        <v>0</v>
      </c>
      <c r="AS505" s="128" t="s">
        <v>261</v>
      </c>
      <c r="AT505" s="129"/>
      <c r="AU505" s="129"/>
      <c r="AV505" s="129"/>
      <c r="AW505" s="130"/>
      <c r="AX505" s="126">
        <f t="shared" si="905"/>
        <v>0</v>
      </c>
      <c r="AY505" s="143" t="s">
        <v>261</v>
      </c>
      <c r="AZ505" s="139"/>
      <c r="BA505" s="139"/>
      <c r="BB505" s="136">
        <f t="shared" si="906"/>
        <v>0</v>
      </c>
      <c r="BC505" s="474" t="s">
        <v>262</v>
      </c>
      <c r="BD505" s="475"/>
      <c r="BE505" s="14"/>
      <c r="BF505" s="17"/>
      <c r="BG505" s="14"/>
      <c r="BH505" s="17"/>
      <c r="BI505" s="14"/>
      <c r="BJ505" s="17"/>
      <c r="BK505" s="14"/>
      <c r="BL505" s="17"/>
      <c r="BM505" s="14"/>
      <c r="BN505" s="17"/>
      <c r="BO505" s="14"/>
      <c r="BP505" s="17"/>
      <c r="BQ505" s="108">
        <f t="shared" si="882"/>
        <v>0</v>
      </c>
      <c r="BR505" s="567"/>
      <c r="BS505" s="571"/>
      <c r="BT505" s="572"/>
      <c r="BU505" s="558"/>
      <c r="BV505" s="561"/>
      <c r="BW505" s="564"/>
      <c r="BX505" s="616"/>
    </row>
    <row r="506" spans="1:76" ht="15.75" thickBot="1" x14ac:dyDescent="0.3">
      <c r="A506" s="587"/>
      <c r="B506" s="592"/>
      <c r="C506" s="593"/>
      <c r="D506" s="606"/>
      <c r="E506" s="519"/>
      <c r="F506" s="520"/>
      <c r="G506" s="525"/>
      <c r="H506" s="526"/>
      <c r="I506" s="531"/>
      <c r="J506" s="532"/>
      <c r="K506" s="514"/>
      <c r="L506" s="535"/>
      <c r="M506" s="538"/>
      <c r="N506" s="543"/>
      <c r="O506" s="544"/>
      <c r="P506" s="485"/>
      <c r="Q506" s="486"/>
      <c r="R506" s="519"/>
      <c r="S506" s="520"/>
      <c r="T506" s="489"/>
      <c r="U506" s="490"/>
      <c r="V506" s="493"/>
      <c r="W506" s="485"/>
      <c r="X506" s="496"/>
      <c r="Y506" s="486"/>
      <c r="Z506" s="499"/>
      <c r="AA506" s="504"/>
      <c r="AB506" s="505"/>
      <c r="AC506" s="476" t="s">
        <v>261</v>
      </c>
      <c r="AD506" s="477"/>
      <c r="AE506" s="478"/>
      <c r="AF506" s="102"/>
      <c r="AG506" s="102"/>
      <c r="AH506" s="102"/>
      <c r="AI506" s="102"/>
      <c r="AJ506" s="102"/>
      <c r="AK506" s="102"/>
      <c r="AL506" s="102"/>
      <c r="AM506" s="102"/>
      <c r="AN506" s="102"/>
      <c r="AO506" s="102"/>
      <c r="AP506" s="102"/>
      <c r="AQ506" s="103"/>
      <c r="AR506" s="105">
        <f t="shared" si="907"/>
        <v>0</v>
      </c>
      <c r="AS506" s="131" t="s">
        <v>161</v>
      </c>
      <c r="AT506" s="132">
        <f t="shared" ref="AT506:AX506" si="908">SUM(AT503:AT505)</f>
        <v>0</v>
      </c>
      <c r="AU506" s="132">
        <f t="shared" si="908"/>
        <v>0</v>
      </c>
      <c r="AV506" s="132">
        <f t="shared" si="908"/>
        <v>0</v>
      </c>
      <c r="AW506" s="133">
        <f t="shared" si="908"/>
        <v>0</v>
      </c>
      <c r="AX506" s="127">
        <f t="shared" si="908"/>
        <v>0</v>
      </c>
      <c r="AY506" s="144" t="s">
        <v>161</v>
      </c>
      <c r="AZ506" s="140">
        <f t="shared" ref="AZ506:BB506" si="909">SUM(AZ503:AZ505)</f>
        <v>0</v>
      </c>
      <c r="BA506" s="140">
        <f t="shared" si="909"/>
        <v>0</v>
      </c>
      <c r="BB506" s="140">
        <f t="shared" si="909"/>
        <v>0</v>
      </c>
      <c r="BC506" s="479" t="s">
        <v>263</v>
      </c>
      <c r="BD506" s="480"/>
      <c r="BE506" s="15"/>
      <c r="BF506" s="18"/>
      <c r="BG506" s="15"/>
      <c r="BH506" s="18"/>
      <c r="BI506" s="15"/>
      <c r="BJ506" s="18"/>
      <c r="BK506" s="15"/>
      <c r="BL506" s="18"/>
      <c r="BM506" s="15"/>
      <c r="BN506" s="18"/>
      <c r="BO506" s="15"/>
      <c r="BP506" s="18"/>
      <c r="BQ506" s="109">
        <f t="shared" si="882"/>
        <v>0</v>
      </c>
      <c r="BR506" s="568"/>
      <c r="BS506" s="573"/>
      <c r="BT506" s="574"/>
      <c r="BU506" s="559"/>
      <c r="BV506" s="562"/>
      <c r="BW506" s="565"/>
      <c r="BX506" s="617"/>
    </row>
    <row r="507" spans="1:76" ht="15.75" thickTop="1" x14ac:dyDescent="0.25">
      <c r="A507" s="585">
        <v>125</v>
      </c>
      <c r="B507" s="588"/>
      <c r="C507" s="589"/>
      <c r="D507" s="604"/>
      <c r="E507" s="515"/>
      <c r="F507" s="516"/>
      <c r="G507" s="521"/>
      <c r="H507" s="522"/>
      <c r="I507" s="527"/>
      <c r="J507" s="528"/>
      <c r="K507" s="512" t="e">
        <f t="shared" ref="K507" si="910">INT(YEARFRAC(I507,AA507))</f>
        <v>#VALUE!</v>
      </c>
      <c r="L507" s="533">
        <f t="shared" ref="L507" ca="1" si="911">INT(YEARFRAC(I507,TODAY()))</f>
        <v>121</v>
      </c>
      <c r="M507" s="536"/>
      <c r="N507" s="539"/>
      <c r="O507" s="540"/>
      <c r="P507" s="481"/>
      <c r="Q507" s="482"/>
      <c r="R507" s="515"/>
      <c r="S507" s="516"/>
      <c r="T507" s="487"/>
      <c r="U507" s="488"/>
      <c r="V507" s="491"/>
      <c r="W507" s="481"/>
      <c r="X507" s="494"/>
      <c r="Y507" s="482"/>
      <c r="Z507" s="497"/>
      <c r="AA507" s="500" t="s">
        <v>366</v>
      </c>
      <c r="AB507" s="501"/>
      <c r="AC507" s="506" t="s">
        <v>257</v>
      </c>
      <c r="AD507" s="507"/>
      <c r="AE507" s="507"/>
      <c r="AF507" s="510"/>
      <c r="AG507" s="510"/>
      <c r="AH507" s="510"/>
      <c r="AI507" s="510"/>
      <c r="AJ507" s="510"/>
      <c r="AK507" s="510"/>
      <c r="AL507" s="510"/>
      <c r="AM507" s="510"/>
      <c r="AN507" s="510"/>
      <c r="AO507" s="510"/>
      <c r="AP507" s="510"/>
      <c r="AQ507" s="465"/>
      <c r="AR507" s="467">
        <f t="shared" ref="AR507" si="912">SUM(AF507:AQ508)</f>
        <v>0</v>
      </c>
      <c r="AS507" s="119" t="s">
        <v>257</v>
      </c>
      <c r="AT507" s="120"/>
      <c r="AU507" s="120"/>
      <c r="AV507" s="120"/>
      <c r="AW507" s="121"/>
      <c r="AX507" s="125">
        <f t="shared" ref="AX507:AX509" si="913">SUM(AT507:AW507)</f>
        <v>0</v>
      </c>
      <c r="AY507" s="141" t="s">
        <v>257</v>
      </c>
      <c r="AZ507" s="137"/>
      <c r="BA507" s="137"/>
      <c r="BB507" s="134">
        <f t="shared" ref="BB507:BB509" si="914">AZ507-BA507</f>
        <v>0</v>
      </c>
      <c r="BC507" s="469" t="s">
        <v>258</v>
      </c>
      <c r="BD507" s="470"/>
      <c r="BE507" s="13"/>
      <c r="BF507" s="16"/>
      <c r="BG507" s="13"/>
      <c r="BH507" s="16"/>
      <c r="BI507" s="13"/>
      <c r="BJ507" s="16"/>
      <c r="BK507" s="13"/>
      <c r="BL507" s="16"/>
      <c r="BM507" s="13"/>
      <c r="BN507" s="16"/>
      <c r="BO507" s="13"/>
      <c r="BP507" s="16"/>
      <c r="BQ507" s="106">
        <f t="shared" si="882"/>
        <v>0</v>
      </c>
      <c r="BR507" s="566"/>
      <c r="BS507" s="569"/>
      <c r="BT507" s="570"/>
      <c r="BU507" s="557"/>
      <c r="BV507" s="560"/>
      <c r="BW507" s="563"/>
      <c r="BX507" s="615"/>
    </row>
    <row r="508" spans="1:76" x14ac:dyDescent="0.25">
      <c r="A508" s="586"/>
      <c r="B508" s="590"/>
      <c r="C508" s="591"/>
      <c r="D508" s="605"/>
      <c r="E508" s="517"/>
      <c r="F508" s="518"/>
      <c r="G508" s="523"/>
      <c r="H508" s="524"/>
      <c r="I508" s="529"/>
      <c r="J508" s="530"/>
      <c r="K508" s="513"/>
      <c r="L508" s="534"/>
      <c r="M508" s="537"/>
      <c r="N508" s="541"/>
      <c r="O508" s="542"/>
      <c r="P508" s="483"/>
      <c r="Q508" s="484"/>
      <c r="R508" s="517"/>
      <c r="S508" s="518"/>
      <c r="T508" s="487"/>
      <c r="U508" s="488"/>
      <c r="V508" s="492"/>
      <c r="W508" s="483"/>
      <c r="X508" s="495"/>
      <c r="Y508" s="484"/>
      <c r="Z508" s="498"/>
      <c r="AA508" s="502"/>
      <c r="AB508" s="503"/>
      <c r="AC508" s="508"/>
      <c r="AD508" s="509"/>
      <c r="AE508" s="509"/>
      <c r="AF508" s="511"/>
      <c r="AG508" s="511"/>
      <c r="AH508" s="511"/>
      <c r="AI508" s="511"/>
      <c r="AJ508" s="511"/>
      <c r="AK508" s="511"/>
      <c r="AL508" s="511"/>
      <c r="AM508" s="511"/>
      <c r="AN508" s="511"/>
      <c r="AO508" s="511"/>
      <c r="AP508" s="511"/>
      <c r="AQ508" s="466"/>
      <c r="AR508" s="468"/>
      <c r="AS508" s="122" t="s">
        <v>259</v>
      </c>
      <c r="AT508" s="123"/>
      <c r="AU508" s="123"/>
      <c r="AV508" s="123"/>
      <c r="AW508" s="124"/>
      <c r="AX508" s="126">
        <f t="shared" si="913"/>
        <v>0</v>
      </c>
      <c r="AY508" s="142" t="s">
        <v>259</v>
      </c>
      <c r="AZ508" s="138"/>
      <c r="BA508" s="138"/>
      <c r="BB508" s="135">
        <f t="shared" si="914"/>
        <v>0</v>
      </c>
      <c r="BC508" s="474" t="s">
        <v>260</v>
      </c>
      <c r="BD508" s="475"/>
      <c r="BE508" s="14"/>
      <c r="BF508" s="17"/>
      <c r="BG508" s="14"/>
      <c r="BH508" s="17"/>
      <c r="BI508" s="14"/>
      <c r="BJ508" s="17"/>
      <c r="BK508" s="14"/>
      <c r="BL508" s="17"/>
      <c r="BM508" s="14"/>
      <c r="BN508" s="17"/>
      <c r="BO508" s="14"/>
      <c r="BP508" s="17"/>
      <c r="BQ508" s="107">
        <f t="shared" si="882"/>
        <v>0</v>
      </c>
      <c r="BR508" s="567"/>
      <c r="BS508" s="571"/>
      <c r="BT508" s="572"/>
      <c r="BU508" s="558"/>
      <c r="BV508" s="561"/>
      <c r="BW508" s="564"/>
      <c r="BX508" s="616"/>
    </row>
    <row r="509" spans="1:76" ht="15.75" thickBot="1" x14ac:dyDescent="0.3">
      <c r="A509" s="586"/>
      <c r="B509" s="590"/>
      <c r="C509" s="591"/>
      <c r="D509" s="605"/>
      <c r="E509" s="517"/>
      <c r="F509" s="518"/>
      <c r="G509" s="523"/>
      <c r="H509" s="524"/>
      <c r="I509" s="529"/>
      <c r="J509" s="530"/>
      <c r="K509" s="513"/>
      <c r="L509" s="534"/>
      <c r="M509" s="537"/>
      <c r="N509" s="541"/>
      <c r="O509" s="542"/>
      <c r="P509" s="483"/>
      <c r="Q509" s="484"/>
      <c r="R509" s="517"/>
      <c r="S509" s="518"/>
      <c r="T509" s="487"/>
      <c r="U509" s="488"/>
      <c r="V509" s="492"/>
      <c r="W509" s="483"/>
      <c r="X509" s="495"/>
      <c r="Y509" s="484"/>
      <c r="Z509" s="498"/>
      <c r="AA509" s="502"/>
      <c r="AB509" s="503"/>
      <c r="AC509" s="471" t="s">
        <v>259</v>
      </c>
      <c r="AD509" s="472"/>
      <c r="AE509" s="473"/>
      <c r="AF509" s="100"/>
      <c r="AG509" s="100"/>
      <c r="AH509" s="100"/>
      <c r="AI509" s="100"/>
      <c r="AJ509" s="100"/>
      <c r="AK509" s="100"/>
      <c r="AL509" s="100"/>
      <c r="AM509" s="100"/>
      <c r="AN509" s="100"/>
      <c r="AO509" s="100"/>
      <c r="AP509" s="100"/>
      <c r="AQ509" s="101"/>
      <c r="AR509" s="104">
        <f t="shared" ref="AR509:AR510" si="915">SUM(AF509:AQ509)</f>
        <v>0</v>
      </c>
      <c r="AS509" s="128" t="s">
        <v>261</v>
      </c>
      <c r="AT509" s="129"/>
      <c r="AU509" s="129"/>
      <c r="AV509" s="129"/>
      <c r="AW509" s="130"/>
      <c r="AX509" s="126">
        <f t="shared" si="913"/>
        <v>0</v>
      </c>
      <c r="AY509" s="143" t="s">
        <v>261</v>
      </c>
      <c r="AZ509" s="139"/>
      <c r="BA509" s="139"/>
      <c r="BB509" s="136">
        <f t="shared" si="914"/>
        <v>0</v>
      </c>
      <c r="BC509" s="474" t="s">
        <v>262</v>
      </c>
      <c r="BD509" s="475"/>
      <c r="BE509" s="14"/>
      <c r="BF509" s="17"/>
      <c r="BG509" s="14"/>
      <c r="BH509" s="17"/>
      <c r="BI509" s="14"/>
      <c r="BJ509" s="17"/>
      <c r="BK509" s="14"/>
      <c r="BL509" s="17"/>
      <c r="BM509" s="14"/>
      <c r="BN509" s="17"/>
      <c r="BO509" s="14"/>
      <c r="BP509" s="17"/>
      <c r="BQ509" s="108">
        <f t="shared" si="882"/>
        <v>0</v>
      </c>
      <c r="BR509" s="567"/>
      <c r="BS509" s="571"/>
      <c r="BT509" s="572"/>
      <c r="BU509" s="558"/>
      <c r="BV509" s="561"/>
      <c r="BW509" s="564"/>
      <c r="BX509" s="616"/>
    </row>
    <row r="510" spans="1:76" ht="15.75" thickBot="1" x14ac:dyDescent="0.3">
      <c r="A510" s="587"/>
      <c r="B510" s="592"/>
      <c r="C510" s="593"/>
      <c r="D510" s="606"/>
      <c r="E510" s="519"/>
      <c r="F510" s="520"/>
      <c r="G510" s="525"/>
      <c r="H510" s="526"/>
      <c r="I510" s="531"/>
      <c r="J510" s="532"/>
      <c r="K510" s="514"/>
      <c r="L510" s="535"/>
      <c r="M510" s="538"/>
      <c r="N510" s="543"/>
      <c r="O510" s="544"/>
      <c r="P510" s="485"/>
      <c r="Q510" s="486"/>
      <c r="R510" s="519"/>
      <c r="S510" s="520"/>
      <c r="T510" s="489"/>
      <c r="U510" s="490"/>
      <c r="V510" s="493"/>
      <c r="W510" s="485"/>
      <c r="X510" s="496"/>
      <c r="Y510" s="486"/>
      <c r="Z510" s="499"/>
      <c r="AA510" s="504"/>
      <c r="AB510" s="505"/>
      <c r="AC510" s="476" t="s">
        <v>261</v>
      </c>
      <c r="AD510" s="477"/>
      <c r="AE510" s="478"/>
      <c r="AF510" s="102"/>
      <c r="AG510" s="102"/>
      <c r="AH510" s="102"/>
      <c r="AI510" s="102"/>
      <c r="AJ510" s="102"/>
      <c r="AK510" s="102"/>
      <c r="AL510" s="102"/>
      <c r="AM510" s="102"/>
      <c r="AN510" s="102"/>
      <c r="AO510" s="102"/>
      <c r="AP510" s="102"/>
      <c r="AQ510" s="103"/>
      <c r="AR510" s="105">
        <f t="shared" si="915"/>
        <v>0</v>
      </c>
      <c r="AS510" s="131" t="s">
        <v>161</v>
      </c>
      <c r="AT510" s="132">
        <f t="shared" ref="AT510:AX510" si="916">SUM(AT507:AT509)</f>
        <v>0</v>
      </c>
      <c r="AU510" s="132">
        <f t="shared" si="916"/>
        <v>0</v>
      </c>
      <c r="AV510" s="132">
        <f t="shared" si="916"/>
        <v>0</v>
      </c>
      <c r="AW510" s="133">
        <f t="shared" si="916"/>
        <v>0</v>
      </c>
      <c r="AX510" s="127">
        <f t="shared" si="916"/>
        <v>0</v>
      </c>
      <c r="AY510" s="144" t="s">
        <v>161</v>
      </c>
      <c r="AZ510" s="140">
        <f t="shared" ref="AZ510:BB510" si="917">SUM(AZ507:AZ509)</f>
        <v>0</v>
      </c>
      <c r="BA510" s="140">
        <f t="shared" si="917"/>
        <v>0</v>
      </c>
      <c r="BB510" s="140">
        <f t="shared" si="917"/>
        <v>0</v>
      </c>
      <c r="BC510" s="479" t="s">
        <v>263</v>
      </c>
      <c r="BD510" s="480"/>
      <c r="BE510" s="15"/>
      <c r="BF510" s="18"/>
      <c r="BG510" s="15"/>
      <c r="BH510" s="18"/>
      <c r="BI510" s="15"/>
      <c r="BJ510" s="18"/>
      <c r="BK510" s="15"/>
      <c r="BL510" s="18"/>
      <c r="BM510" s="15"/>
      <c r="BN510" s="18"/>
      <c r="BO510" s="15"/>
      <c r="BP510" s="18"/>
      <c r="BQ510" s="109">
        <f t="shared" si="882"/>
        <v>0</v>
      </c>
      <c r="BR510" s="568"/>
      <c r="BS510" s="573"/>
      <c r="BT510" s="574"/>
      <c r="BU510" s="559"/>
      <c r="BV510" s="562"/>
      <c r="BW510" s="565"/>
      <c r="BX510" s="617"/>
    </row>
    <row r="511" spans="1:76" ht="15.75" thickTop="1" x14ac:dyDescent="0.25">
      <c r="A511" s="585">
        <v>126</v>
      </c>
      <c r="B511" s="588"/>
      <c r="C511" s="589"/>
      <c r="D511" s="604"/>
      <c r="E511" s="515"/>
      <c r="F511" s="516"/>
      <c r="G511" s="521"/>
      <c r="H511" s="522"/>
      <c r="I511" s="527"/>
      <c r="J511" s="528"/>
      <c r="K511" s="512" t="e">
        <f t="shared" ref="K511" si="918">INT(YEARFRAC(I511,AA511))</f>
        <v>#VALUE!</v>
      </c>
      <c r="L511" s="533">
        <f t="shared" ref="L511" ca="1" si="919">INT(YEARFRAC(I511,TODAY()))</f>
        <v>121</v>
      </c>
      <c r="M511" s="536"/>
      <c r="N511" s="539"/>
      <c r="O511" s="540"/>
      <c r="P511" s="481"/>
      <c r="Q511" s="482"/>
      <c r="R511" s="515"/>
      <c r="S511" s="516"/>
      <c r="T511" s="487"/>
      <c r="U511" s="488"/>
      <c r="V511" s="491"/>
      <c r="W511" s="481"/>
      <c r="X511" s="494"/>
      <c r="Y511" s="482"/>
      <c r="Z511" s="497"/>
      <c r="AA511" s="500" t="s">
        <v>367</v>
      </c>
      <c r="AB511" s="501"/>
      <c r="AC511" s="506" t="s">
        <v>257</v>
      </c>
      <c r="AD511" s="507"/>
      <c r="AE511" s="507"/>
      <c r="AF511" s="510"/>
      <c r="AG511" s="510"/>
      <c r="AH511" s="510"/>
      <c r="AI511" s="510"/>
      <c r="AJ511" s="510"/>
      <c r="AK511" s="510"/>
      <c r="AL511" s="510"/>
      <c r="AM511" s="510"/>
      <c r="AN511" s="510"/>
      <c r="AO511" s="510"/>
      <c r="AP511" s="510"/>
      <c r="AQ511" s="465"/>
      <c r="AR511" s="467">
        <f t="shared" ref="AR511" si="920">SUM(AF511:AQ512)</f>
        <v>0</v>
      </c>
      <c r="AS511" s="119" t="s">
        <v>257</v>
      </c>
      <c r="AT511" s="120"/>
      <c r="AU511" s="120"/>
      <c r="AV511" s="120"/>
      <c r="AW511" s="121"/>
      <c r="AX511" s="125">
        <f t="shared" ref="AX511:AX513" si="921">SUM(AT511:AW511)</f>
        <v>0</v>
      </c>
      <c r="AY511" s="141" t="s">
        <v>257</v>
      </c>
      <c r="AZ511" s="137"/>
      <c r="BA511" s="137"/>
      <c r="BB511" s="134">
        <f t="shared" ref="BB511:BB513" si="922">AZ511-BA511</f>
        <v>0</v>
      </c>
      <c r="BC511" s="469" t="s">
        <v>258</v>
      </c>
      <c r="BD511" s="470"/>
      <c r="BE511" s="13"/>
      <c r="BF511" s="16"/>
      <c r="BG511" s="13"/>
      <c r="BH511" s="16"/>
      <c r="BI511" s="13"/>
      <c r="BJ511" s="16"/>
      <c r="BK511" s="13"/>
      <c r="BL511" s="16"/>
      <c r="BM511" s="13"/>
      <c r="BN511" s="16"/>
      <c r="BO511" s="13"/>
      <c r="BP511" s="16"/>
      <c r="BQ511" s="106">
        <f t="shared" si="882"/>
        <v>0</v>
      </c>
      <c r="BR511" s="566"/>
      <c r="BS511" s="569"/>
      <c r="BT511" s="570"/>
      <c r="BU511" s="557"/>
      <c r="BV511" s="560"/>
      <c r="BW511" s="563"/>
      <c r="BX511" s="615"/>
    </row>
    <row r="512" spans="1:76" x14ac:dyDescent="0.25">
      <c r="A512" s="586"/>
      <c r="B512" s="590"/>
      <c r="C512" s="591"/>
      <c r="D512" s="605"/>
      <c r="E512" s="517"/>
      <c r="F512" s="518"/>
      <c r="G512" s="523"/>
      <c r="H512" s="524"/>
      <c r="I512" s="529"/>
      <c r="J512" s="530"/>
      <c r="K512" s="513"/>
      <c r="L512" s="534"/>
      <c r="M512" s="537"/>
      <c r="N512" s="541"/>
      <c r="O512" s="542"/>
      <c r="P512" s="483"/>
      <c r="Q512" s="484"/>
      <c r="R512" s="517"/>
      <c r="S512" s="518"/>
      <c r="T512" s="487"/>
      <c r="U512" s="488"/>
      <c r="V512" s="492"/>
      <c r="W512" s="483"/>
      <c r="X512" s="495"/>
      <c r="Y512" s="484"/>
      <c r="Z512" s="498"/>
      <c r="AA512" s="502"/>
      <c r="AB512" s="503"/>
      <c r="AC512" s="508"/>
      <c r="AD512" s="509"/>
      <c r="AE512" s="509"/>
      <c r="AF512" s="511"/>
      <c r="AG512" s="511"/>
      <c r="AH512" s="511"/>
      <c r="AI512" s="511"/>
      <c r="AJ512" s="511"/>
      <c r="AK512" s="511"/>
      <c r="AL512" s="511"/>
      <c r="AM512" s="511"/>
      <c r="AN512" s="511"/>
      <c r="AO512" s="511"/>
      <c r="AP512" s="511"/>
      <c r="AQ512" s="466"/>
      <c r="AR512" s="468"/>
      <c r="AS512" s="122" t="s">
        <v>259</v>
      </c>
      <c r="AT512" s="123"/>
      <c r="AU512" s="123"/>
      <c r="AV512" s="123"/>
      <c r="AW512" s="124"/>
      <c r="AX512" s="126">
        <f t="shared" si="921"/>
        <v>0</v>
      </c>
      <c r="AY512" s="142" t="s">
        <v>259</v>
      </c>
      <c r="AZ512" s="138"/>
      <c r="BA512" s="138"/>
      <c r="BB512" s="135">
        <f t="shared" si="922"/>
        <v>0</v>
      </c>
      <c r="BC512" s="474" t="s">
        <v>260</v>
      </c>
      <c r="BD512" s="475"/>
      <c r="BE512" s="14"/>
      <c r="BF512" s="17"/>
      <c r="BG512" s="14"/>
      <c r="BH512" s="17"/>
      <c r="BI512" s="14"/>
      <c r="BJ512" s="17"/>
      <c r="BK512" s="14"/>
      <c r="BL512" s="17"/>
      <c r="BM512" s="14"/>
      <c r="BN512" s="17"/>
      <c r="BO512" s="14"/>
      <c r="BP512" s="17"/>
      <c r="BQ512" s="107">
        <f t="shared" si="882"/>
        <v>0</v>
      </c>
      <c r="BR512" s="567"/>
      <c r="BS512" s="571"/>
      <c r="BT512" s="572"/>
      <c r="BU512" s="558"/>
      <c r="BV512" s="561"/>
      <c r="BW512" s="564"/>
      <c r="BX512" s="616"/>
    </row>
    <row r="513" spans="1:76" ht="15.75" thickBot="1" x14ac:dyDescent="0.3">
      <c r="A513" s="586"/>
      <c r="B513" s="590"/>
      <c r="C513" s="591"/>
      <c r="D513" s="605"/>
      <c r="E513" s="517"/>
      <c r="F513" s="518"/>
      <c r="G513" s="523"/>
      <c r="H513" s="524"/>
      <c r="I513" s="529"/>
      <c r="J513" s="530"/>
      <c r="K513" s="513"/>
      <c r="L513" s="534"/>
      <c r="M513" s="537"/>
      <c r="N513" s="541"/>
      <c r="O513" s="542"/>
      <c r="P513" s="483"/>
      <c r="Q513" s="484"/>
      <c r="R513" s="517"/>
      <c r="S513" s="518"/>
      <c r="T513" s="487"/>
      <c r="U513" s="488"/>
      <c r="V513" s="492"/>
      <c r="W513" s="483"/>
      <c r="X513" s="495"/>
      <c r="Y513" s="484"/>
      <c r="Z513" s="498"/>
      <c r="AA513" s="502"/>
      <c r="AB513" s="503"/>
      <c r="AC513" s="471" t="s">
        <v>259</v>
      </c>
      <c r="AD513" s="472"/>
      <c r="AE513" s="473"/>
      <c r="AF513" s="100"/>
      <c r="AG513" s="100"/>
      <c r="AH513" s="100"/>
      <c r="AI513" s="100"/>
      <c r="AJ513" s="100"/>
      <c r="AK513" s="100"/>
      <c r="AL513" s="100"/>
      <c r="AM513" s="100"/>
      <c r="AN513" s="100"/>
      <c r="AO513" s="100"/>
      <c r="AP513" s="100"/>
      <c r="AQ513" s="101"/>
      <c r="AR513" s="104">
        <f t="shared" ref="AR513:AR514" si="923">SUM(AF513:AQ513)</f>
        <v>0</v>
      </c>
      <c r="AS513" s="128" t="s">
        <v>261</v>
      </c>
      <c r="AT513" s="129"/>
      <c r="AU513" s="129"/>
      <c r="AV513" s="129"/>
      <c r="AW513" s="130"/>
      <c r="AX513" s="126">
        <f t="shared" si="921"/>
        <v>0</v>
      </c>
      <c r="AY513" s="143" t="s">
        <v>261</v>
      </c>
      <c r="AZ513" s="139"/>
      <c r="BA513" s="139"/>
      <c r="BB513" s="136">
        <f t="shared" si="922"/>
        <v>0</v>
      </c>
      <c r="BC513" s="474" t="s">
        <v>262</v>
      </c>
      <c r="BD513" s="475"/>
      <c r="BE513" s="14"/>
      <c r="BF513" s="17"/>
      <c r="BG513" s="14"/>
      <c r="BH513" s="17"/>
      <c r="BI513" s="14"/>
      <c r="BJ513" s="17"/>
      <c r="BK513" s="14"/>
      <c r="BL513" s="17"/>
      <c r="BM513" s="14"/>
      <c r="BN513" s="17"/>
      <c r="BO513" s="14"/>
      <c r="BP513" s="17"/>
      <c r="BQ513" s="108">
        <f t="shared" si="882"/>
        <v>0</v>
      </c>
      <c r="BR513" s="567"/>
      <c r="BS513" s="571"/>
      <c r="BT513" s="572"/>
      <c r="BU513" s="558"/>
      <c r="BV513" s="561"/>
      <c r="BW513" s="564"/>
      <c r="BX513" s="616"/>
    </row>
    <row r="514" spans="1:76" ht="15.75" thickBot="1" x14ac:dyDescent="0.3">
      <c r="A514" s="587"/>
      <c r="B514" s="592"/>
      <c r="C514" s="593"/>
      <c r="D514" s="606"/>
      <c r="E514" s="519"/>
      <c r="F514" s="520"/>
      <c r="G514" s="525"/>
      <c r="H514" s="526"/>
      <c r="I514" s="531"/>
      <c r="J514" s="532"/>
      <c r="K514" s="514"/>
      <c r="L514" s="535"/>
      <c r="M514" s="538"/>
      <c r="N514" s="543"/>
      <c r="O514" s="544"/>
      <c r="P514" s="485"/>
      <c r="Q514" s="486"/>
      <c r="R514" s="519"/>
      <c r="S514" s="520"/>
      <c r="T514" s="489"/>
      <c r="U514" s="490"/>
      <c r="V514" s="493"/>
      <c r="W514" s="485"/>
      <c r="X514" s="496"/>
      <c r="Y514" s="486"/>
      <c r="Z514" s="499"/>
      <c r="AA514" s="504"/>
      <c r="AB514" s="505"/>
      <c r="AC514" s="476" t="s">
        <v>261</v>
      </c>
      <c r="AD514" s="477"/>
      <c r="AE514" s="478"/>
      <c r="AF514" s="102"/>
      <c r="AG514" s="102"/>
      <c r="AH514" s="102"/>
      <c r="AI514" s="102"/>
      <c r="AJ514" s="102"/>
      <c r="AK514" s="102"/>
      <c r="AL514" s="102"/>
      <c r="AM514" s="102"/>
      <c r="AN514" s="102"/>
      <c r="AO514" s="102"/>
      <c r="AP514" s="102"/>
      <c r="AQ514" s="103"/>
      <c r="AR514" s="105">
        <f t="shared" si="923"/>
        <v>0</v>
      </c>
      <c r="AS514" s="131" t="s">
        <v>161</v>
      </c>
      <c r="AT514" s="132">
        <f t="shared" ref="AT514:AX514" si="924">SUM(AT511:AT513)</f>
        <v>0</v>
      </c>
      <c r="AU514" s="132">
        <f t="shared" si="924"/>
        <v>0</v>
      </c>
      <c r="AV514" s="132">
        <f t="shared" si="924"/>
        <v>0</v>
      </c>
      <c r="AW514" s="133">
        <f t="shared" si="924"/>
        <v>0</v>
      </c>
      <c r="AX514" s="127">
        <f t="shared" si="924"/>
        <v>0</v>
      </c>
      <c r="AY514" s="144" t="s">
        <v>161</v>
      </c>
      <c r="AZ514" s="140">
        <f t="shared" ref="AZ514:BB514" si="925">SUM(AZ511:AZ513)</f>
        <v>0</v>
      </c>
      <c r="BA514" s="140">
        <f t="shared" si="925"/>
        <v>0</v>
      </c>
      <c r="BB514" s="140">
        <f t="shared" si="925"/>
        <v>0</v>
      </c>
      <c r="BC514" s="479" t="s">
        <v>263</v>
      </c>
      <c r="BD514" s="480"/>
      <c r="BE514" s="15"/>
      <c r="BF514" s="18"/>
      <c r="BG514" s="15"/>
      <c r="BH514" s="18"/>
      <c r="BI514" s="15"/>
      <c r="BJ514" s="18"/>
      <c r="BK514" s="15"/>
      <c r="BL514" s="18"/>
      <c r="BM514" s="15"/>
      <c r="BN514" s="18"/>
      <c r="BO514" s="15"/>
      <c r="BP514" s="18"/>
      <c r="BQ514" s="109">
        <f t="shared" si="882"/>
        <v>0</v>
      </c>
      <c r="BR514" s="568"/>
      <c r="BS514" s="573"/>
      <c r="BT514" s="574"/>
      <c r="BU514" s="559"/>
      <c r="BV514" s="562"/>
      <c r="BW514" s="565"/>
      <c r="BX514" s="617"/>
    </row>
    <row r="515" spans="1:76" ht="15.75" thickTop="1" x14ac:dyDescent="0.25">
      <c r="A515" s="585">
        <v>127</v>
      </c>
      <c r="B515" s="588"/>
      <c r="C515" s="589"/>
      <c r="D515" s="604"/>
      <c r="E515" s="515"/>
      <c r="F515" s="516"/>
      <c r="G515" s="521"/>
      <c r="H515" s="522"/>
      <c r="I515" s="527"/>
      <c r="J515" s="528"/>
      <c r="K515" s="512" t="e">
        <f t="shared" ref="K515" si="926">INT(YEARFRAC(I515,AA515))</f>
        <v>#VALUE!</v>
      </c>
      <c r="L515" s="533">
        <f t="shared" ref="L515" ca="1" si="927">INT(YEARFRAC(I515,TODAY()))</f>
        <v>121</v>
      </c>
      <c r="M515" s="536"/>
      <c r="N515" s="539"/>
      <c r="O515" s="540"/>
      <c r="P515" s="481"/>
      <c r="Q515" s="482"/>
      <c r="R515" s="515"/>
      <c r="S515" s="516"/>
      <c r="T515" s="487"/>
      <c r="U515" s="488"/>
      <c r="V515" s="491"/>
      <c r="W515" s="481"/>
      <c r="X515" s="494"/>
      <c r="Y515" s="482"/>
      <c r="Z515" s="497"/>
      <c r="AA515" s="500" t="s">
        <v>368</v>
      </c>
      <c r="AB515" s="501"/>
      <c r="AC515" s="506" t="s">
        <v>257</v>
      </c>
      <c r="AD515" s="507"/>
      <c r="AE515" s="507"/>
      <c r="AF515" s="510"/>
      <c r="AG515" s="510"/>
      <c r="AH515" s="510"/>
      <c r="AI515" s="510"/>
      <c r="AJ515" s="510"/>
      <c r="AK515" s="510"/>
      <c r="AL515" s="510"/>
      <c r="AM515" s="510"/>
      <c r="AN515" s="510"/>
      <c r="AO515" s="510"/>
      <c r="AP515" s="510"/>
      <c r="AQ515" s="465"/>
      <c r="AR515" s="467">
        <f t="shared" ref="AR515" si="928">SUM(AF515:AQ516)</f>
        <v>0</v>
      </c>
      <c r="AS515" s="119" t="s">
        <v>257</v>
      </c>
      <c r="AT515" s="120"/>
      <c r="AU515" s="120"/>
      <c r="AV515" s="120"/>
      <c r="AW515" s="121"/>
      <c r="AX515" s="125">
        <f t="shared" ref="AX515:AX517" si="929">SUM(AT515:AW515)</f>
        <v>0</v>
      </c>
      <c r="AY515" s="141" t="s">
        <v>257</v>
      </c>
      <c r="AZ515" s="137"/>
      <c r="BA515" s="137"/>
      <c r="BB515" s="134">
        <f t="shared" ref="BB515:BB517" si="930">AZ515-BA515</f>
        <v>0</v>
      </c>
      <c r="BC515" s="469" t="s">
        <v>258</v>
      </c>
      <c r="BD515" s="470"/>
      <c r="BE515" s="13"/>
      <c r="BF515" s="16"/>
      <c r="BG515" s="13"/>
      <c r="BH515" s="16"/>
      <c r="BI515" s="13"/>
      <c r="BJ515" s="16"/>
      <c r="BK515" s="13"/>
      <c r="BL515" s="16"/>
      <c r="BM515" s="13"/>
      <c r="BN515" s="16"/>
      <c r="BO515" s="13"/>
      <c r="BP515" s="16"/>
      <c r="BQ515" s="106">
        <f t="shared" si="882"/>
        <v>0</v>
      </c>
      <c r="BR515" s="566"/>
      <c r="BS515" s="569"/>
      <c r="BT515" s="570"/>
      <c r="BU515" s="557"/>
      <c r="BV515" s="560"/>
      <c r="BW515" s="563"/>
      <c r="BX515" s="615"/>
    </row>
    <row r="516" spans="1:76" x14ac:dyDescent="0.25">
      <c r="A516" s="586"/>
      <c r="B516" s="590"/>
      <c r="C516" s="591"/>
      <c r="D516" s="605"/>
      <c r="E516" s="517"/>
      <c r="F516" s="518"/>
      <c r="G516" s="523"/>
      <c r="H516" s="524"/>
      <c r="I516" s="529"/>
      <c r="J516" s="530"/>
      <c r="K516" s="513"/>
      <c r="L516" s="534"/>
      <c r="M516" s="537"/>
      <c r="N516" s="541"/>
      <c r="O516" s="542"/>
      <c r="P516" s="483"/>
      <c r="Q516" s="484"/>
      <c r="R516" s="517"/>
      <c r="S516" s="518"/>
      <c r="T516" s="487"/>
      <c r="U516" s="488"/>
      <c r="V516" s="492"/>
      <c r="W516" s="483"/>
      <c r="X516" s="495"/>
      <c r="Y516" s="484"/>
      <c r="Z516" s="498"/>
      <c r="AA516" s="502"/>
      <c r="AB516" s="503"/>
      <c r="AC516" s="508"/>
      <c r="AD516" s="509"/>
      <c r="AE516" s="509"/>
      <c r="AF516" s="511"/>
      <c r="AG516" s="511"/>
      <c r="AH516" s="511"/>
      <c r="AI516" s="511"/>
      <c r="AJ516" s="511"/>
      <c r="AK516" s="511"/>
      <c r="AL516" s="511"/>
      <c r="AM516" s="511"/>
      <c r="AN516" s="511"/>
      <c r="AO516" s="511"/>
      <c r="AP516" s="511"/>
      <c r="AQ516" s="466"/>
      <c r="AR516" s="468"/>
      <c r="AS516" s="122" t="s">
        <v>259</v>
      </c>
      <c r="AT516" s="123"/>
      <c r="AU516" s="123"/>
      <c r="AV516" s="123"/>
      <c r="AW516" s="124"/>
      <c r="AX516" s="126">
        <f t="shared" si="929"/>
        <v>0</v>
      </c>
      <c r="AY516" s="142" t="s">
        <v>259</v>
      </c>
      <c r="AZ516" s="138"/>
      <c r="BA516" s="138"/>
      <c r="BB516" s="135">
        <f t="shared" si="930"/>
        <v>0</v>
      </c>
      <c r="BC516" s="474" t="s">
        <v>260</v>
      </c>
      <c r="BD516" s="475"/>
      <c r="BE516" s="14"/>
      <c r="BF516" s="17"/>
      <c r="BG516" s="14"/>
      <c r="BH516" s="17"/>
      <c r="BI516" s="14"/>
      <c r="BJ516" s="17"/>
      <c r="BK516" s="14"/>
      <c r="BL516" s="17"/>
      <c r="BM516" s="14"/>
      <c r="BN516" s="17"/>
      <c r="BO516" s="14"/>
      <c r="BP516" s="17"/>
      <c r="BQ516" s="107">
        <f t="shared" si="882"/>
        <v>0</v>
      </c>
      <c r="BR516" s="567"/>
      <c r="BS516" s="571"/>
      <c r="BT516" s="572"/>
      <c r="BU516" s="558"/>
      <c r="BV516" s="561"/>
      <c r="BW516" s="564"/>
      <c r="BX516" s="616"/>
    </row>
    <row r="517" spans="1:76" ht="15.75" thickBot="1" x14ac:dyDescent="0.3">
      <c r="A517" s="586"/>
      <c r="B517" s="590"/>
      <c r="C517" s="591"/>
      <c r="D517" s="605"/>
      <c r="E517" s="517"/>
      <c r="F517" s="518"/>
      <c r="G517" s="523"/>
      <c r="H517" s="524"/>
      <c r="I517" s="529"/>
      <c r="J517" s="530"/>
      <c r="K517" s="513"/>
      <c r="L517" s="534"/>
      <c r="M517" s="537"/>
      <c r="N517" s="541"/>
      <c r="O517" s="542"/>
      <c r="P517" s="483"/>
      <c r="Q517" s="484"/>
      <c r="R517" s="517"/>
      <c r="S517" s="518"/>
      <c r="T517" s="487"/>
      <c r="U517" s="488"/>
      <c r="V517" s="492"/>
      <c r="W517" s="483"/>
      <c r="X517" s="495"/>
      <c r="Y517" s="484"/>
      <c r="Z517" s="498"/>
      <c r="AA517" s="502"/>
      <c r="AB517" s="503"/>
      <c r="AC517" s="471" t="s">
        <v>259</v>
      </c>
      <c r="AD517" s="472"/>
      <c r="AE517" s="473"/>
      <c r="AF517" s="100"/>
      <c r="AG517" s="100"/>
      <c r="AH517" s="100"/>
      <c r="AI517" s="100"/>
      <c r="AJ517" s="100"/>
      <c r="AK517" s="100"/>
      <c r="AL517" s="100"/>
      <c r="AM517" s="100"/>
      <c r="AN517" s="100"/>
      <c r="AO517" s="100"/>
      <c r="AP517" s="100"/>
      <c r="AQ517" s="101"/>
      <c r="AR517" s="104">
        <f t="shared" ref="AR517:AR518" si="931">SUM(AF517:AQ517)</f>
        <v>0</v>
      </c>
      <c r="AS517" s="128" t="s">
        <v>261</v>
      </c>
      <c r="AT517" s="129"/>
      <c r="AU517" s="129"/>
      <c r="AV517" s="129"/>
      <c r="AW517" s="130"/>
      <c r="AX517" s="126">
        <f t="shared" si="929"/>
        <v>0</v>
      </c>
      <c r="AY517" s="143" t="s">
        <v>261</v>
      </c>
      <c r="AZ517" s="139"/>
      <c r="BA517" s="139"/>
      <c r="BB517" s="136">
        <f t="shared" si="930"/>
        <v>0</v>
      </c>
      <c r="BC517" s="474" t="s">
        <v>262</v>
      </c>
      <c r="BD517" s="475"/>
      <c r="BE517" s="14"/>
      <c r="BF517" s="17"/>
      <c r="BG517" s="14"/>
      <c r="BH517" s="17"/>
      <c r="BI517" s="14"/>
      <c r="BJ517" s="17"/>
      <c r="BK517" s="14"/>
      <c r="BL517" s="17"/>
      <c r="BM517" s="14"/>
      <c r="BN517" s="17"/>
      <c r="BO517" s="14"/>
      <c r="BP517" s="17"/>
      <c r="BQ517" s="108">
        <f t="shared" si="882"/>
        <v>0</v>
      </c>
      <c r="BR517" s="567"/>
      <c r="BS517" s="571"/>
      <c r="BT517" s="572"/>
      <c r="BU517" s="558"/>
      <c r="BV517" s="561"/>
      <c r="BW517" s="564"/>
      <c r="BX517" s="616"/>
    </row>
    <row r="518" spans="1:76" ht="15.75" thickBot="1" x14ac:dyDescent="0.3">
      <c r="A518" s="587"/>
      <c r="B518" s="592"/>
      <c r="C518" s="593"/>
      <c r="D518" s="606"/>
      <c r="E518" s="519"/>
      <c r="F518" s="520"/>
      <c r="G518" s="525"/>
      <c r="H518" s="526"/>
      <c r="I518" s="531"/>
      <c r="J518" s="532"/>
      <c r="K518" s="514"/>
      <c r="L518" s="535"/>
      <c r="M518" s="538"/>
      <c r="N518" s="543"/>
      <c r="O518" s="544"/>
      <c r="P518" s="485"/>
      <c r="Q518" s="486"/>
      <c r="R518" s="519"/>
      <c r="S518" s="520"/>
      <c r="T518" s="489"/>
      <c r="U518" s="490"/>
      <c r="V518" s="493"/>
      <c r="W518" s="485"/>
      <c r="X518" s="496"/>
      <c r="Y518" s="486"/>
      <c r="Z518" s="499"/>
      <c r="AA518" s="504"/>
      <c r="AB518" s="505"/>
      <c r="AC518" s="476" t="s">
        <v>261</v>
      </c>
      <c r="AD518" s="477"/>
      <c r="AE518" s="478"/>
      <c r="AF518" s="102"/>
      <c r="AG518" s="102"/>
      <c r="AH518" s="102"/>
      <c r="AI518" s="102"/>
      <c r="AJ518" s="102"/>
      <c r="AK518" s="102"/>
      <c r="AL518" s="102"/>
      <c r="AM518" s="102"/>
      <c r="AN518" s="102"/>
      <c r="AO518" s="102"/>
      <c r="AP518" s="102"/>
      <c r="AQ518" s="103"/>
      <c r="AR518" s="105">
        <f t="shared" si="931"/>
        <v>0</v>
      </c>
      <c r="AS518" s="131" t="s">
        <v>161</v>
      </c>
      <c r="AT518" s="132">
        <f t="shared" ref="AT518:AX518" si="932">SUM(AT515:AT517)</f>
        <v>0</v>
      </c>
      <c r="AU518" s="132">
        <f t="shared" si="932"/>
        <v>0</v>
      </c>
      <c r="AV518" s="132">
        <f t="shared" si="932"/>
        <v>0</v>
      </c>
      <c r="AW518" s="133">
        <f t="shared" si="932"/>
        <v>0</v>
      </c>
      <c r="AX518" s="127">
        <f t="shared" si="932"/>
        <v>0</v>
      </c>
      <c r="AY518" s="144" t="s">
        <v>161</v>
      </c>
      <c r="AZ518" s="140">
        <f t="shared" ref="AZ518:BB518" si="933">SUM(AZ515:AZ517)</f>
        <v>0</v>
      </c>
      <c r="BA518" s="140">
        <f t="shared" si="933"/>
        <v>0</v>
      </c>
      <c r="BB518" s="140">
        <f t="shared" si="933"/>
        <v>0</v>
      </c>
      <c r="BC518" s="479" t="s">
        <v>263</v>
      </c>
      <c r="BD518" s="480"/>
      <c r="BE518" s="15"/>
      <c r="BF518" s="18"/>
      <c r="BG518" s="15"/>
      <c r="BH518" s="18"/>
      <c r="BI518" s="15"/>
      <c r="BJ518" s="18"/>
      <c r="BK518" s="15"/>
      <c r="BL518" s="18"/>
      <c r="BM518" s="15"/>
      <c r="BN518" s="18"/>
      <c r="BO518" s="15"/>
      <c r="BP518" s="18"/>
      <c r="BQ518" s="109">
        <f t="shared" si="882"/>
        <v>0</v>
      </c>
      <c r="BR518" s="568"/>
      <c r="BS518" s="573"/>
      <c r="BT518" s="574"/>
      <c r="BU518" s="559"/>
      <c r="BV518" s="562"/>
      <c r="BW518" s="565"/>
      <c r="BX518" s="617"/>
    </row>
    <row r="519" spans="1:76" ht="15.75" thickTop="1" x14ac:dyDescent="0.25">
      <c r="A519" s="585">
        <v>128</v>
      </c>
      <c r="B519" s="588"/>
      <c r="C519" s="589"/>
      <c r="D519" s="604"/>
      <c r="E519" s="515"/>
      <c r="F519" s="516"/>
      <c r="G519" s="521"/>
      <c r="H519" s="522"/>
      <c r="I519" s="527"/>
      <c r="J519" s="528"/>
      <c r="K519" s="512" t="e">
        <f t="shared" ref="K519" si="934">INT(YEARFRAC(I519,AA519))</f>
        <v>#VALUE!</v>
      </c>
      <c r="L519" s="533">
        <f t="shared" ref="L519" ca="1" si="935">INT(YEARFRAC(I519,TODAY()))</f>
        <v>121</v>
      </c>
      <c r="M519" s="536"/>
      <c r="N519" s="539"/>
      <c r="O519" s="540"/>
      <c r="P519" s="481"/>
      <c r="Q519" s="482"/>
      <c r="R519" s="515"/>
      <c r="S519" s="516"/>
      <c r="T519" s="487"/>
      <c r="U519" s="488"/>
      <c r="V519" s="491"/>
      <c r="W519" s="481"/>
      <c r="X519" s="494"/>
      <c r="Y519" s="482"/>
      <c r="Z519" s="497"/>
      <c r="AA519" s="500" t="s">
        <v>369</v>
      </c>
      <c r="AB519" s="501"/>
      <c r="AC519" s="506" t="s">
        <v>257</v>
      </c>
      <c r="AD519" s="507"/>
      <c r="AE519" s="507"/>
      <c r="AF519" s="510"/>
      <c r="AG519" s="510"/>
      <c r="AH519" s="510"/>
      <c r="AI519" s="510"/>
      <c r="AJ519" s="510"/>
      <c r="AK519" s="510"/>
      <c r="AL519" s="510"/>
      <c r="AM519" s="510"/>
      <c r="AN519" s="510"/>
      <c r="AO519" s="510"/>
      <c r="AP519" s="510"/>
      <c r="AQ519" s="465"/>
      <c r="AR519" s="467">
        <f t="shared" ref="AR519" si="936">SUM(AF519:AQ520)</f>
        <v>0</v>
      </c>
      <c r="AS519" s="119" t="s">
        <v>257</v>
      </c>
      <c r="AT519" s="120"/>
      <c r="AU519" s="120"/>
      <c r="AV519" s="120"/>
      <c r="AW519" s="121"/>
      <c r="AX519" s="125">
        <f t="shared" ref="AX519:AX521" si="937">SUM(AT519:AW519)</f>
        <v>0</v>
      </c>
      <c r="AY519" s="141" t="s">
        <v>257</v>
      </c>
      <c r="AZ519" s="137"/>
      <c r="BA519" s="137"/>
      <c r="BB519" s="134">
        <f t="shared" ref="BB519:BB521" si="938">AZ519-BA519</f>
        <v>0</v>
      </c>
      <c r="BC519" s="469" t="s">
        <v>258</v>
      </c>
      <c r="BD519" s="470"/>
      <c r="BE519" s="13"/>
      <c r="BF519" s="16"/>
      <c r="BG519" s="13"/>
      <c r="BH519" s="16"/>
      <c r="BI519" s="13"/>
      <c r="BJ519" s="16"/>
      <c r="BK519" s="13"/>
      <c r="BL519" s="16"/>
      <c r="BM519" s="13"/>
      <c r="BN519" s="16"/>
      <c r="BO519" s="13"/>
      <c r="BP519" s="16"/>
      <c r="BQ519" s="106">
        <f t="shared" si="882"/>
        <v>0</v>
      </c>
      <c r="BR519" s="566"/>
      <c r="BS519" s="569"/>
      <c r="BT519" s="570"/>
      <c r="BU519" s="557"/>
      <c r="BV519" s="560"/>
      <c r="BW519" s="563"/>
      <c r="BX519" s="615"/>
    </row>
    <row r="520" spans="1:76" x14ac:dyDescent="0.25">
      <c r="A520" s="586"/>
      <c r="B520" s="590"/>
      <c r="C520" s="591"/>
      <c r="D520" s="605"/>
      <c r="E520" s="517"/>
      <c r="F520" s="518"/>
      <c r="G520" s="523"/>
      <c r="H520" s="524"/>
      <c r="I520" s="529"/>
      <c r="J520" s="530"/>
      <c r="K520" s="513"/>
      <c r="L520" s="534"/>
      <c r="M520" s="537"/>
      <c r="N520" s="541"/>
      <c r="O520" s="542"/>
      <c r="P520" s="483"/>
      <c r="Q520" s="484"/>
      <c r="R520" s="517"/>
      <c r="S520" s="518"/>
      <c r="T520" s="487"/>
      <c r="U520" s="488"/>
      <c r="V520" s="492"/>
      <c r="W520" s="483"/>
      <c r="X520" s="495"/>
      <c r="Y520" s="484"/>
      <c r="Z520" s="498"/>
      <c r="AA520" s="502"/>
      <c r="AB520" s="503"/>
      <c r="AC520" s="508"/>
      <c r="AD520" s="509"/>
      <c r="AE520" s="509"/>
      <c r="AF520" s="511"/>
      <c r="AG520" s="511"/>
      <c r="AH520" s="511"/>
      <c r="AI520" s="511"/>
      <c r="AJ520" s="511"/>
      <c r="AK520" s="511"/>
      <c r="AL520" s="511"/>
      <c r="AM520" s="511"/>
      <c r="AN520" s="511"/>
      <c r="AO520" s="511"/>
      <c r="AP520" s="511"/>
      <c r="AQ520" s="466"/>
      <c r="AR520" s="468"/>
      <c r="AS520" s="122" t="s">
        <v>259</v>
      </c>
      <c r="AT520" s="123"/>
      <c r="AU520" s="123"/>
      <c r="AV520" s="123"/>
      <c r="AW520" s="124"/>
      <c r="AX520" s="126">
        <f t="shared" si="937"/>
        <v>0</v>
      </c>
      <c r="AY520" s="142" t="s">
        <v>259</v>
      </c>
      <c r="AZ520" s="138"/>
      <c r="BA520" s="138"/>
      <c r="BB520" s="135">
        <f t="shared" si="938"/>
        <v>0</v>
      </c>
      <c r="BC520" s="474" t="s">
        <v>260</v>
      </c>
      <c r="BD520" s="475"/>
      <c r="BE520" s="14"/>
      <c r="BF520" s="17"/>
      <c r="BG520" s="14"/>
      <c r="BH520" s="17"/>
      <c r="BI520" s="14"/>
      <c r="BJ520" s="17"/>
      <c r="BK520" s="14"/>
      <c r="BL520" s="17"/>
      <c r="BM520" s="14"/>
      <c r="BN520" s="17"/>
      <c r="BO520" s="14"/>
      <c r="BP520" s="17"/>
      <c r="BQ520" s="107">
        <f t="shared" si="882"/>
        <v>0</v>
      </c>
      <c r="BR520" s="567"/>
      <c r="BS520" s="571"/>
      <c r="BT520" s="572"/>
      <c r="BU520" s="558"/>
      <c r="BV520" s="561"/>
      <c r="BW520" s="564"/>
      <c r="BX520" s="616"/>
    </row>
    <row r="521" spans="1:76" ht="15.75" thickBot="1" x14ac:dyDescent="0.3">
      <c r="A521" s="586"/>
      <c r="B521" s="590"/>
      <c r="C521" s="591"/>
      <c r="D521" s="605"/>
      <c r="E521" s="517"/>
      <c r="F521" s="518"/>
      <c r="G521" s="523"/>
      <c r="H521" s="524"/>
      <c r="I521" s="529"/>
      <c r="J521" s="530"/>
      <c r="K521" s="513"/>
      <c r="L521" s="534"/>
      <c r="M521" s="537"/>
      <c r="N521" s="541"/>
      <c r="O521" s="542"/>
      <c r="P521" s="483"/>
      <c r="Q521" s="484"/>
      <c r="R521" s="517"/>
      <c r="S521" s="518"/>
      <c r="T521" s="487"/>
      <c r="U521" s="488"/>
      <c r="V521" s="492"/>
      <c r="W521" s="483"/>
      <c r="X521" s="495"/>
      <c r="Y521" s="484"/>
      <c r="Z521" s="498"/>
      <c r="AA521" s="502"/>
      <c r="AB521" s="503"/>
      <c r="AC521" s="471" t="s">
        <v>259</v>
      </c>
      <c r="AD521" s="472"/>
      <c r="AE521" s="473"/>
      <c r="AF521" s="100"/>
      <c r="AG521" s="100"/>
      <c r="AH521" s="100"/>
      <c r="AI521" s="100"/>
      <c r="AJ521" s="100"/>
      <c r="AK521" s="100"/>
      <c r="AL521" s="100"/>
      <c r="AM521" s="100"/>
      <c r="AN521" s="100"/>
      <c r="AO521" s="100"/>
      <c r="AP521" s="100"/>
      <c r="AQ521" s="101"/>
      <c r="AR521" s="104">
        <f t="shared" ref="AR521:AR522" si="939">SUM(AF521:AQ521)</f>
        <v>0</v>
      </c>
      <c r="AS521" s="128" t="s">
        <v>261</v>
      </c>
      <c r="AT521" s="129"/>
      <c r="AU521" s="129"/>
      <c r="AV521" s="129"/>
      <c r="AW521" s="130"/>
      <c r="AX521" s="126">
        <f t="shared" si="937"/>
        <v>0</v>
      </c>
      <c r="AY521" s="143" t="s">
        <v>261</v>
      </c>
      <c r="AZ521" s="139"/>
      <c r="BA521" s="139"/>
      <c r="BB521" s="136">
        <f t="shared" si="938"/>
        <v>0</v>
      </c>
      <c r="BC521" s="474" t="s">
        <v>262</v>
      </c>
      <c r="BD521" s="475"/>
      <c r="BE521" s="14"/>
      <c r="BF521" s="17"/>
      <c r="BG521" s="14"/>
      <c r="BH521" s="17"/>
      <c r="BI521" s="14"/>
      <c r="BJ521" s="17"/>
      <c r="BK521" s="14"/>
      <c r="BL521" s="17"/>
      <c r="BM521" s="14"/>
      <c r="BN521" s="17"/>
      <c r="BO521" s="14"/>
      <c r="BP521" s="17"/>
      <c r="BQ521" s="108">
        <f t="shared" si="882"/>
        <v>0</v>
      </c>
      <c r="BR521" s="567"/>
      <c r="BS521" s="571"/>
      <c r="BT521" s="572"/>
      <c r="BU521" s="558"/>
      <c r="BV521" s="561"/>
      <c r="BW521" s="564"/>
      <c r="BX521" s="616"/>
    </row>
    <row r="522" spans="1:76" ht="15.75" thickBot="1" x14ac:dyDescent="0.3">
      <c r="A522" s="587"/>
      <c r="B522" s="592"/>
      <c r="C522" s="593"/>
      <c r="D522" s="606"/>
      <c r="E522" s="519"/>
      <c r="F522" s="520"/>
      <c r="G522" s="525"/>
      <c r="H522" s="526"/>
      <c r="I522" s="531"/>
      <c r="J522" s="532"/>
      <c r="K522" s="514"/>
      <c r="L522" s="535"/>
      <c r="M522" s="538"/>
      <c r="N522" s="543"/>
      <c r="O522" s="544"/>
      <c r="P522" s="485"/>
      <c r="Q522" s="486"/>
      <c r="R522" s="519"/>
      <c r="S522" s="520"/>
      <c r="T522" s="489"/>
      <c r="U522" s="490"/>
      <c r="V522" s="493"/>
      <c r="W522" s="485"/>
      <c r="X522" s="496"/>
      <c r="Y522" s="486"/>
      <c r="Z522" s="499"/>
      <c r="AA522" s="504"/>
      <c r="AB522" s="505"/>
      <c r="AC522" s="476" t="s">
        <v>261</v>
      </c>
      <c r="AD522" s="477"/>
      <c r="AE522" s="478"/>
      <c r="AF522" s="102"/>
      <c r="AG522" s="102"/>
      <c r="AH522" s="102"/>
      <c r="AI522" s="102"/>
      <c r="AJ522" s="102"/>
      <c r="AK522" s="102"/>
      <c r="AL522" s="102"/>
      <c r="AM522" s="102"/>
      <c r="AN522" s="102"/>
      <c r="AO522" s="102"/>
      <c r="AP522" s="102"/>
      <c r="AQ522" s="103"/>
      <c r="AR522" s="105">
        <f t="shared" si="939"/>
        <v>0</v>
      </c>
      <c r="AS522" s="131" t="s">
        <v>161</v>
      </c>
      <c r="AT522" s="132">
        <f t="shared" ref="AT522:AX522" si="940">SUM(AT519:AT521)</f>
        <v>0</v>
      </c>
      <c r="AU522" s="132">
        <f t="shared" si="940"/>
        <v>0</v>
      </c>
      <c r="AV522" s="132">
        <f t="shared" si="940"/>
        <v>0</v>
      </c>
      <c r="AW522" s="133">
        <f t="shared" si="940"/>
        <v>0</v>
      </c>
      <c r="AX522" s="127">
        <f t="shared" si="940"/>
        <v>0</v>
      </c>
      <c r="AY522" s="144" t="s">
        <v>161</v>
      </c>
      <c r="AZ522" s="140">
        <f t="shared" ref="AZ522:BB522" si="941">SUM(AZ519:AZ521)</f>
        <v>0</v>
      </c>
      <c r="BA522" s="140">
        <f t="shared" si="941"/>
        <v>0</v>
      </c>
      <c r="BB522" s="140">
        <f t="shared" si="941"/>
        <v>0</v>
      </c>
      <c r="BC522" s="479" t="s">
        <v>263</v>
      </c>
      <c r="BD522" s="480"/>
      <c r="BE522" s="15"/>
      <c r="BF522" s="18"/>
      <c r="BG522" s="15"/>
      <c r="BH522" s="18"/>
      <c r="BI522" s="15"/>
      <c r="BJ522" s="18"/>
      <c r="BK522" s="15"/>
      <c r="BL522" s="18"/>
      <c r="BM522" s="15"/>
      <c r="BN522" s="18"/>
      <c r="BO522" s="15"/>
      <c r="BP522" s="18"/>
      <c r="BQ522" s="109">
        <f t="shared" si="882"/>
        <v>0</v>
      </c>
      <c r="BR522" s="568"/>
      <c r="BS522" s="573"/>
      <c r="BT522" s="574"/>
      <c r="BU522" s="559"/>
      <c r="BV522" s="562"/>
      <c r="BW522" s="565"/>
      <c r="BX522" s="617"/>
    </row>
    <row r="523" spans="1:76" ht="15.75" thickTop="1" x14ac:dyDescent="0.25">
      <c r="A523" s="585">
        <v>129</v>
      </c>
      <c r="B523" s="588"/>
      <c r="C523" s="589"/>
      <c r="D523" s="604"/>
      <c r="E523" s="515"/>
      <c r="F523" s="516"/>
      <c r="G523" s="521"/>
      <c r="H523" s="522"/>
      <c r="I523" s="527"/>
      <c r="J523" s="528"/>
      <c r="K523" s="512" t="e">
        <f t="shared" ref="K523" si="942">INT(YEARFRAC(I523,AA523))</f>
        <v>#VALUE!</v>
      </c>
      <c r="L523" s="533">
        <f t="shared" ref="L523" ca="1" si="943">INT(YEARFRAC(I523,TODAY()))</f>
        <v>121</v>
      </c>
      <c r="M523" s="536"/>
      <c r="N523" s="539"/>
      <c r="O523" s="540"/>
      <c r="P523" s="481"/>
      <c r="Q523" s="482"/>
      <c r="R523" s="515"/>
      <c r="S523" s="516"/>
      <c r="T523" s="487"/>
      <c r="U523" s="488"/>
      <c r="V523" s="491"/>
      <c r="W523" s="481"/>
      <c r="X523" s="494"/>
      <c r="Y523" s="482"/>
      <c r="Z523" s="497"/>
      <c r="AA523" s="500" t="s">
        <v>370</v>
      </c>
      <c r="AB523" s="501"/>
      <c r="AC523" s="506" t="s">
        <v>257</v>
      </c>
      <c r="AD523" s="507"/>
      <c r="AE523" s="507"/>
      <c r="AF523" s="510"/>
      <c r="AG523" s="510"/>
      <c r="AH523" s="510"/>
      <c r="AI523" s="510"/>
      <c r="AJ523" s="510"/>
      <c r="AK523" s="510"/>
      <c r="AL523" s="510"/>
      <c r="AM523" s="510"/>
      <c r="AN523" s="510"/>
      <c r="AO523" s="510"/>
      <c r="AP523" s="510"/>
      <c r="AQ523" s="465"/>
      <c r="AR523" s="467">
        <f t="shared" ref="AR523" si="944">SUM(AF523:AQ524)</f>
        <v>0</v>
      </c>
      <c r="AS523" s="119" t="s">
        <v>257</v>
      </c>
      <c r="AT523" s="120"/>
      <c r="AU523" s="120"/>
      <c r="AV523" s="120"/>
      <c r="AW523" s="121"/>
      <c r="AX523" s="125">
        <f t="shared" ref="AX523:AX525" si="945">SUM(AT523:AW523)</f>
        <v>0</v>
      </c>
      <c r="AY523" s="141" t="s">
        <v>257</v>
      </c>
      <c r="AZ523" s="137"/>
      <c r="BA523" s="137"/>
      <c r="BB523" s="134">
        <f t="shared" ref="BB523:BB525" si="946">AZ523-BA523</f>
        <v>0</v>
      </c>
      <c r="BC523" s="469" t="s">
        <v>258</v>
      </c>
      <c r="BD523" s="470"/>
      <c r="BE523" s="13"/>
      <c r="BF523" s="16"/>
      <c r="BG523" s="13"/>
      <c r="BH523" s="16"/>
      <c r="BI523" s="13"/>
      <c r="BJ523" s="16"/>
      <c r="BK523" s="13"/>
      <c r="BL523" s="16"/>
      <c r="BM523" s="13"/>
      <c r="BN523" s="16"/>
      <c r="BO523" s="13"/>
      <c r="BP523" s="16"/>
      <c r="BQ523" s="106">
        <f t="shared" si="882"/>
        <v>0</v>
      </c>
      <c r="BR523" s="566"/>
      <c r="BS523" s="569"/>
      <c r="BT523" s="570"/>
      <c r="BU523" s="557"/>
      <c r="BV523" s="560"/>
      <c r="BW523" s="563"/>
      <c r="BX523" s="615"/>
    </row>
    <row r="524" spans="1:76" x14ac:dyDescent="0.25">
      <c r="A524" s="586"/>
      <c r="B524" s="590"/>
      <c r="C524" s="591"/>
      <c r="D524" s="605"/>
      <c r="E524" s="517"/>
      <c r="F524" s="518"/>
      <c r="G524" s="523"/>
      <c r="H524" s="524"/>
      <c r="I524" s="529"/>
      <c r="J524" s="530"/>
      <c r="K524" s="513"/>
      <c r="L524" s="534"/>
      <c r="M524" s="537"/>
      <c r="N524" s="541"/>
      <c r="O524" s="542"/>
      <c r="P524" s="483"/>
      <c r="Q524" s="484"/>
      <c r="R524" s="517"/>
      <c r="S524" s="518"/>
      <c r="T524" s="487"/>
      <c r="U524" s="488"/>
      <c r="V524" s="492"/>
      <c r="W524" s="483"/>
      <c r="X524" s="495"/>
      <c r="Y524" s="484"/>
      <c r="Z524" s="498"/>
      <c r="AA524" s="502"/>
      <c r="AB524" s="503"/>
      <c r="AC524" s="508"/>
      <c r="AD524" s="509"/>
      <c r="AE524" s="509"/>
      <c r="AF524" s="511"/>
      <c r="AG524" s="511"/>
      <c r="AH524" s="511"/>
      <c r="AI524" s="511"/>
      <c r="AJ524" s="511"/>
      <c r="AK524" s="511"/>
      <c r="AL524" s="511"/>
      <c r="AM524" s="511"/>
      <c r="AN524" s="511"/>
      <c r="AO524" s="511"/>
      <c r="AP524" s="511"/>
      <c r="AQ524" s="466"/>
      <c r="AR524" s="468"/>
      <c r="AS524" s="122" t="s">
        <v>259</v>
      </c>
      <c r="AT524" s="123"/>
      <c r="AU524" s="123"/>
      <c r="AV524" s="123"/>
      <c r="AW524" s="124"/>
      <c r="AX524" s="126">
        <f t="shared" si="945"/>
        <v>0</v>
      </c>
      <c r="AY524" s="142" t="s">
        <v>259</v>
      </c>
      <c r="AZ524" s="138"/>
      <c r="BA524" s="138"/>
      <c r="BB524" s="135">
        <f t="shared" si="946"/>
        <v>0</v>
      </c>
      <c r="BC524" s="474" t="s">
        <v>260</v>
      </c>
      <c r="BD524" s="475"/>
      <c r="BE524" s="14"/>
      <c r="BF524" s="17"/>
      <c r="BG524" s="14"/>
      <c r="BH524" s="17"/>
      <c r="BI524" s="14"/>
      <c r="BJ524" s="17"/>
      <c r="BK524" s="14"/>
      <c r="BL524" s="17"/>
      <c r="BM524" s="14"/>
      <c r="BN524" s="17"/>
      <c r="BO524" s="14"/>
      <c r="BP524" s="17"/>
      <c r="BQ524" s="107">
        <f t="shared" si="882"/>
        <v>0</v>
      </c>
      <c r="BR524" s="567"/>
      <c r="BS524" s="571"/>
      <c r="BT524" s="572"/>
      <c r="BU524" s="558"/>
      <c r="BV524" s="561"/>
      <c r="BW524" s="564"/>
      <c r="BX524" s="616"/>
    </row>
    <row r="525" spans="1:76" ht="15.75" thickBot="1" x14ac:dyDescent="0.3">
      <c r="A525" s="586"/>
      <c r="B525" s="590"/>
      <c r="C525" s="591"/>
      <c r="D525" s="605"/>
      <c r="E525" s="517"/>
      <c r="F525" s="518"/>
      <c r="G525" s="523"/>
      <c r="H525" s="524"/>
      <c r="I525" s="529"/>
      <c r="J525" s="530"/>
      <c r="K525" s="513"/>
      <c r="L525" s="534"/>
      <c r="M525" s="537"/>
      <c r="N525" s="541"/>
      <c r="O525" s="542"/>
      <c r="P525" s="483"/>
      <c r="Q525" s="484"/>
      <c r="R525" s="517"/>
      <c r="S525" s="518"/>
      <c r="T525" s="487"/>
      <c r="U525" s="488"/>
      <c r="V525" s="492"/>
      <c r="W525" s="483"/>
      <c r="X525" s="495"/>
      <c r="Y525" s="484"/>
      <c r="Z525" s="498"/>
      <c r="AA525" s="502"/>
      <c r="AB525" s="503"/>
      <c r="AC525" s="471" t="s">
        <v>259</v>
      </c>
      <c r="AD525" s="472"/>
      <c r="AE525" s="473"/>
      <c r="AF525" s="100"/>
      <c r="AG525" s="100"/>
      <c r="AH525" s="100"/>
      <c r="AI525" s="100"/>
      <c r="AJ525" s="100"/>
      <c r="AK525" s="100"/>
      <c r="AL525" s="100"/>
      <c r="AM525" s="100"/>
      <c r="AN525" s="100"/>
      <c r="AO525" s="100"/>
      <c r="AP525" s="100"/>
      <c r="AQ525" s="101"/>
      <c r="AR525" s="104">
        <f t="shared" ref="AR525:AR526" si="947">SUM(AF525:AQ525)</f>
        <v>0</v>
      </c>
      <c r="AS525" s="128" t="s">
        <v>261</v>
      </c>
      <c r="AT525" s="129"/>
      <c r="AU525" s="129"/>
      <c r="AV525" s="129"/>
      <c r="AW525" s="130"/>
      <c r="AX525" s="126">
        <f t="shared" si="945"/>
        <v>0</v>
      </c>
      <c r="AY525" s="143" t="s">
        <v>261</v>
      </c>
      <c r="AZ525" s="139"/>
      <c r="BA525" s="139"/>
      <c r="BB525" s="136">
        <f t="shared" si="946"/>
        <v>0</v>
      </c>
      <c r="BC525" s="474" t="s">
        <v>262</v>
      </c>
      <c r="BD525" s="475"/>
      <c r="BE525" s="14"/>
      <c r="BF525" s="17"/>
      <c r="BG525" s="14"/>
      <c r="BH525" s="17"/>
      <c r="BI525" s="14"/>
      <c r="BJ525" s="17"/>
      <c r="BK525" s="14"/>
      <c r="BL525" s="17"/>
      <c r="BM525" s="14"/>
      <c r="BN525" s="17"/>
      <c r="BO525" s="14"/>
      <c r="BP525" s="17"/>
      <c r="BQ525" s="108">
        <f t="shared" si="882"/>
        <v>0</v>
      </c>
      <c r="BR525" s="567"/>
      <c r="BS525" s="571"/>
      <c r="BT525" s="572"/>
      <c r="BU525" s="558"/>
      <c r="BV525" s="561"/>
      <c r="BW525" s="564"/>
      <c r="BX525" s="616"/>
    </row>
    <row r="526" spans="1:76" ht="15.75" thickBot="1" x14ac:dyDescent="0.3">
      <c r="A526" s="587"/>
      <c r="B526" s="592"/>
      <c r="C526" s="593"/>
      <c r="D526" s="606"/>
      <c r="E526" s="519"/>
      <c r="F526" s="520"/>
      <c r="G526" s="525"/>
      <c r="H526" s="526"/>
      <c r="I526" s="531"/>
      <c r="J526" s="532"/>
      <c r="K526" s="514"/>
      <c r="L526" s="535"/>
      <c r="M526" s="538"/>
      <c r="N526" s="543"/>
      <c r="O526" s="544"/>
      <c r="P526" s="485"/>
      <c r="Q526" s="486"/>
      <c r="R526" s="519"/>
      <c r="S526" s="520"/>
      <c r="T526" s="489"/>
      <c r="U526" s="490"/>
      <c r="V526" s="493"/>
      <c r="W526" s="485"/>
      <c r="X526" s="496"/>
      <c r="Y526" s="486"/>
      <c r="Z526" s="499"/>
      <c r="AA526" s="504"/>
      <c r="AB526" s="505"/>
      <c r="AC526" s="476" t="s">
        <v>261</v>
      </c>
      <c r="AD526" s="477"/>
      <c r="AE526" s="478"/>
      <c r="AF526" s="102"/>
      <c r="AG526" s="102"/>
      <c r="AH526" s="102"/>
      <c r="AI526" s="102"/>
      <c r="AJ526" s="102"/>
      <c r="AK526" s="102"/>
      <c r="AL526" s="102"/>
      <c r="AM526" s="102"/>
      <c r="AN526" s="102"/>
      <c r="AO526" s="102"/>
      <c r="AP526" s="102"/>
      <c r="AQ526" s="103"/>
      <c r="AR526" s="105">
        <f t="shared" si="947"/>
        <v>0</v>
      </c>
      <c r="AS526" s="131" t="s">
        <v>161</v>
      </c>
      <c r="AT526" s="132">
        <f t="shared" ref="AT526:AX526" si="948">SUM(AT523:AT525)</f>
        <v>0</v>
      </c>
      <c r="AU526" s="132">
        <f t="shared" si="948"/>
        <v>0</v>
      </c>
      <c r="AV526" s="132">
        <f t="shared" si="948"/>
        <v>0</v>
      </c>
      <c r="AW526" s="133">
        <f t="shared" si="948"/>
        <v>0</v>
      </c>
      <c r="AX526" s="127">
        <f t="shared" si="948"/>
        <v>0</v>
      </c>
      <c r="AY526" s="144" t="s">
        <v>161</v>
      </c>
      <c r="AZ526" s="140">
        <f t="shared" ref="AZ526:BB526" si="949">SUM(AZ523:AZ525)</f>
        <v>0</v>
      </c>
      <c r="BA526" s="140">
        <f t="shared" si="949"/>
        <v>0</v>
      </c>
      <c r="BB526" s="140">
        <f t="shared" si="949"/>
        <v>0</v>
      </c>
      <c r="BC526" s="479" t="s">
        <v>263</v>
      </c>
      <c r="BD526" s="480"/>
      <c r="BE526" s="15"/>
      <c r="BF526" s="18"/>
      <c r="BG526" s="15"/>
      <c r="BH526" s="18"/>
      <c r="BI526" s="15"/>
      <c r="BJ526" s="18"/>
      <c r="BK526" s="15"/>
      <c r="BL526" s="18"/>
      <c r="BM526" s="15"/>
      <c r="BN526" s="18"/>
      <c r="BO526" s="15"/>
      <c r="BP526" s="18"/>
      <c r="BQ526" s="109">
        <f t="shared" si="882"/>
        <v>0</v>
      </c>
      <c r="BR526" s="568"/>
      <c r="BS526" s="573"/>
      <c r="BT526" s="574"/>
      <c r="BU526" s="559"/>
      <c r="BV526" s="562"/>
      <c r="BW526" s="565"/>
      <c r="BX526" s="617"/>
    </row>
    <row r="527" spans="1:76" ht="15.75" thickTop="1" x14ac:dyDescent="0.25">
      <c r="A527" s="585">
        <v>130</v>
      </c>
      <c r="B527" s="588"/>
      <c r="C527" s="589"/>
      <c r="D527" s="604"/>
      <c r="E527" s="515"/>
      <c r="F527" s="516"/>
      <c r="G527" s="521"/>
      <c r="H527" s="522"/>
      <c r="I527" s="527"/>
      <c r="J527" s="528"/>
      <c r="K527" s="512" t="e">
        <f t="shared" ref="K527" si="950">INT(YEARFRAC(I527,AA527))</f>
        <v>#VALUE!</v>
      </c>
      <c r="L527" s="533">
        <f t="shared" ref="L527" ca="1" si="951">INT(YEARFRAC(I527,TODAY()))</f>
        <v>121</v>
      </c>
      <c r="M527" s="536"/>
      <c r="N527" s="539"/>
      <c r="O527" s="540"/>
      <c r="P527" s="481"/>
      <c r="Q527" s="482"/>
      <c r="R527" s="515"/>
      <c r="S527" s="516"/>
      <c r="T527" s="487"/>
      <c r="U527" s="488"/>
      <c r="V527" s="491"/>
      <c r="W527" s="481"/>
      <c r="X527" s="494"/>
      <c r="Y527" s="482"/>
      <c r="Z527" s="497"/>
      <c r="AA527" s="500" t="s">
        <v>371</v>
      </c>
      <c r="AB527" s="501"/>
      <c r="AC527" s="506" t="s">
        <v>257</v>
      </c>
      <c r="AD527" s="507"/>
      <c r="AE527" s="507"/>
      <c r="AF527" s="510"/>
      <c r="AG527" s="510"/>
      <c r="AH527" s="510"/>
      <c r="AI527" s="510"/>
      <c r="AJ527" s="510"/>
      <c r="AK527" s="510"/>
      <c r="AL527" s="510"/>
      <c r="AM527" s="510"/>
      <c r="AN527" s="510"/>
      <c r="AO527" s="510"/>
      <c r="AP527" s="510"/>
      <c r="AQ527" s="465"/>
      <c r="AR527" s="467">
        <f t="shared" ref="AR527" si="952">SUM(AF527:AQ528)</f>
        <v>0</v>
      </c>
      <c r="AS527" s="119" t="s">
        <v>257</v>
      </c>
      <c r="AT527" s="120"/>
      <c r="AU527" s="120"/>
      <c r="AV527" s="120"/>
      <c r="AW527" s="121"/>
      <c r="AX527" s="125">
        <f t="shared" ref="AX527:AX529" si="953">SUM(AT527:AW527)</f>
        <v>0</v>
      </c>
      <c r="AY527" s="141" t="s">
        <v>257</v>
      </c>
      <c r="AZ527" s="137"/>
      <c r="BA527" s="137"/>
      <c r="BB527" s="134">
        <f t="shared" ref="BB527:BB529" si="954">AZ527-BA527</f>
        <v>0</v>
      </c>
      <c r="BC527" s="469" t="s">
        <v>258</v>
      </c>
      <c r="BD527" s="470"/>
      <c r="BE527" s="13"/>
      <c r="BF527" s="16"/>
      <c r="BG527" s="13"/>
      <c r="BH527" s="16"/>
      <c r="BI527" s="13"/>
      <c r="BJ527" s="16"/>
      <c r="BK527" s="13"/>
      <c r="BL527" s="16"/>
      <c r="BM527" s="13"/>
      <c r="BN527" s="16"/>
      <c r="BO527" s="13"/>
      <c r="BP527" s="16"/>
      <c r="BQ527" s="106">
        <f t="shared" si="882"/>
        <v>0</v>
      </c>
      <c r="BR527" s="566"/>
      <c r="BS527" s="569"/>
      <c r="BT527" s="570"/>
      <c r="BU527" s="557"/>
      <c r="BV527" s="560"/>
      <c r="BW527" s="563"/>
      <c r="BX527" s="615"/>
    </row>
    <row r="528" spans="1:76" x14ac:dyDescent="0.25">
      <c r="A528" s="586"/>
      <c r="B528" s="590"/>
      <c r="C528" s="591"/>
      <c r="D528" s="605"/>
      <c r="E528" s="517"/>
      <c r="F528" s="518"/>
      <c r="G528" s="523"/>
      <c r="H528" s="524"/>
      <c r="I528" s="529"/>
      <c r="J528" s="530"/>
      <c r="K528" s="513"/>
      <c r="L528" s="534"/>
      <c r="M528" s="537"/>
      <c r="N528" s="541"/>
      <c r="O528" s="542"/>
      <c r="P528" s="483"/>
      <c r="Q528" s="484"/>
      <c r="R528" s="517"/>
      <c r="S528" s="518"/>
      <c r="T528" s="487"/>
      <c r="U528" s="488"/>
      <c r="V528" s="492"/>
      <c r="W528" s="483"/>
      <c r="X528" s="495"/>
      <c r="Y528" s="484"/>
      <c r="Z528" s="498"/>
      <c r="AA528" s="502"/>
      <c r="AB528" s="503"/>
      <c r="AC528" s="508"/>
      <c r="AD528" s="509"/>
      <c r="AE528" s="509"/>
      <c r="AF528" s="511"/>
      <c r="AG528" s="511"/>
      <c r="AH528" s="511"/>
      <c r="AI528" s="511"/>
      <c r="AJ528" s="511"/>
      <c r="AK528" s="511"/>
      <c r="AL528" s="511"/>
      <c r="AM528" s="511"/>
      <c r="AN528" s="511"/>
      <c r="AO528" s="511"/>
      <c r="AP528" s="511"/>
      <c r="AQ528" s="466"/>
      <c r="AR528" s="468"/>
      <c r="AS528" s="122" t="s">
        <v>259</v>
      </c>
      <c r="AT528" s="123"/>
      <c r="AU528" s="123"/>
      <c r="AV528" s="123"/>
      <c r="AW528" s="124"/>
      <c r="AX528" s="126">
        <f t="shared" si="953"/>
        <v>0</v>
      </c>
      <c r="AY528" s="142" t="s">
        <v>259</v>
      </c>
      <c r="AZ528" s="138"/>
      <c r="BA528" s="138"/>
      <c r="BB528" s="135">
        <f t="shared" si="954"/>
        <v>0</v>
      </c>
      <c r="BC528" s="474" t="s">
        <v>260</v>
      </c>
      <c r="BD528" s="475"/>
      <c r="BE528" s="14"/>
      <c r="BF528" s="17"/>
      <c r="BG528" s="14"/>
      <c r="BH528" s="17"/>
      <c r="BI528" s="14"/>
      <c r="BJ528" s="17"/>
      <c r="BK528" s="14"/>
      <c r="BL528" s="17"/>
      <c r="BM528" s="14"/>
      <c r="BN528" s="17"/>
      <c r="BO528" s="14"/>
      <c r="BP528" s="17"/>
      <c r="BQ528" s="107">
        <f t="shared" si="882"/>
        <v>0</v>
      </c>
      <c r="BR528" s="567"/>
      <c r="BS528" s="571"/>
      <c r="BT528" s="572"/>
      <c r="BU528" s="558"/>
      <c r="BV528" s="561"/>
      <c r="BW528" s="564"/>
      <c r="BX528" s="616"/>
    </row>
    <row r="529" spans="1:76" ht="15.75" thickBot="1" x14ac:dyDescent="0.3">
      <c r="A529" s="586"/>
      <c r="B529" s="590"/>
      <c r="C529" s="591"/>
      <c r="D529" s="605"/>
      <c r="E529" s="517"/>
      <c r="F529" s="518"/>
      <c r="G529" s="523"/>
      <c r="H529" s="524"/>
      <c r="I529" s="529"/>
      <c r="J529" s="530"/>
      <c r="K529" s="513"/>
      <c r="L529" s="534"/>
      <c r="M529" s="537"/>
      <c r="N529" s="541"/>
      <c r="O529" s="542"/>
      <c r="P529" s="483"/>
      <c r="Q529" s="484"/>
      <c r="R529" s="517"/>
      <c r="S529" s="518"/>
      <c r="T529" s="487"/>
      <c r="U529" s="488"/>
      <c r="V529" s="492"/>
      <c r="W529" s="483"/>
      <c r="X529" s="495"/>
      <c r="Y529" s="484"/>
      <c r="Z529" s="498"/>
      <c r="AA529" s="502"/>
      <c r="AB529" s="503"/>
      <c r="AC529" s="471" t="s">
        <v>259</v>
      </c>
      <c r="AD529" s="472"/>
      <c r="AE529" s="473"/>
      <c r="AF529" s="100"/>
      <c r="AG529" s="100"/>
      <c r="AH529" s="100"/>
      <c r="AI529" s="100"/>
      <c r="AJ529" s="100"/>
      <c r="AK529" s="100"/>
      <c r="AL529" s="100"/>
      <c r="AM529" s="100"/>
      <c r="AN529" s="100"/>
      <c r="AO529" s="100"/>
      <c r="AP529" s="100"/>
      <c r="AQ529" s="101"/>
      <c r="AR529" s="104">
        <f t="shared" ref="AR529:AR530" si="955">SUM(AF529:AQ529)</f>
        <v>0</v>
      </c>
      <c r="AS529" s="128" t="s">
        <v>261</v>
      </c>
      <c r="AT529" s="129"/>
      <c r="AU529" s="129"/>
      <c r="AV529" s="129"/>
      <c r="AW529" s="130"/>
      <c r="AX529" s="126">
        <f t="shared" si="953"/>
        <v>0</v>
      </c>
      <c r="AY529" s="143" t="s">
        <v>261</v>
      </c>
      <c r="AZ529" s="139"/>
      <c r="BA529" s="139"/>
      <c r="BB529" s="136">
        <f t="shared" si="954"/>
        <v>0</v>
      </c>
      <c r="BC529" s="474" t="s">
        <v>262</v>
      </c>
      <c r="BD529" s="475"/>
      <c r="BE529" s="14"/>
      <c r="BF529" s="17"/>
      <c r="BG529" s="14"/>
      <c r="BH529" s="17"/>
      <c r="BI529" s="14"/>
      <c r="BJ529" s="17"/>
      <c r="BK529" s="14"/>
      <c r="BL529" s="17"/>
      <c r="BM529" s="14"/>
      <c r="BN529" s="17"/>
      <c r="BO529" s="14"/>
      <c r="BP529" s="17"/>
      <c r="BQ529" s="108">
        <f t="shared" si="882"/>
        <v>0</v>
      </c>
      <c r="BR529" s="567"/>
      <c r="BS529" s="571"/>
      <c r="BT529" s="572"/>
      <c r="BU529" s="558"/>
      <c r="BV529" s="561"/>
      <c r="BW529" s="564"/>
      <c r="BX529" s="616"/>
    </row>
    <row r="530" spans="1:76" ht="15.75" thickBot="1" x14ac:dyDescent="0.3">
      <c r="A530" s="587"/>
      <c r="B530" s="592"/>
      <c r="C530" s="593"/>
      <c r="D530" s="606"/>
      <c r="E530" s="519"/>
      <c r="F530" s="520"/>
      <c r="G530" s="525"/>
      <c r="H530" s="526"/>
      <c r="I530" s="531"/>
      <c r="J530" s="532"/>
      <c r="K530" s="514"/>
      <c r="L530" s="535"/>
      <c r="M530" s="538"/>
      <c r="N530" s="543"/>
      <c r="O530" s="544"/>
      <c r="P530" s="485"/>
      <c r="Q530" s="486"/>
      <c r="R530" s="519"/>
      <c r="S530" s="520"/>
      <c r="T530" s="489"/>
      <c r="U530" s="490"/>
      <c r="V530" s="493"/>
      <c r="W530" s="485"/>
      <c r="X530" s="496"/>
      <c r="Y530" s="486"/>
      <c r="Z530" s="499"/>
      <c r="AA530" s="504"/>
      <c r="AB530" s="505"/>
      <c r="AC530" s="476" t="s">
        <v>261</v>
      </c>
      <c r="AD530" s="477"/>
      <c r="AE530" s="478"/>
      <c r="AF530" s="102"/>
      <c r="AG530" s="102"/>
      <c r="AH530" s="102"/>
      <c r="AI530" s="102"/>
      <c r="AJ530" s="102"/>
      <c r="AK530" s="102"/>
      <c r="AL530" s="102"/>
      <c r="AM530" s="102"/>
      <c r="AN530" s="102"/>
      <c r="AO530" s="102"/>
      <c r="AP530" s="102"/>
      <c r="AQ530" s="103"/>
      <c r="AR530" s="105">
        <f t="shared" si="955"/>
        <v>0</v>
      </c>
      <c r="AS530" s="131" t="s">
        <v>161</v>
      </c>
      <c r="AT530" s="132">
        <f t="shared" ref="AT530:AX530" si="956">SUM(AT527:AT529)</f>
        <v>0</v>
      </c>
      <c r="AU530" s="132">
        <f t="shared" si="956"/>
        <v>0</v>
      </c>
      <c r="AV530" s="132">
        <f t="shared" si="956"/>
        <v>0</v>
      </c>
      <c r="AW530" s="133">
        <f t="shared" si="956"/>
        <v>0</v>
      </c>
      <c r="AX530" s="127">
        <f t="shared" si="956"/>
        <v>0</v>
      </c>
      <c r="AY530" s="144" t="s">
        <v>161</v>
      </c>
      <c r="AZ530" s="140">
        <f t="shared" ref="AZ530:BB530" si="957">SUM(AZ527:AZ529)</f>
        <v>0</v>
      </c>
      <c r="BA530" s="140">
        <f t="shared" si="957"/>
        <v>0</v>
      </c>
      <c r="BB530" s="140">
        <f t="shared" si="957"/>
        <v>0</v>
      </c>
      <c r="BC530" s="479" t="s">
        <v>263</v>
      </c>
      <c r="BD530" s="480"/>
      <c r="BE530" s="15"/>
      <c r="BF530" s="18"/>
      <c r="BG530" s="15"/>
      <c r="BH530" s="18"/>
      <c r="BI530" s="15"/>
      <c r="BJ530" s="18"/>
      <c r="BK530" s="15"/>
      <c r="BL530" s="18"/>
      <c r="BM530" s="15"/>
      <c r="BN530" s="18"/>
      <c r="BO530" s="15"/>
      <c r="BP530" s="18"/>
      <c r="BQ530" s="109">
        <f t="shared" si="882"/>
        <v>0</v>
      </c>
      <c r="BR530" s="568"/>
      <c r="BS530" s="573"/>
      <c r="BT530" s="574"/>
      <c r="BU530" s="559"/>
      <c r="BV530" s="562"/>
      <c r="BW530" s="565"/>
      <c r="BX530" s="617"/>
    </row>
    <row r="531" spans="1:76" ht="15.75" thickTop="1" x14ac:dyDescent="0.25">
      <c r="A531" s="585">
        <v>131</v>
      </c>
      <c r="B531" s="588"/>
      <c r="C531" s="589"/>
      <c r="D531" s="604"/>
      <c r="E531" s="515"/>
      <c r="F531" s="516"/>
      <c r="G531" s="521"/>
      <c r="H531" s="522"/>
      <c r="I531" s="527"/>
      <c r="J531" s="528"/>
      <c r="K531" s="512" t="e">
        <f t="shared" ref="K531" si="958">INT(YEARFRAC(I531,AA531))</f>
        <v>#VALUE!</v>
      </c>
      <c r="L531" s="533">
        <f t="shared" ref="L531" ca="1" si="959">INT(YEARFRAC(I531,TODAY()))</f>
        <v>121</v>
      </c>
      <c r="M531" s="536"/>
      <c r="N531" s="539"/>
      <c r="O531" s="540"/>
      <c r="P531" s="481"/>
      <c r="Q531" s="482"/>
      <c r="R531" s="515"/>
      <c r="S531" s="516"/>
      <c r="T531" s="487"/>
      <c r="U531" s="488"/>
      <c r="V531" s="491"/>
      <c r="W531" s="481"/>
      <c r="X531" s="494"/>
      <c r="Y531" s="482"/>
      <c r="Z531" s="497"/>
      <c r="AA531" s="500" t="s">
        <v>372</v>
      </c>
      <c r="AB531" s="501"/>
      <c r="AC531" s="506" t="s">
        <v>257</v>
      </c>
      <c r="AD531" s="507"/>
      <c r="AE531" s="507"/>
      <c r="AF531" s="510"/>
      <c r="AG531" s="510"/>
      <c r="AH531" s="510"/>
      <c r="AI531" s="510"/>
      <c r="AJ531" s="510"/>
      <c r="AK531" s="510"/>
      <c r="AL531" s="510"/>
      <c r="AM531" s="510"/>
      <c r="AN531" s="510"/>
      <c r="AO531" s="510"/>
      <c r="AP531" s="510"/>
      <c r="AQ531" s="465"/>
      <c r="AR531" s="467">
        <f t="shared" ref="AR531" si="960">SUM(AF531:AQ532)</f>
        <v>0</v>
      </c>
      <c r="AS531" s="119" t="s">
        <v>257</v>
      </c>
      <c r="AT531" s="120"/>
      <c r="AU531" s="120"/>
      <c r="AV531" s="120"/>
      <c r="AW531" s="121"/>
      <c r="AX531" s="125">
        <f t="shared" ref="AX531:AX533" si="961">SUM(AT531:AW531)</f>
        <v>0</v>
      </c>
      <c r="AY531" s="141" t="s">
        <v>257</v>
      </c>
      <c r="AZ531" s="137"/>
      <c r="BA531" s="137"/>
      <c r="BB531" s="134">
        <f t="shared" ref="BB531:BB533" si="962">AZ531-BA531</f>
        <v>0</v>
      </c>
      <c r="BC531" s="469" t="s">
        <v>258</v>
      </c>
      <c r="BD531" s="470"/>
      <c r="BE531" s="13"/>
      <c r="BF531" s="16"/>
      <c r="BG531" s="13"/>
      <c r="BH531" s="16"/>
      <c r="BI531" s="13"/>
      <c r="BJ531" s="16"/>
      <c r="BK531" s="13"/>
      <c r="BL531" s="16"/>
      <c r="BM531" s="13"/>
      <c r="BN531" s="16"/>
      <c r="BO531" s="13"/>
      <c r="BP531" s="16"/>
      <c r="BQ531" s="106">
        <f t="shared" si="882"/>
        <v>0</v>
      </c>
      <c r="BR531" s="566"/>
      <c r="BS531" s="569"/>
      <c r="BT531" s="570"/>
      <c r="BU531" s="557"/>
      <c r="BV531" s="560"/>
      <c r="BW531" s="563"/>
      <c r="BX531" s="615"/>
    </row>
    <row r="532" spans="1:76" x14ac:dyDescent="0.25">
      <c r="A532" s="586"/>
      <c r="B532" s="590"/>
      <c r="C532" s="591"/>
      <c r="D532" s="605"/>
      <c r="E532" s="517"/>
      <c r="F532" s="518"/>
      <c r="G532" s="523"/>
      <c r="H532" s="524"/>
      <c r="I532" s="529"/>
      <c r="J532" s="530"/>
      <c r="K532" s="513"/>
      <c r="L532" s="534"/>
      <c r="M532" s="537"/>
      <c r="N532" s="541"/>
      <c r="O532" s="542"/>
      <c r="P532" s="483"/>
      <c r="Q532" s="484"/>
      <c r="R532" s="517"/>
      <c r="S532" s="518"/>
      <c r="T532" s="487"/>
      <c r="U532" s="488"/>
      <c r="V532" s="492"/>
      <c r="W532" s="483"/>
      <c r="X532" s="495"/>
      <c r="Y532" s="484"/>
      <c r="Z532" s="498"/>
      <c r="AA532" s="502"/>
      <c r="AB532" s="503"/>
      <c r="AC532" s="508"/>
      <c r="AD532" s="509"/>
      <c r="AE532" s="509"/>
      <c r="AF532" s="511"/>
      <c r="AG532" s="511"/>
      <c r="AH532" s="511"/>
      <c r="AI532" s="511"/>
      <c r="AJ532" s="511"/>
      <c r="AK532" s="511"/>
      <c r="AL532" s="511"/>
      <c r="AM532" s="511"/>
      <c r="AN532" s="511"/>
      <c r="AO532" s="511"/>
      <c r="AP532" s="511"/>
      <c r="AQ532" s="466"/>
      <c r="AR532" s="468"/>
      <c r="AS532" s="122" t="s">
        <v>259</v>
      </c>
      <c r="AT532" s="123"/>
      <c r="AU532" s="123"/>
      <c r="AV532" s="123"/>
      <c r="AW532" s="124"/>
      <c r="AX532" s="126">
        <f t="shared" si="961"/>
        <v>0</v>
      </c>
      <c r="AY532" s="142" t="s">
        <v>259</v>
      </c>
      <c r="AZ532" s="138"/>
      <c r="BA532" s="138"/>
      <c r="BB532" s="135">
        <f t="shared" si="962"/>
        <v>0</v>
      </c>
      <c r="BC532" s="474" t="s">
        <v>260</v>
      </c>
      <c r="BD532" s="475"/>
      <c r="BE532" s="14"/>
      <c r="BF532" s="17"/>
      <c r="BG532" s="14"/>
      <c r="BH532" s="17"/>
      <c r="BI532" s="14"/>
      <c r="BJ532" s="17"/>
      <c r="BK532" s="14"/>
      <c r="BL532" s="17"/>
      <c r="BM532" s="14"/>
      <c r="BN532" s="17"/>
      <c r="BO532" s="14"/>
      <c r="BP532" s="17"/>
      <c r="BQ532" s="107">
        <f t="shared" si="882"/>
        <v>0</v>
      </c>
      <c r="BR532" s="567"/>
      <c r="BS532" s="571"/>
      <c r="BT532" s="572"/>
      <c r="BU532" s="558"/>
      <c r="BV532" s="561"/>
      <c r="BW532" s="564"/>
      <c r="BX532" s="616"/>
    </row>
    <row r="533" spans="1:76" ht="15.75" thickBot="1" x14ac:dyDescent="0.3">
      <c r="A533" s="586"/>
      <c r="B533" s="590"/>
      <c r="C533" s="591"/>
      <c r="D533" s="605"/>
      <c r="E533" s="517"/>
      <c r="F533" s="518"/>
      <c r="G533" s="523"/>
      <c r="H533" s="524"/>
      <c r="I533" s="529"/>
      <c r="J533" s="530"/>
      <c r="K533" s="513"/>
      <c r="L533" s="534"/>
      <c r="M533" s="537"/>
      <c r="N533" s="541"/>
      <c r="O533" s="542"/>
      <c r="P533" s="483"/>
      <c r="Q533" s="484"/>
      <c r="R533" s="517"/>
      <c r="S533" s="518"/>
      <c r="T533" s="487"/>
      <c r="U533" s="488"/>
      <c r="V533" s="492"/>
      <c r="W533" s="483"/>
      <c r="X533" s="495"/>
      <c r="Y533" s="484"/>
      <c r="Z533" s="498"/>
      <c r="AA533" s="502"/>
      <c r="AB533" s="503"/>
      <c r="AC533" s="471" t="s">
        <v>259</v>
      </c>
      <c r="AD533" s="472"/>
      <c r="AE533" s="473"/>
      <c r="AF533" s="100"/>
      <c r="AG533" s="100"/>
      <c r="AH533" s="100"/>
      <c r="AI533" s="100"/>
      <c r="AJ533" s="100"/>
      <c r="AK533" s="100"/>
      <c r="AL533" s="100"/>
      <c r="AM533" s="100"/>
      <c r="AN533" s="100"/>
      <c r="AO533" s="100"/>
      <c r="AP533" s="100"/>
      <c r="AQ533" s="101"/>
      <c r="AR533" s="104">
        <f t="shared" ref="AR533:AR534" si="963">SUM(AF533:AQ533)</f>
        <v>0</v>
      </c>
      <c r="AS533" s="128" t="s">
        <v>261</v>
      </c>
      <c r="AT533" s="129"/>
      <c r="AU533" s="129"/>
      <c r="AV533" s="129"/>
      <c r="AW533" s="130"/>
      <c r="AX533" s="126">
        <f t="shared" si="961"/>
        <v>0</v>
      </c>
      <c r="AY533" s="143" t="s">
        <v>261</v>
      </c>
      <c r="AZ533" s="139"/>
      <c r="BA533" s="139"/>
      <c r="BB533" s="136">
        <f t="shared" si="962"/>
        <v>0</v>
      </c>
      <c r="BC533" s="474" t="s">
        <v>262</v>
      </c>
      <c r="BD533" s="475"/>
      <c r="BE533" s="14"/>
      <c r="BF533" s="17"/>
      <c r="BG533" s="14"/>
      <c r="BH533" s="17"/>
      <c r="BI533" s="14"/>
      <c r="BJ533" s="17"/>
      <c r="BK533" s="14"/>
      <c r="BL533" s="17"/>
      <c r="BM533" s="14"/>
      <c r="BN533" s="17"/>
      <c r="BO533" s="14"/>
      <c r="BP533" s="17"/>
      <c r="BQ533" s="108">
        <f t="shared" si="882"/>
        <v>0</v>
      </c>
      <c r="BR533" s="567"/>
      <c r="BS533" s="571"/>
      <c r="BT533" s="572"/>
      <c r="BU533" s="558"/>
      <c r="BV533" s="561"/>
      <c r="BW533" s="564"/>
      <c r="BX533" s="616"/>
    </row>
    <row r="534" spans="1:76" ht="15.75" thickBot="1" x14ac:dyDescent="0.3">
      <c r="A534" s="587"/>
      <c r="B534" s="592"/>
      <c r="C534" s="593"/>
      <c r="D534" s="606"/>
      <c r="E534" s="519"/>
      <c r="F534" s="520"/>
      <c r="G534" s="525"/>
      <c r="H534" s="526"/>
      <c r="I534" s="531"/>
      <c r="J534" s="532"/>
      <c r="K534" s="514"/>
      <c r="L534" s="535"/>
      <c r="M534" s="538"/>
      <c r="N534" s="543"/>
      <c r="O534" s="544"/>
      <c r="P534" s="485"/>
      <c r="Q534" s="486"/>
      <c r="R534" s="519"/>
      <c r="S534" s="520"/>
      <c r="T534" s="489"/>
      <c r="U534" s="490"/>
      <c r="V534" s="493"/>
      <c r="W534" s="485"/>
      <c r="X534" s="496"/>
      <c r="Y534" s="486"/>
      <c r="Z534" s="499"/>
      <c r="AA534" s="504"/>
      <c r="AB534" s="505"/>
      <c r="AC534" s="476" t="s">
        <v>261</v>
      </c>
      <c r="AD534" s="477"/>
      <c r="AE534" s="478"/>
      <c r="AF534" s="102"/>
      <c r="AG534" s="102"/>
      <c r="AH534" s="102"/>
      <c r="AI534" s="102"/>
      <c r="AJ534" s="102"/>
      <c r="AK534" s="102"/>
      <c r="AL534" s="102"/>
      <c r="AM534" s="102"/>
      <c r="AN534" s="102"/>
      <c r="AO534" s="102"/>
      <c r="AP534" s="102"/>
      <c r="AQ534" s="103"/>
      <c r="AR534" s="105">
        <f t="shared" si="963"/>
        <v>0</v>
      </c>
      <c r="AS534" s="131" t="s">
        <v>161</v>
      </c>
      <c r="AT534" s="132">
        <f t="shared" ref="AT534:AX534" si="964">SUM(AT531:AT533)</f>
        <v>0</v>
      </c>
      <c r="AU534" s="132">
        <f t="shared" si="964"/>
        <v>0</v>
      </c>
      <c r="AV534" s="132">
        <f t="shared" si="964"/>
        <v>0</v>
      </c>
      <c r="AW534" s="133">
        <f t="shared" si="964"/>
        <v>0</v>
      </c>
      <c r="AX534" s="127">
        <f t="shared" si="964"/>
        <v>0</v>
      </c>
      <c r="AY534" s="144" t="s">
        <v>161</v>
      </c>
      <c r="AZ534" s="140">
        <f t="shared" ref="AZ534:BB534" si="965">SUM(AZ531:AZ533)</f>
        <v>0</v>
      </c>
      <c r="BA534" s="140">
        <f t="shared" si="965"/>
        <v>0</v>
      </c>
      <c r="BB534" s="140">
        <f t="shared" si="965"/>
        <v>0</v>
      </c>
      <c r="BC534" s="479" t="s">
        <v>263</v>
      </c>
      <c r="BD534" s="480"/>
      <c r="BE534" s="15"/>
      <c r="BF534" s="18"/>
      <c r="BG534" s="15"/>
      <c r="BH534" s="18"/>
      <c r="BI534" s="15"/>
      <c r="BJ534" s="18"/>
      <c r="BK534" s="15"/>
      <c r="BL534" s="18"/>
      <c r="BM534" s="15"/>
      <c r="BN534" s="18"/>
      <c r="BO534" s="15"/>
      <c r="BP534" s="18"/>
      <c r="BQ534" s="109">
        <f t="shared" si="882"/>
        <v>0</v>
      </c>
      <c r="BR534" s="568"/>
      <c r="BS534" s="573"/>
      <c r="BT534" s="574"/>
      <c r="BU534" s="559"/>
      <c r="BV534" s="562"/>
      <c r="BW534" s="565"/>
      <c r="BX534" s="617"/>
    </row>
    <row r="535" spans="1:76" ht="15.75" thickTop="1" x14ac:dyDescent="0.25">
      <c r="A535" s="585">
        <v>132</v>
      </c>
      <c r="B535" s="588"/>
      <c r="C535" s="589"/>
      <c r="D535" s="604"/>
      <c r="E535" s="515"/>
      <c r="F535" s="516"/>
      <c r="G535" s="521"/>
      <c r="H535" s="522"/>
      <c r="I535" s="527"/>
      <c r="J535" s="528"/>
      <c r="K535" s="512" t="e">
        <f t="shared" ref="K535" si="966">INT(YEARFRAC(I535,AA535))</f>
        <v>#VALUE!</v>
      </c>
      <c r="L535" s="533">
        <f t="shared" ref="L535" ca="1" si="967">INT(YEARFRAC(I535,TODAY()))</f>
        <v>121</v>
      </c>
      <c r="M535" s="536"/>
      <c r="N535" s="539"/>
      <c r="O535" s="540"/>
      <c r="P535" s="481"/>
      <c r="Q535" s="482"/>
      <c r="R535" s="515"/>
      <c r="S535" s="516"/>
      <c r="T535" s="487"/>
      <c r="U535" s="488"/>
      <c r="V535" s="491"/>
      <c r="W535" s="481"/>
      <c r="X535" s="494"/>
      <c r="Y535" s="482"/>
      <c r="Z535" s="497"/>
      <c r="AA535" s="500" t="s">
        <v>373</v>
      </c>
      <c r="AB535" s="501"/>
      <c r="AC535" s="506" t="s">
        <v>257</v>
      </c>
      <c r="AD535" s="507"/>
      <c r="AE535" s="507"/>
      <c r="AF535" s="510"/>
      <c r="AG535" s="510"/>
      <c r="AH535" s="510"/>
      <c r="AI535" s="510"/>
      <c r="AJ535" s="510"/>
      <c r="AK535" s="510"/>
      <c r="AL535" s="510"/>
      <c r="AM535" s="510"/>
      <c r="AN535" s="510"/>
      <c r="AO535" s="510"/>
      <c r="AP535" s="510"/>
      <c r="AQ535" s="465"/>
      <c r="AR535" s="467">
        <f t="shared" ref="AR535" si="968">SUM(AF535:AQ536)</f>
        <v>0</v>
      </c>
      <c r="AS535" s="119" t="s">
        <v>257</v>
      </c>
      <c r="AT535" s="120"/>
      <c r="AU535" s="120"/>
      <c r="AV535" s="120"/>
      <c r="AW535" s="121"/>
      <c r="AX535" s="125">
        <f t="shared" ref="AX535:AX537" si="969">SUM(AT535:AW535)</f>
        <v>0</v>
      </c>
      <c r="AY535" s="141" t="s">
        <v>257</v>
      </c>
      <c r="AZ535" s="137"/>
      <c r="BA535" s="137"/>
      <c r="BB535" s="134">
        <f t="shared" ref="BB535:BB537" si="970">AZ535-BA535</f>
        <v>0</v>
      </c>
      <c r="BC535" s="469" t="s">
        <v>258</v>
      </c>
      <c r="BD535" s="470"/>
      <c r="BE535" s="13"/>
      <c r="BF535" s="16"/>
      <c r="BG535" s="13"/>
      <c r="BH535" s="16"/>
      <c r="BI535" s="13"/>
      <c r="BJ535" s="16"/>
      <c r="BK535" s="13"/>
      <c r="BL535" s="16"/>
      <c r="BM535" s="13"/>
      <c r="BN535" s="16"/>
      <c r="BO535" s="13"/>
      <c r="BP535" s="16"/>
      <c r="BQ535" s="106">
        <f t="shared" si="882"/>
        <v>0</v>
      </c>
      <c r="BR535" s="566"/>
      <c r="BS535" s="569"/>
      <c r="BT535" s="570"/>
      <c r="BU535" s="557"/>
      <c r="BV535" s="560"/>
      <c r="BW535" s="563"/>
      <c r="BX535" s="615"/>
    </row>
    <row r="536" spans="1:76" x14ac:dyDescent="0.25">
      <c r="A536" s="586"/>
      <c r="B536" s="590"/>
      <c r="C536" s="591"/>
      <c r="D536" s="605"/>
      <c r="E536" s="517"/>
      <c r="F536" s="518"/>
      <c r="G536" s="523"/>
      <c r="H536" s="524"/>
      <c r="I536" s="529"/>
      <c r="J536" s="530"/>
      <c r="K536" s="513"/>
      <c r="L536" s="534"/>
      <c r="M536" s="537"/>
      <c r="N536" s="541"/>
      <c r="O536" s="542"/>
      <c r="P536" s="483"/>
      <c r="Q536" s="484"/>
      <c r="R536" s="517"/>
      <c r="S536" s="518"/>
      <c r="T536" s="487"/>
      <c r="U536" s="488"/>
      <c r="V536" s="492"/>
      <c r="W536" s="483"/>
      <c r="X536" s="495"/>
      <c r="Y536" s="484"/>
      <c r="Z536" s="498"/>
      <c r="AA536" s="502"/>
      <c r="AB536" s="503"/>
      <c r="AC536" s="508"/>
      <c r="AD536" s="509"/>
      <c r="AE536" s="509"/>
      <c r="AF536" s="511"/>
      <c r="AG536" s="511"/>
      <c r="AH536" s="511"/>
      <c r="AI536" s="511"/>
      <c r="AJ536" s="511"/>
      <c r="AK536" s="511"/>
      <c r="AL536" s="511"/>
      <c r="AM536" s="511"/>
      <c r="AN536" s="511"/>
      <c r="AO536" s="511"/>
      <c r="AP536" s="511"/>
      <c r="AQ536" s="466"/>
      <c r="AR536" s="468"/>
      <c r="AS536" s="122" t="s">
        <v>259</v>
      </c>
      <c r="AT536" s="123"/>
      <c r="AU536" s="123"/>
      <c r="AV536" s="123"/>
      <c r="AW536" s="124"/>
      <c r="AX536" s="126">
        <f t="shared" si="969"/>
        <v>0</v>
      </c>
      <c r="AY536" s="142" t="s">
        <v>259</v>
      </c>
      <c r="AZ536" s="138"/>
      <c r="BA536" s="138"/>
      <c r="BB536" s="135">
        <f t="shared" si="970"/>
        <v>0</v>
      </c>
      <c r="BC536" s="474" t="s">
        <v>260</v>
      </c>
      <c r="BD536" s="475"/>
      <c r="BE536" s="14"/>
      <c r="BF536" s="17"/>
      <c r="BG536" s="14"/>
      <c r="BH536" s="17"/>
      <c r="BI536" s="14"/>
      <c r="BJ536" s="17"/>
      <c r="BK536" s="14"/>
      <c r="BL536" s="17"/>
      <c r="BM536" s="14"/>
      <c r="BN536" s="17"/>
      <c r="BO536" s="14"/>
      <c r="BP536" s="17"/>
      <c r="BQ536" s="107">
        <f t="shared" si="882"/>
        <v>0</v>
      </c>
      <c r="BR536" s="567"/>
      <c r="BS536" s="571"/>
      <c r="BT536" s="572"/>
      <c r="BU536" s="558"/>
      <c r="BV536" s="561"/>
      <c r="BW536" s="564"/>
      <c r="BX536" s="616"/>
    </row>
    <row r="537" spans="1:76" ht="15.75" thickBot="1" x14ac:dyDescent="0.3">
      <c r="A537" s="586"/>
      <c r="B537" s="590"/>
      <c r="C537" s="591"/>
      <c r="D537" s="605"/>
      <c r="E537" s="517"/>
      <c r="F537" s="518"/>
      <c r="G537" s="523"/>
      <c r="H537" s="524"/>
      <c r="I537" s="529"/>
      <c r="J537" s="530"/>
      <c r="K537" s="513"/>
      <c r="L537" s="534"/>
      <c r="M537" s="537"/>
      <c r="N537" s="541"/>
      <c r="O537" s="542"/>
      <c r="P537" s="483"/>
      <c r="Q537" s="484"/>
      <c r="R537" s="517"/>
      <c r="S537" s="518"/>
      <c r="T537" s="487"/>
      <c r="U537" s="488"/>
      <c r="V537" s="492"/>
      <c r="W537" s="483"/>
      <c r="X537" s="495"/>
      <c r="Y537" s="484"/>
      <c r="Z537" s="498"/>
      <c r="AA537" s="502"/>
      <c r="AB537" s="503"/>
      <c r="AC537" s="471" t="s">
        <v>259</v>
      </c>
      <c r="AD537" s="472"/>
      <c r="AE537" s="473"/>
      <c r="AF537" s="100"/>
      <c r="AG537" s="100"/>
      <c r="AH537" s="100"/>
      <c r="AI537" s="100"/>
      <c r="AJ537" s="100"/>
      <c r="AK537" s="100"/>
      <c r="AL537" s="100"/>
      <c r="AM537" s="100"/>
      <c r="AN537" s="100"/>
      <c r="AO537" s="100"/>
      <c r="AP537" s="100"/>
      <c r="AQ537" s="101"/>
      <c r="AR537" s="104">
        <f t="shared" ref="AR537:AR538" si="971">SUM(AF537:AQ537)</f>
        <v>0</v>
      </c>
      <c r="AS537" s="128" t="s">
        <v>261</v>
      </c>
      <c r="AT537" s="129"/>
      <c r="AU537" s="129"/>
      <c r="AV537" s="129"/>
      <c r="AW537" s="130"/>
      <c r="AX537" s="126">
        <f t="shared" si="969"/>
        <v>0</v>
      </c>
      <c r="AY537" s="143" t="s">
        <v>261</v>
      </c>
      <c r="AZ537" s="139"/>
      <c r="BA537" s="139"/>
      <c r="BB537" s="136">
        <f t="shared" si="970"/>
        <v>0</v>
      </c>
      <c r="BC537" s="474" t="s">
        <v>262</v>
      </c>
      <c r="BD537" s="475"/>
      <c r="BE537" s="14"/>
      <c r="BF537" s="17"/>
      <c r="BG537" s="14"/>
      <c r="BH537" s="17"/>
      <c r="BI537" s="14"/>
      <c r="BJ537" s="17"/>
      <c r="BK537" s="14"/>
      <c r="BL537" s="17"/>
      <c r="BM537" s="14"/>
      <c r="BN537" s="17"/>
      <c r="BO537" s="14"/>
      <c r="BP537" s="17"/>
      <c r="BQ537" s="108">
        <f t="shared" si="882"/>
        <v>0</v>
      </c>
      <c r="BR537" s="567"/>
      <c r="BS537" s="571"/>
      <c r="BT537" s="572"/>
      <c r="BU537" s="558"/>
      <c r="BV537" s="561"/>
      <c r="BW537" s="564"/>
      <c r="BX537" s="616"/>
    </row>
    <row r="538" spans="1:76" ht="15.75" thickBot="1" x14ac:dyDescent="0.3">
      <c r="A538" s="587"/>
      <c r="B538" s="592"/>
      <c r="C538" s="593"/>
      <c r="D538" s="606"/>
      <c r="E538" s="519"/>
      <c r="F538" s="520"/>
      <c r="G538" s="525"/>
      <c r="H538" s="526"/>
      <c r="I538" s="531"/>
      <c r="J538" s="532"/>
      <c r="K538" s="514"/>
      <c r="L538" s="535"/>
      <c r="M538" s="538"/>
      <c r="N538" s="543"/>
      <c r="O538" s="544"/>
      <c r="P538" s="485"/>
      <c r="Q538" s="486"/>
      <c r="R538" s="519"/>
      <c r="S538" s="520"/>
      <c r="T538" s="489"/>
      <c r="U538" s="490"/>
      <c r="V538" s="493"/>
      <c r="W538" s="485"/>
      <c r="X538" s="496"/>
      <c r="Y538" s="486"/>
      <c r="Z538" s="499"/>
      <c r="AA538" s="504"/>
      <c r="AB538" s="505"/>
      <c r="AC538" s="476" t="s">
        <v>261</v>
      </c>
      <c r="AD538" s="477"/>
      <c r="AE538" s="478"/>
      <c r="AF538" s="102"/>
      <c r="AG538" s="102"/>
      <c r="AH538" s="102"/>
      <c r="AI538" s="102"/>
      <c r="AJ538" s="102"/>
      <c r="AK538" s="102"/>
      <c r="AL538" s="102"/>
      <c r="AM538" s="102"/>
      <c r="AN538" s="102"/>
      <c r="AO538" s="102"/>
      <c r="AP538" s="102"/>
      <c r="AQ538" s="103"/>
      <c r="AR538" s="105">
        <f t="shared" si="971"/>
        <v>0</v>
      </c>
      <c r="AS538" s="131" t="s">
        <v>161</v>
      </c>
      <c r="AT538" s="132">
        <f t="shared" ref="AT538:AX538" si="972">SUM(AT535:AT537)</f>
        <v>0</v>
      </c>
      <c r="AU538" s="132">
        <f t="shared" si="972"/>
        <v>0</v>
      </c>
      <c r="AV538" s="132">
        <f t="shared" si="972"/>
        <v>0</v>
      </c>
      <c r="AW538" s="133">
        <f t="shared" si="972"/>
        <v>0</v>
      </c>
      <c r="AX538" s="127">
        <f t="shared" si="972"/>
        <v>0</v>
      </c>
      <c r="AY538" s="144" t="s">
        <v>161</v>
      </c>
      <c r="AZ538" s="140">
        <f t="shared" ref="AZ538:BB538" si="973">SUM(AZ535:AZ537)</f>
        <v>0</v>
      </c>
      <c r="BA538" s="140">
        <f t="shared" si="973"/>
        <v>0</v>
      </c>
      <c r="BB538" s="140">
        <f t="shared" si="973"/>
        <v>0</v>
      </c>
      <c r="BC538" s="479" t="s">
        <v>263</v>
      </c>
      <c r="BD538" s="480"/>
      <c r="BE538" s="15"/>
      <c r="BF538" s="18"/>
      <c r="BG538" s="15"/>
      <c r="BH538" s="18"/>
      <c r="BI538" s="15"/>
      <c r="BJ538" s="18"/>
      <c r="BK538" s="15"/>
      <c r="BL538" s="18"/>
      <c r="BM538" s="15"/>
      <c r="BN538" s="18"/>
      <c r="BO538" s="15"/>
      <c r="BP538" s="18"/>
      <c r="BQ538" s="109">
        <f t="shared" si="882"/>
        <v>0</v>
      </c>
      <c r="BR538" s="568"/>
      <c r="BS538" s="573"/>
      <c r="BT538" s="574"/>
      <c r="BU538" s="559"/>
      <c r="BV538" s="562"/>
      <c r="BW538" s="565"/>
      <c r="BX538" s="617"/>
    </row>
    <row r="539" spans="1:76" ht="15.75" thickTop="1" x14ac:dyDescent="0.25">
      <c r="A539" s="585">
        <v>133</v>
      </c>
      <c r="B539" s="588"/>
      <c r="C539" s="589"/>
      <c r="D539" s="604"/>
      <c r="E539" s="515"/>
      <c r="F539" s="516"/>
      <c r="G539" s="521"/>
      <c r="H539" s="522"/>
      <c r="I539" s="527"/>
      <c r="J539" s="528"/>
      <c r="K539" s="512" t="e">
        <f t="shared" ref="K539" si="974">INT(YEARFRAC(I539,AA539))</f>
        <v>#VALUE!</v>
      </c>
      <c r="L539" s="533">
        <f t="shared" ref="L539" ca="1" si="975">INT(YEARFRAC(I539,TODAY()))</f>
        <v>121</v>
      </c>
      <c r="M539" s="536"/>
      <c r="N539" s="539"/>
      <c r="O539" s="540"/>
      <c r="P539" s="481"/>
      <c r="Q539" s="482"/>
      <c r="R539" s="515"/>
      <c r="S539" s="516"/>
      <c r="T539" s="487"/>
      <c r="U539" s="488"/>
      <c r="V539" s="491"/>
      <c r="W539" s="481"/>
      <c r="X539" s="494"/>
      <c r="Y539" s="482"/>
      <c r="Z539" s="497"/>
      <c r="AA539" s="500" t="s">
        <v>374</v>
      </c>
      <c r="AB539" s="501"/>
      <c r="AC539" s="506" t="s">
        <v>257</v>
      </c>
      <c r="AD539" s="507"/>
      <c r="AE539" s="507"/>
      <c r="AF539" s="510"/>
      <c r="AG539" s="510"/>
      <c r="AH539" s="510"/>
      <c r="AI539" s="510"/>
      <c r="AJ539" s="510"/>
      <c r="AK539" s="510"/>
      <c r="AL539" s="510"/>
      <c r="AM539" s="510"/>
      <c r="AN539" s="510"/>
      <c r="AO539" s="510"/>
      <c r="AP539" s="510"/>
      <c r="AQ539" s="465"/>
      <c r="AR539" s="467">
        <f t="shared" ref="AR539" si="976">SUM(AF539:AQ540)</f>
        <v>0</v>
      </c>
      <c r="AS539" s="119" t="s">
        <v>257</v>
      </c>
      <c r="AT539" s="120"/>
      <c r="AU539" s="120"/>
      <c r="AV539" s="120"/>
      <c r="AW539" s="121"/>
      <c r="AX539" s="125">
        <f t="shared" ref="AX539:AX541" si="977">SUM(AT539:AW539)</f>
        <v>0</v>
      </c>
      <c r="AY539" s="141" t="s">
        <v>257</v>
      </c>
      <c r="AZ539" s="137"/>
      <c r="BA539" s="137"/>
      <c r="BB539" s="134">
        <f t="shared" ref="BB539:BB541" si="978">AZ539-BA539</f>
        <v>0</v>
      </c>
      <c r="BC539" s="469" t="s">
        <v>258</v>
      </c>
      <c r="BD539" s="470"/>
      <c r="BE539" s="13"/>
      <c r="BF539" s="16"/>
      <c r="BG539" s="13"/>
      <c r="BH539" s="16"/>
      <c r="BI539" s="13"/>
      <c r="BJ539" s="16"/>
      <c r="BK539" s="13"/>
      <c r="BL539" s="16"/>
      <c r="BM539" s="13"/>
      <c r="BN539" s="16"/>
      <c r="BO539" s="13"/>
      <c r="BP539" s="16"/>
      <c r="BQ539" s="106">
        <f t="shared" si="882"/>
        <v>0</v>
      </c>
      <c r="BR539" s="566"/>
      <c r="BS539" s="569"/>
      <c r="BT539" s="570"/>
      <c r="BU539" s="557"/>
      <c r="BV539" s="560"/>
      <c r="BW539" s="563"/>
      <c r="BX539" s="615"/>
    </row>
    <row r="540" spans="1:76" x14ac:dyDescent="0.25">
      <c r="A540" s="586"/>
      <c r="B540" s="590"/>
      <c r="C540" s="591"/>
      <c r="D540" s="605"/>
      <c r="E540" s="517"/>
      <c r="F540" s="518"/>
      <c r="G540" s="523"/>
      <c r="H540" s="524"/>
      <c r="I540" s="529"/>
      <c r="J540" s="530"/>
      <c r="K540" s="513"/>
      <c r="L540" s="534"/>
      <c r="M540" s="537"/>
      <c r="N540" s="541"/>
      <c r="O540" s="542"/>
      <c r="P540" s="483"/>
      <c r="Q540" s="484"/>
      <c r="R540" s="517"/>
      <c r="S540" s="518"/>
      <c r="T540" s="487"/>
      <c r="U540" s="488"/>
      <c r="V540" s="492"/>
      <c r="W540" s="483"/>
      <c r="X540" s="495"/>
      <c r="Y540" s="484"/>
      <c r="Z540" s="498"/>
      <c r="AA540" s="502"/>
      <c r="AB540" s="503"/>
      <c r="AC540" s="508"/>
      <c r="AD540" s="509"/>
      <c r="AE540" s="509"/>
      <c r="AF540" s="511"/>
      <c r="AG540" s="511"/>
      <c r="AH540" s="511"/>
      <c r="AI540" s="511"/>
      <c r="AJ540" s="511"/>
      <c r="AK540" s="511"/>
      <c r="AL540" s="511"/>
      <c r="AM540" s="511"/>
      <c r="AN540" s="511"/>
      <c r="AO540" s="511"/>
      <c r="AP540" s="511"/>
      <c r="AQ540" s="466"/>
      <c r="AR540" s="468"/>
      <c r="AS540" s="122" t="s">
        <v>259</v>
      </c>
      <c r="AT540" s="123"/>
      <c r="AU540" s="123"/>
      <c r="AV540" s="123"/>
      <c r="AW540" s="124"/>
      <c r="AX540" s="126">
        <f t="shared" si="977"/>
        <v>0</v>
      </c>
      <c r="AY540" s="142" t="s">
        <v>259</v>
      </c>
      <c r="AZ540" s="138"/>
      <c r="BA540" s="138"/>
      <c r="BB540" s="135">
        <f t="shared" si="978"/>
        <v>0</v>
      </c>
      <c r="BC540" s="474" t="s">
        <v>260</v>
      </c>
      <c r="BD540" s="475"/>
      <c r="BE540" s="14"/>
      <c r="BF540" s="17"/>
      <c r="BG540" s="14"/>
      <c r="BH540" s="17"/>
      <c r="BI540" s="14"/>
      <c r="BJ540" s="17"/>
      <c r="BK540" s="14"/>
      <c r="BL540" s="17"/>
      <c r="BM540" s="14"/>
      <c r="BN540" s="17"/>
      <c r="BO540" s="14"/>
      <c r="BP540" s="17"/>
      <c r="BQ540" s="107">
        <f t="shared" si="882"/>
        <v>0</v>
      </c>
      <c r="BR540" s="567"/>
      <c r="BS540" s="571"/>
      <c r="BT540" s="572"/>
      <c r="BU540" s="558"/>
      <c r="BV540" s="561"/>
      <c r="BW540" s="564"/>
      <c r="BX540" s="616"/>
    </row>
    <row r="541" spans="1:76" ht="15.75" thickBot="1" x14ac:dyDescent="0.3">
      <c r="A541" s="586"/>
      <c r="B541" s="590"/>
      <c r="C541" s="591"/>
      <c r="D541" s="605"/>
      <c r="E541" s="517"/>
      <c r="F541" s="518"/>
      <c r="G541" s="523"/>
      <c r="H541" s="524"/>
      <c r="I541" s="529"/>
      <c r="J541" s="530"/>
      <c r="K541" s="513"/>
      <c r="L541" s="534"/>
      <c r="M541" s="537"/>
      <c r="N541" s="541"/>
      <c r="O541" s="542"/>
      <c r="P541" s="483"/>
      <c r="Q541" s="484"/>
      <c r="R541" s="517"/>
      <c r="S541" s="518"/>
      <c r="T541" s="487"/>
      <c r="U541" s="488"/>
      <c r="V541" s="492"/>
      <c r="W541" s="483"/>
      <c r="X541" s="495"/>
      <c r="Y541" s="484"/>
      <c r="Z541" s="498"/>
      <c r="AA541" s="502"/>
      <c r="AB541" s="503"/>
      <c r="AC541" s="471" t="s">
        <v>259</v>
      </c>
      <c r="AD541" s="472"/>
      <c r="AE541" s="473"/>
      <c r="AF541" s="100"/>
      <c r="AG541" s="100"/>
      <c r="AH541" s="100"/>
      <c r="AI541" s="100"/>
      <c r="AJ541" s="100"/>
      <c r="AK541" s="100"/>
      <c r="AL541" s="100"/>
      <c r="AM541" s="100"/>
      <c r="AN541" s="100"/>
      <c r="AO541" s="100"/>
      <c r="AP541" s="100"/>
      <c r="AQ541" s="101"/>
      <c r="AR541" s="104">
        <f t="shared" ref="AR541:AR542" si="979">SUM(AF541:AQ541)</f>
        <v>0</v>
      </c>
      <c r="AS541" s="128" t="s">
        <v>261</v>
      </c>
      <c r="AT541" s="129"/>
      <c r="AU541" s="129"/>
      <c r="AV541" s="129"/>
      <c r="AW541" s="130"/>
      <c r="AX541" s="126">
        <f t="shared" si="977"/>
        <v>0</v>
      </c>
      <c r="AY541" s="143" t="s">
        <v>261</v>
      </c>
      <c r="AZ541" s="139"/>
      <c r="BA541" s="139"/>
      <c r="BB541" s="136">
        <f t="shared" si="978"/>
        <v>0</v>
      </c>
      <c r="BC541" s="474" t="s">
        <v>262</v>
      </c>
      <c r="BD541" s="475"/>
      <c r="BE541" s="14"/>
      <c r="BF541" s="17"/>
      <c r="BG541" s="14"/>
      <c r="BH541" s="17"/>
      <c r="BI541" s="14"/>
      <c r="BJ541" s="17"/>
      <c r="BK541" s="14"/>
      <c r="BL541" s="17"/>
      <c r="BM541" s="14"/>
      <c r="BN541" s="17"/>
      <c r="BO541" s="14"/>
      <c r="BP541" s="17"/>
      <c r="BQ541" s="108">
        <f t="shared" si="882"/>
        <v>0</v>
      </c>
      <c r="BR541" s="567"/>
      <c r="BS541" s="571"/>
      <c r="BT541" s="572"/>
      <c r="BU541" s="558"/>
      <c r="BV541" s="561"/>
      <c r="BW541" s="564"/>
      <c r="BX541" s="616"/>
    </row>
    <row r="542" spans="1:76" ht="15.75" thickBot="1" x14ac:dyDescent="0.3">
      <c r="A542" s="587"/>
      <c r="B542" s="592"/>
      <c r="C542" s="593"/>
      <c r="D542" s="606"/>
      <c r="E542" s="519"/>
      <c r="F542" s="520"/>
      <c r="G542" s="525"/>
      <c r="H542" s="526"/>
      <c r="I542" s="531"/>
      <c r="J542" s="532"/>
      <c r="K542" s="514"/>
      <c r="L542" s="535"/>
      <c r="M542" s="538"/>
      <c r="N542" s="543"/>
      <c r="O542" s="544"/>
      <c r="P542" s="485"/>
      <c r="Q542" s="486"/>
      <c r="R542" s="519"/>
      <c r="S542" s="520"/>
      <c r="T542" s="489"/>
      <c r="U542" s="490"/>
      <c r="V542" s="493"/>
      <c r="W542" s="485"/>
      <c r="X542" s="496"/>
      <c r="Y542" s="486"/>
      <c r="Z542" s="499"/>
      <c r="AA542" s="504"/>
      <c r="AB542" s="505"/>
      <c r="AC542" s="476" t="s">
        <v>261</v>
      </c>
      <c r="AD542" s="477"/>
      <c r="AE542" s="478"/>
      <c r="AF542" s="102"/>
      <c r="AG542" s="102"/>
      <c r="AH542" s="102"/>
      <c r="AI542" s="102"/>
      <c r="AJ542" s="102"/>
      <c r="AK542" s="102"/>
      <c r="AL542" s="102"/>
      <c r="AM542" s="102"/>
      <c r="AN542" s="102"/>
      <c r="AO542" s="102"/>
      <c r="AP542" s="102"/>
      <c r="AQ542" s="103"/>
      <c r="AR542" s="105">
        <f t="shared" si="979"/>
        <v>0</v>
      </c>
      <c r="AS542" s="131" t="s">
        <v>161</v>
      </c>
      <c r="AT542" s="132">
        <f t="shared" ref="AT542:AX542" si="980">SUM(AT539:AT541)</f>
        <v>0</v>
      </c>
      <c r="AU542" s="132">
        <f t="shared" si="980"/>
        <v>0</v>
      </c>
      <c r="AV542" s="132">
        <f t="shared" si="980"/>
        <v>0</v>
      </c>
      <c r="AW542" s="133">
        <f t="shared" si="980"/>
        <v>0</v>
      </c>
      <c r="AX542" s="127">
        <f t="shared" si="980"/>
        <v>0</v>
      </c>
      <c r="AY542" s="144" t="s">
        <v>161</v>
      </c>
      <c r="AZ542" s="140">
        <f t="shared" ref="AZ542:BB542" si="981">SUM(AZ539:AZ541)</f>
        <v>0</v>
      </c>
      <c r="BA542" s="140">
        <f t="shared" si="981"/>
        <v>0</v>
      </c>
      <c r="BB542" s="140">
        <f t="shared" si="981"/>
        <v>0</v>
      </c>
      <c r="BC542" s="479" t="s">
        <v>263</v>
      </c>
      <c r="BD542" s="480"/>
      <c r="BE542" s="15"/>
      <c r="BF542" s="18"/>
      <c r="BG542" s="15"/>
      <c r="BH542" s="18"/>
      <c r="BI542" s="15"/>
      <c r="BJ542" s="18"/>
      <c r="BK542" s="15"/>
      <c r="BL542" s="18"/>
      <c r="BM542" s="15"/>
      <c r="BN542" s="18"/>
      <c r="BO542" s="15"/>
      <c r="BP542" s="18"/>
      <c r="BQ542" s="109">
        <f t="shared" si="882"/>
        <v>0</v>
      </c>
      <c r="BR542" s="568"/>
      <c r="BS542" s="573"/>
      <c r="BT542" s="574"/>
      <c r="BU542" s="559"/>
      <c r="BV542" s="562"/>
      <c r="BW542" s="565"/>
      <c r="BX542" s="617"/>
    </row>
    <row r="543" spans="1:76" ht="15.75" thickTop="1" x14ac:dyDescent="0.25">
      <c r="A543" s="585">
        <v>134</v>
      </c>
      <c r="B543" s="588"/>
      <c r="C543" s="589"/>
      <c r="D543" s="604"/>
      <c r="E543" s="515"/>
      <c r="F543" s="516"/>
      <c r="G543" s="521"/>
      <c r="H543" s="522"/>
      <c r="I543" s="527"/>
      <c r="J543" s="528"/>
      <c r="K543" s="512" t="e">
        <f t="shared" ref="K543" si="982">INT(YEARFRAC(I543,AA543))</f>
        <v>#VALUE!</v>
      </c>
      <c r="L543" s="533">
        <f t="shared" ref="L543" ca="1" si="983">INT(YEARFRAC(I543,TODAY()))</f>
        <v>121</v>
      </c>
      <c r="M543" s="536"/>
      <c r="N543" s="539"/>
      <c r="O543" s="540"/>
      <c r="P543" s="481"/>
      <c r="Q543" s="482"/>
      <c r="R543" s="515"/>
      <c r="S543" s="516"/>
      <c r="T543" s="487"/>
      <c r="U543" s="488"/>
      <c r="V543" s="491"/>
      <c r="W543" s="481"/>
      <c r="X543" s="494"/>
      <c r="Y543" s="482"/>
      <c r="Z543" s="497"/>
      <c r="AA543" s="500" t="s">
        <v>375</v>
      </c>
      <c r="AB543" s="501"/>
      <c r="AC543" s="506" t="s">
        <v>257</v>
      </c>
      <c r="AD543" s="507"/>
      <c r="AE543" s="507"/>
      <c r="AF543" s="510"/>
      <c r="AG543" s="510"/>
      <c r="AH543" s="510"/>
      <c r="AI543" s="510"/>
      <c r="AJ543" s="510"/>
      <c r="AK543" s="510"/>
      <c r="AL543" s="510"/>
      <c r="AM543" s="510"/>
      <c r="AN543" s="510"/>
      <c r="AO543" s="510"/>
      <c r="AP543" s="510"/>
      <c r="AQ543" s="465"/>
      <c r="AR543" s="467">
        <f t="shared" ref="AR543" si="984">SUM(AF543:AQ544)</f>
        <v>0</v>
      </c>
      <c r="AS543" s="119" t="s">
        <v>257</v>
      </c>
      <c r="AT543" s="120"/>
      <c r="AU543" s="120"/>
      <c r="AV543" s="120"/>
      <c r="AW543" s="121"/>
      <c r="AX543" s="125">
        <f t="shared" ref="AX543:AX545" si="985">SUM(AT543:AW543)</f>
        <v>0</v>
      </c>
      <c r="AY543" s="141" t="s">
        <v>257</v>
      </c>
      <c r="AZ543" s="137"/>
      <c r="BA543" s="137"/>
      <c r="BB543" s="134">
        <f t="shared" ref="BB543:BB545" si="986">AZ543-BA543</f>
        <v>0</v>
      </c>
      <c r="BC543" s="469" t="s">
        <v>258</v>
      </c>
      <c r="BD543" s="470"/>
      <c r="BE543" s="13"/>
      <c r="BF543" s="16"/>
      <c r="BG543" s="13"/>
      <c r="BH543" s="16"/>
      <c r="BI543" s="13"/>
      <c r="BJ543" s="16"/>
      <c r="BK543" s="13"/>
      <c r="BL543" s="16"/>
      <c r="BM543" s="13"/>
      <c r="BN543" s="16"/>
      <c r="BO543" s="13"/>
      <c r="BP543" s="16"/>
      <c r="BQ543" s="106">
        <f t="shared" si="882"/>
        <v>0</v>
      </c>
      <c r="BR543" s="566"/>
      <c r="BS543" s="569"/>
      <c r="BT543" s="570"/>
      <c r="BU543" s="557"/>
      <c r="BV543" s="560"/>
      <c r="BW543" s="563"/>
      <c r="BX543" s="615"/>
    </row>
    <row r="544" spans="1:76" x14ac:dyDescent="0.25">
      <c r="A544" s="586"/>
      <c r="B544" s="590"/>
      <c r="C544" s="591"/>
      <c r="D544" s="605"/>
      <c r="E544" s="517"/>
      <c r="F544" s="518"/>
      <c r="G544" s="523"/>
      <c r="H544" s="524"/>
      <c r="I544" s="529"/>
      <c r="J544" s="530"/>
      <c r="K544" s="513"/>
      <c r="L544" s="534"/>
      <c r="M544" s="537"/>
      <c r="N544" s="541"/>
      <c r="O544" s="542"/>
      <c r="P544" s="483"/>
      <c r="Q544" s="484"/>
      <c r="R544" s="517"/>
      <c r="S544" s="518"/>
      <c r="T544" s="487"/>
      <c r="U544" s="488"/>
      <c r="V544" s="492"/>
      <c r="W544" s="483"/>
      <c r="X544" s="495"/>
      <c r="Y544" s="484"/>
      <c r="Z544" s="498"/>
      <c r="AA544" s="502"/>
      <c r="AB544" s="503"/>
      <c r="AC544" s="508"/>
      <c r="AD544" s="509"/>
      <c r="AE544" s="509"/>
      <c r="AF544" s="511"/>
      <c r="AG544" s="511"/>
      <c r="AH544" s="511"/>
      <c r="AI544" s="511"/>
      <c r="AJ544" s="511"/>
      <c r="AK544" s="511"/>
      <c r="AL544" s="511"/>
      <c r="AM544" s="511"/>
      <c r="AN544" s="511"/>
      <c r="AO544" s="511"/>
      <c r="AP544" s="511"/>
      <c r="AQ544" s="466"/>
      <c r="AR544" s="468"/>
      <c r="AS544" s="122" t="s">
        <v>259</v>
      </c>
      <c r="AT544" s="123"/>
      <c r="AU544" s="123"/>
      <c r="AV544" s="123"/>
      <c r="AW544" s="124"/>
      <c r="AX544" s="126">
        <f t="shared" si="985"/>
        <v>0</v>
      </c>
      <c r="AY544" s="142" t="s">
        <v>259</v>
      </c>
      <c r="AZ544" s="138"/>
      <c r="BA544" s="138"/>
      <c r="BB544" s="135">
        <f t="shared" si="986"/>
        <v>0</v>
      </c>
      <c r="BC544" s="474" t="s">
        <v>260</v>
      </c>
      <c r="BD544" s="475"/>
      <c r="BE544" s="14"/>
      <c r="BF544" s="17"/>
      <c r="BG544" s="14"/>
      <c r="BH544" s="17"/>
      <c r="BI544" s="14"/>
      <c r="BJ544" s="17"/>
      <c r="BK544" s="14"/>
      <c r="BL544" s="17"/>
      <c r="BM544" s="14"/>
      <c r="BN544" s="17"/>
      <c r="BO544" s="14"/>
      <c r="BP544" s="17"/>
      <c r="BQ544" s="107">
        <f t="shared" si="882"/>
        <v>0</v>
      </c>
      <c r="BR544" s="567"/>
      <c r="BS544" s="571"/>
      <c r="BT544" s="572"/>
      <c r="BU544" s="558"/>
      <c r="BV544" s="561"/>
      <c r="BW544" s="564"/>
      <c r="BX544" s="616"/>
    </row>
    <row r="545" spans="1:76" ht="15.75" thickBot="1" x14ac:dyDescent="0.3">
      <c r="A545" s="586"/>
      <c r="B545" s="590"/>
      <c r="C545" s="591"/>
      <c r="D545" s="605"/>
      <c r="E545" s="517"/>
      <c r="F545" s="518"/>
      <c r="G545" s="523"/>
      <c r="H545" s="524"/>
      <c r="I545" s="529"/>
      <c r="J545" s="530"/>
      <c r="K545" s="513"/>
      <c r="L545" s="534"/>
      <c r="M545" s="537"/>
      <c r="N545" s="541"/>
      <c r="O545" s="542"/>
      <c r="P545" s="483"/>
      <c r="Q545" s="484"/>
      <c r="R545" s="517"/>
      <c r="S545" s="518"/>
      <c r="T545" s="487"/>
      <c r="U545" s="488"/>
      <c r="V545" s="492"/>
      <c r="W545" s="483"/>
      <c r="X545" s="495"/>
      <c r="Y545" s="484"/>
      <c r="Z545" s="498"/>
      <c r="AA545" s="502"/>
      <c r="AB545" s="503"/>
      <c r="AC545" s="471" t="s">
        <v>259</v>
      </c>
      <c r="AD545" s="472"/>
      <c r="AE545" s="473"/>
      <c r="AF545" s="100"/>
      <c r="AG545" s="100"/>
      <c r="AH545" s="100"/>
      <c r="AI545" s="100"/>
      <c r="AJ545" s="100"/>
      <c r="AK545" s="100"/>
      <c r="AL545" s="100"/>
      <c r="AM545" s="100"/>
      <c r="AN545" s="100"/>
      <c r="AO545" s="100"/>
      <c r="AP545" s="100"/>
      <c r="AQ545" s="101"/>
      <c r="AR545" s="104">
        <f t="shared" ref="AR545:AR546" si="987">SUM(AF545:AQ545)</f>
        <v>0</v>
      </c>
      <c r="AS545" s="128" t="s">
        <v>261</v>
      </c>
      <c r="AT545" s="129"/>
      <c r="AU545" s="129"/>
      <c r="AV545" s="129"/>
      <c r="AW545" s="130"/>
      <c r="AX545" s="126">
        <f t="shared" si="985"/>
        <v>0</v>
      </c>
      <c r="AY545" s="143" t="s">
        <v>261</v>
      </c>
      <c r="AZ545" s="139"/>
      <c r="BA545" s="139"/>
      <c r="BB545" s="136">
        <f t="shared" si="986"/>
        <v>0</v>
      </c>
      <c r="BC545" s="474" t="s">
        <v>262</v>
      </c>
      <c r="BD545" s="475"/>
      <c r="BE545" s="14"/>
      <c r="BF545" s="17"/>
      <c r="BG545" s="14"/>
      <c r="BH545" s="17"/>
      <c r="BI545" s="14"/>
      <c r="BJ545" s="17"/>
      <c r="BK545" s="14"/>
      <c r="BL545" s="17"/>
      <c r="BM545" s="14"/>
      <c r="BN545" s="17"/>
      <c r="BO545" s="14"/>
      <c r="BP545" s="17"/>
      <c r="BQ545" s="108">
        <f t="shared" si="882"/>
        <v>0</v>
      </c>
      <c r="BR545" s="567"/>
      <c r="BS545" s="571"/>
      <c r="BT545" s="572"/>
      <c r="BU545" s="558"/>
      <c r="BV545" s="561"/>
      <c r="BW545" s="564"/>
      <c r="BX545" s="616"/>
    </row>
    <row r="546" spans="1:76" ht="15.75" thickBot="1" x14ac:dyDescent="0.3">
      <c r="A546" s="587"/>
      <c r="B546" s="592"/>
      <c r="C546" s="593"/>
      <c r="D546" s="606"/>
      <c r="E546" s="519"/>
      <c r="F546" s="520"/>
      <c r="G546" s="525"/>
      <c r="H546" s="526"/>
      <c r="I546" s="531"/>
      <c r="J546" s="532"/>
      <c r="K546" s="514"/>
      <c r="L546" s="535"/>
      <c r="M546" s="538"/>
      <c r="N546" s="543"/>
      <c r="O546" s="544"/>
      <c r="P546" s="485"/>
      <c r="Q546" s="486"/>
      <c r="R546" s="519"/>
      <c r="S546" s="520"/>
      <c r="T546" s="489"/>
      <c r="U546" s="490"/>
      <c r="V546" s="493"/>
      <c r="W546" s="485"/>
      <c r="X546" s="496"/>
      <c r="Y546" s="486"/>
      <c r="Z546" s="499"/>
      <c r="AA546" s="504"/>
      <c r="AB546" s="505"/>
      <c r="AC546" s="476" t="s">
        <v>261</v>
      </c>
      <c r="AD546" s="477"/>
      <c r="AE546" s="478"/>
      <c r="AF546" s="102"/>
      <c r="AG546" s="102"/>
      <c r="AH546" s="102"/>
      <c r="AI546" s="102"/>
      <c r="AJ546" s="102"/>
      <c r="AK546" s="102"/>
      <c r="AL546" s="102"/>
      <c r="AM546" s="102"/>
      <c r="AN546" s="102"/>
      <c r="AO546" s="102"/>
      <c r="AP546" s="102"/>
      <c r="AQ546" s="103"/>
      <c r="AR546" s="105">
        <f t="shared" si="987"/>
        <v>0</v>
      </c>
      <c r="AS546" s="131" t="s">
        <v>161</v>
      </c>
      <c r="AT546" s="132">
        <f t="shared" ref="AT546:AX546" si="988">SUM(AT543:AT545)</f>
        <v>0</v>
      </c>
      <c r="AU546" s="132">
        <f t="shared" si="988"/>
        <v>0</v>
      </c>
      <c r="AV546" s="132">
        <f t="shared" si="988"/>
        <v>0</v>
      </c>
      <c r="AW546" s="133">
        <f t="shared" si="988"/>
        <v>0</v>
      </c>
      <c r="AX546" s="127">
        <f t="shared" si="988"/>
        <v>0</v>
      </c>
      <c r="AY546" s="144" t="s">
        <v>161</v>
      </c>
      <c r="AZ546" s="140">
        <f t="shared" ref="AZ546:BB546" si="989">SUM(AZ543:AZ545)</f>
        <v>0</v>
      </c>
      <c r="BA546" s="140">
        <f t="shared" si="989"/>
        <v>0</v>
      </c>
      <c r="BB546" s="140">
        <f t="shared" si="989"/>
        <v>0</v>
      </c>
      <c r="BC546" s="479" t="s">
        <v>263</v>
      </c>
      <c r="BD546" s="480"/>
      <c r="BE546" s="15"/>
      <c r="BF546" s="18"/>
      <c r="BG546" s="15"/>
      <c r="BH546" s="18"/>
      <c r="BI546" s="15"/>
      <c r="BJ546" s="18"/>
      <c r="BK546" s="15"/>
      <c r="BL546" s="18"/>
      <c r="BM546" s="15"/>
      <c r="BN546" s="18"/>
      <c r="BO546" s="15"/>
      <c r="BP546" s="18"/>
      <c r="BQ546" s="109">
        <f t="shared" si="882"/>
        <v>0</v>
      </c>
      <c r="BR546" s="568"/>
      <c r="BS546" s="573"/>
      <c r="BT546" s="574"/>
      <c r="BU546" s="559"/>
      <c r="BV546" s="562"/>
      <c r="BW546" s="565"/>
      <c r="BX546" s="617"/>
    </row>
    <row r="547" spans="1:76" ht="15.75" thickTop="1" x14ac:dyDescent="0.25">
      <c r="A547" s="585">
        <v>135</v>
      </c>
      <c r="B547" s="588"/>
      <c r="C547" s="589"/>
      <c r="D547" s="604"/>
      <c r="E547" s="515"/>
      <c r="F547" s="516"/>
      <c r="G547" s="521"/>
      <c r="H547" s="522"/>
      <c r="I547" s="527"/>
      <c r="J547" s="528"/>
      <c r="K547" s="512" t="e">
        <f t="shared" ref="K547" si="990">INT(YEARFRAC(I547,AA547))</f>
        <v>#VALUE!</v>
      </c>
      <c r="L547" s="533">
        <f t="shared" ref="L547" ca="1" si="991">INT(YEARFRAC(I547,TODAY()))</f>
        <v>121</v>
      </c>
      <c r="M547" s="536"/>
      <c r="N547" s="539"/>
      <c r="O547" s="540"/>
      <c r="P547" s="481"/>
      <c r="Q547" s="482"/>
      <c r="R547" s="515"/>
      <c r="S547" s="516"/>
      <c r="T547" s="487"/>
      <c r="U547" s="488"/>
      <c r="V547" s="491"/>
      <c r="W547" s="481"/>
      <c r="X547" s="494"/>
      <c r="Y547" s="482"/>
      <c r="Z547" s="497"/>
      <c r="AA547" s="500" t="s">
        <v>376</v>
      </c>
      <c r="AB547" s="501"/>
      <c r="AC547" s="506" t="s">
        <v>257</v>
      </c>
      <c r="AD547" s="507"/>
      <c r="AE547" s="507"/>
      <c r="AF547" s="510"/>
      <c r="AG547" s="510"/>
      <c r="AH547" s="510"/>
      <c r="AI547" s="510"/>
      <c r="AJ547" s="510"/>
      <c r="AK547" s="510"/>
      <c r="AL547" s="510"/>
      <c r="AM547" s="510"/>
      <c r="AN547" s="510"/>
      <c r="AO547" s="510"/>
      <c r="AP547" s="510"/>
      <c r="AQ547" s="465"/>
      <c r="AR547" s="467">
        <f t="shared" ref="AR547" si="992">SUM(AF547:AQ548)</f>
        <v>0</v>
      </c>
      <c r="AS547" s="119" t="s">
        <v>257</v>
      </c>
      <c r="AT547" s="120"/>
      <c r="AU547" s="120"/>
      <c r="AV547" s="120"/>
      <c r="AW547" s="121"/>
      <c r="AX547" s="125">
        <f t="shared" ref="AX547:AX549" si="993">SUM(AT547:AW547)</f>
        <v>0</v>
      </c>
      <c r="AY547" s="141" t="s">
        <v>257</v>
      </c>
      <c r="AZ547" s="137"/>
      <c r="BA547" s="137"/>
      <c r="BB547" s="134">
        <f t="shared" ref="BB547:BB549" si="994">AZ547-BA547</f>
        <v>0</v>
      </c>
      <c r="BC547" s="469" t="s">
        <v>258</v>
      </c>
      <c r="BD547" s="470"/>
      <c r="BE547" s="13"/>
      <c r="BF547" s="16"/>
      <c r="BG547" s="13"/>
      <c r="BH547" s="16"/>
      <c r="BI547" s="13"/>
      <c r="BJ547" s="16"/>
      <c r="BK547" s="13"/>
      <c r="BL547" s="16"/>
      <c r="BM547" s="13"/>
      <c r="BN547" s="16"/>
      <c r="BO547" s="13"/>
      <c r="BP547" s="16"/>
      <c r="BQ547" s="106">
        <f t="shared" si="882"/>
        <v>0</v>
      </c>
      <c r="BR547" s="566"/>
      <c r="BS547" s="569"/>
      <c r="BT547" s="570"/>
      <c r="BU547" s="557"/>
      <c r="BV547" s="560"/>
      <c r="BW547" s="563"/>
      <c r="BX547" s="615"/>
    </row>
    <row r="548" spans="1:76" x14ac:dyDescent="0.25">
      <c r="A548" s="586"/>
      <c r="B548" s="590"/>
      <c r="C548" s="591"/>
      <c r="D548" s="605"/>
      <c r="E548" s="517"/>
      <c r="F548" s="518"/>
      <c r="G548" s="523"/>
      <c r="H548" s="524"/>
      <c r="I548" s="529"/>
      <c r="J548" s="530"/>
      <c r="K548" s="513"/>
      <c r="L548" s="534"/>
      <c r="M548" s="537"/>
      <c r="N548" s="541"/>
      <c r="O548" s="542"/>
      <c r="P548" s="483"/>
      <c r="Q548" s="484"/>
      <c r="R548" s="517"/>
      <c r="S548" s="518"/>
      <c r="T548" s="487"/>
      <c r="U548" s="488"/>
      <c r="V548" s="492"/>
      <c r="W548" s="483"/>
      <c r="X548" s="495"/>
      <c r="Y548" s="484"/>
      <c r="Z548" s="498"/>
      <c r="AA548" s="502"/>
      <c r="AB548" s="503"/>
      <c r="AC548" s="508"/>
      <c r="AD548" s="509"/>
      <c r="AE548" s="509"/>
      <c r="AF548" s="511"/>
      <c r="AG548" s="511"/>
      <c r="AH548" s="511"/>
      <c r="AI548" s="511"/>
      <c r="AJ548" s="511"/>
      <c r="AK548" s="511"/>
      <c r="AL548" s="511"/>
      <c r="AM548" s="511"/>
      <c r="AN548" s="511"/>
      <c r="AO548" s="511"/>
      <c r="AP548" s="511"/>
      <c r="AQ548" s="466"/>
      <c r="AR548" s="468"/>
      <c r="AS548" s="122" t="s">
        <v>259</v>
      </c>
      <c r="AT548" s="123"/>
      <c r="AU548" s="123"/>
      <c r="AV548" s="123"/>
      <c r="AW548" s="124"/>
      <c r="AX548" s="126">
        <f t="shared" si="993"/>
        <v>0</v>
      </c>
      <c r="AY548" s="142" t="s">
        <v>259</v>
      </c>
      <c r="AZ548" s="138"/>
      <c r="BA548" s="138"/>
      <c r="BB548" s="135">
        <f t="shared" si="994"/>
        <v>0</v>
      </c>
      <c r="BC548" s="474" t="s">
        <v>260</v>
      </c>
      <c r="BD548" s="475"/>
      <c r="BE548" s="14"/>
      <c r="BF548" s="17"/>
      <c r="BG548" s="14"/>
      <c r="BH548" s="17"/>
      <c r="BI548" s="14"/>
      <c r="BJ548" s="17"/>
      <c r="BK548" s="14"/>
      <c r="BL548" s="17"/>
      <c r="BM548" s="14"/>
      <c r="BN548" s="17"/>
      <c r="BO548" s="14"/>
      <c r="BP548" s="17"/>
      <c r="BQ548" s="107">
        <f t="shared" si="882"/>
        <v>0</v>
      </c>
      <c r="BR548" s="567"/>
      <c r="BS548" s="571"/>
      <c r="BT548" s="572"/>
      <c r="BU548" s="558"/>
      <c r="BV548" s="561"/>
      <c r="BW548" s="564"/>
      <c r="BX548" s="616"/>
    </row>
    <row r="549" spans="1:76" ht="15.75" thickBot="1" x14ac:dyDescent="0.3">
      <c r="A549" s="586"/>
      <c r="B549" s="590"/>
      <c r="C549" s="591"/>
      <c r="D549" s="605"/>
      <c r="E549" s="517"/>
      <c r="F549" s="518"/>
      <c r="G549" s="523"/>
      <c r="H549" s="524"/>
      <c r="I549" s="529"/>
      <c r="J549" s="530"/>
      <c r="K549" s="513"/>
      <c r="L549" s="534"/>
      <c r="M549" s="537"/>
      <c r="N549" s="541"/>
      <c r="O549" s="542"/>
      <c r="P549" s="483"/>
      <c r="Q549" s="484"/>
      <c r="R549" s="517"/>
      <c r="S549" s="518"/>
      <c r="T549" s="487"/>
      <c r="U549" s="488"/>
      <c r="V549" s="492"/>
      <c r="W549" s="483"/>
      <c r="X549" s="495"/>
      <c r="Y549" s="484"/>
      <c r="Z549" s="498"/>
      <c r="AA549" s="502"/>
      <c r="AB549" s="503"/>
      <c r="AC549" s="471" t="s">
        <v>259</v>
      </c>
      <c r="AD549" s="472"/>
      <c r="AE549" s="473"/>
      <c r="AF549" s="100"/>
      <c r="AG549" s="100"/>
      <c r="AH549" s="100"/>
      <c r="AI549" s="100"/>
      <c r="AJ549" s="100"/>
      <c r="AK549" s="100"/>
      <c r="AL549" s="100"/>
      <c r="AM549" s="100"/>
      <c r="AN549" s="100"/>
      <c r="AO549" s="100"/>
      <c r="AP549" s="100"/>
      <c r="AQ549" s="101"/>
      <c r="AR549" s="104">
        <f t="shared" ref="AR549:AR550" si="995">SUM(AF549:AQ549)</f>
        <v>0</v>
      </c>
      <c r="AS549" s="128" t="s">
        <v>261</v>
      </c>
      <c r="AT549" s="129"/>
      <c r="AU549" s="129"/>
      <c r="AV549" s="129"/>
      <c r="AW549" s="130"/>
      <c r="AX549" s="126">
        <f t="shared" si="993"/>
        <v>0</v>
      </c>
      <c r="AY549" s="143" t="s">
        <v>261</v>
      </c>
      <c r="AZ549" s="139"/>
      <c r="BA549" s="139"/>
      <c r="BB549" s="136">
        <f t="shared" si="994"/>
        <v>0</v>
      </c>
      <c r="BC549" s="474" t="s">
        <v>262</v>
      </c>
      <c r="BD549" s="475"/>
      <c r="BE549" s="14"/>
      <c r="BF549" s="17"/>
      <c r="BG549" s="14"/>
      <c r="BH549" s="17"/>
      <c r="BI549" s="14"/>
      <c r="BJ549" s="17"/>
      <c r="BK549" s="14"/>
      <c r="BL549" s="17"/>
      <c r="BM549" s="14"/>
      <c r="BN549" s="17"/>
      <c r="BO549" s="14"/>
      <c r="BP549" s="17"/>
      <c r="BQ549" s="108">
        <f t="shared" si="882"/>
        <v>0</v>
      </c>
      <c r="BR549" s="567"/>
      <c r="BS549" s="571"/>
      <c r="BT549" s="572"/>
      <c r="BU549" s="558"/>
      <c r="BV549" s="561"/>
      <c r="BW549" s="564"/>
      <c r="BX549" s="616"/>
    </row>
    <row r="550" spans="1:76" ht="15.75" thickBot="1" x14ac:dyDescent="0.3">
      <c r="A550" s="587"/>
      <c r="B550" s="592"/>
      <c r="C550" s="593"/>
      <c r="D550" s="606"/>
      <c r="E550" s="519"/>
      <c r="F550" s="520"/>
      <c r="G550" s="525"/>
      <c r="H550" s="526"/>
      <c r="I550" s="531"/>
      <c r="J550" s="532"/>
      <c r="K550" s="514"/>
      <c r="L550" s="535"/>
      <c r="M550" s="538"/>
      <c r="N550" s="543"/>
      <c r="O550" s="544"/>
      <c r="P550" s="485"/>
      <c r="Q550" s="486"/>
      <c r="R550" s="519"/>
      <c r="S550" s="520"/>
      <c r="T550" s="489"/>
      <c r="U550" s="490"/>
      <c r="V550" s="493"/>
      <c r="W550" s="485"/>
      <c r="X550" s="496"/>
      <c r="Y550" s="486"/>
      <c r="Z550" s="499"/>
      <c r="AA550" s="504"/>
      <c r="AB550" s="505"/>
      <c r="AC550" s="476" t="s">
        <v>261</v>
      </c>
      <c r="AD550" s="477"/>
      <c r="AE550" s="478"/>
      <c r="AF550" s="102"/>
      <c r="AG550" s="102"/>
      <c r="AH550" s="102"/>
      <c r="AI550" s="102"/>
      <c r="AJ550" s="102"/>
      <c r="AK550" s="102"/>
      <c r="AL550" s="102"/>
      <c r="AM550" s="102"/>
      <c r="AN550" s="102"/>
      <c r="AO550" s="102"/>
      <c r="AP550" s="102"/>
      <c r="AQ550" s="103"/>
      <c r="AR550" s="105">
        <f t="shared" si="995"/>
        <v>0</v>
      </c>
      <c r="AS550" s="131" t="s">
        <v>161</v>
      </c>
      <c r="AT550" s="132">
        <f t="shared" ref="AT550:AX550" si="996">SUM(AT547:AT549)</f>
        <v>0</v>
      </c>
      <c r="AU550" s="132">
        <f t="shared" si="996"/>
        <v>0</v>
      </c>
      <c r="AV550" s="132">
        <f t="shared" si="996"/>
        <v>0</v>
      </c>
      <c r="AW550" s="133">
        <f t="shared" si="996"/>
        <v>0</v>
      </c>
      <c r="AX550" s="127">
        <f t="shared" si="996"/>
        <v>0</v>
      </c>
      <c r="AY550" s="144" t="s">
        <v>161</v>
      </c>
      <c r="AZ550" s="140">
        <f t="shared" ref="AZ550:BB550" si="997">SUM(AZ547:AZ549)</f>
        <v>0</v>
      </c>
      <c r="BA550" s="140">
        <f t="shared" si="997"/>
        <v>0</v>
      </c>
      <c r="BB550" s="140">
        <f t="shared" si="997"/>
        <v>0</v>
      </c>
      <c r="BC550" s="479" t="s">
        <v>263</v>
      </c>
      <c r="BD550" s="480"/>
      <c r="BE550" s="15"/>
      <c r="BF550" s="18"/>
      <c r="BG550" s="15"/>
      <c r="BH550" s="18"/>
      <c r="BI550" s="15"/>
      <c r="BJ550" s="18"/>
      <c r="BK550" s="15"/>
      <c r="BL550" s="18"/>
      <c r="BM550" s="15"/>
      <c r="BN550" s="18"/>
      <c r="BO550" s="15"/>
      <c r="BP550" s="18"/>
      <c r="BQ550" s="109">
        <f t="shared" si="882"/>
        <v>0</v>
      </c>
      <c r="BR550" s="568"/>
      <c r="BS550" s="573"/>
      <c r="BT550" s="574"/>
      <c r="BU550" s="559"/>
      <c r="BV550" s="562"/>
      <c r="BW550" s="565"/>
      <c r="BX550" s="617"/>
    </row>
    <row r="551" spans="1:76" ht="15.75" thickTop="1" x14ac:dyDescent="0.25">
      <c r="A551" s="585">
        <v>136</v>
      </c>
      <c r="B551" s="588"/>
      <c r="C551" s="589"/>
      <c r="D551" s="604"/>
      <c r="E551" s="515"/>
      <c r="F551" s="516"/>
      <c r="G551" s="521"/>
      <c r="H551" s="522"/>
      <c r="I551" s="527"/>
      <c r="J551" s="528"/>
      <c r="K551" s="512" t="e">
        <f t="shared" ref="K551" si="998">INT(YEARFRAC(I551,AA551))</f>
        <v>#VALUE!</v>
      </c>
      <c r="L551" s="533">
        <f t="shared" ref="L551" ca="1" si="999">INT(YEARFRAC(I551,TODAY()))</f>
        <v>121</v>
      </c>
      <c r="M551" s="536"/>
      <c r="N551" s="539"/>
      <c r="O551" s="540"/>
      <c r="P551" s="481"/>
      <c r="Q551" s="482"/>
      <c r="R551" s="515"/>
      <c r="S551" s="516"/>
      <c r="T551" s="487"/>
      <c r="U551" s="488"/>
      <c r="V551" s="491"/>
      <c r="W551" s="481"/>
      <c r="X551" s="494"/>
      <c r="Y551" s="482"/>
      <c r="Z551" s="497"/>
      <c r="AA551" s="500" t="s">
        <v>377</v>
      </c>
      <c r="AB551" s="501"/>
      <c r="AC551" s="506" t="s">
        <v>257</v>
      </c>
      <c r="AD551" s="507"/>
      <c r="AE551" s="507"/>
      <c r="AF551" s="510"/>
      <c r="AG551" s="510"/>
      <c r="AH551" s="510"/>
      <c r="AI551" s="510"/>
      <c r="AJ551" s="510"/>
      <c r="AK551" s="510"/>
      <c r="AL551" s="510"/>
      <c r="AM551" s="510"/>
      <c r="AN551" s="510"/>
      <c r="AO551" s="510"/>
      <c r="AP551" s="510"/>
      <c r="AQ551" s="465"/>
      <c r="AR551" s="467">
        <f t="shared" ref="AR551" si="1000">SUM(AF551:AQ552)</f>
        <v>0</v>
      </c>
      <c r="AS551" s="119" t="s">
        <v>257</v>
      </c>
      <c r="AT551" s="120"/>
      <c r="AU551" s="120"/>
      <c r="AV551" s="120"/>
      <c r="AW551" s="121"/>
      <c r="AX551" s="125">
        <f t="shared" ref="AX551:AX553" si="1001">SUM(AT551:AW551)</f>
        <v>0</v>
      </c>
      <c r="AY551" s="141" t="s">
        <v>257</v>
      </c>
      <c r="AZ551" s="137"/>
      <c r="BA551" s="137"/>
      <c r="BB551" s="134">
        <f t="shared" ref="BB551:BB553" si="1002">AZ551-BA551</f>
        <v>0</v>
      </c>
      <c r="BC551" s="469" t="s">
        <v>258</v>
      </c>
      <c r="BD551" s="470"/>
      <c r="BE551" s="13"/>
      <c r="BF551" s="16"/>
      <c r="BG551" s="13"/>
      <c r="BH551" s="16"/>
      <c r="BI551" s="13"/>
      <c r="BJ551" s="16"/>
      <c r="BK551" s="13"/>
      <c r="BL551" s="16"/>
      <c r="BM551" s="13"/>
      <c r="BN551" s="16"/>
      <c r="BO551" s="13"/>
      <c r="BP551" s="16"/>
      <c r="BQ551" s="106">
        <f t="shared" si="882"/>
        <v>0</v>
      </c>
      <c r="BR551" s="566"/>
      <c r="BS551" s="569"/>
      <c r="BT551" s="570"/>
      <c r="BU551" s="557"/>
      <c r="BV551" s="560"/>
      <c r="BW551" s="563"/>
      <c r="BX551" s="615"/>
    </row>
    <row r="552" spans="1:76" x14ac:dyDescent="0.25">
      <c r="A552" s="586"/>
      <c r="B552" s="590"/>
      <c r="C552" s="591"/>
      <c r="D552" s="605"/>
      <c r="E552" s="517"/>
      <c r="F552" s="518"/>
      <c r="G552" s="523"/>
      <c r="H552" s="524"/>
      <c r="I552" s="529"/>
      <c r="J552" s="530"/>
      <c r="K552" s="513"/>
      <c r="L552" s="534"/>
      <c r="M552" s="537"/>
      <c r="N552" s="541"/>
      <c r="O552" s="542"/>
      <c r="P552" s="483"/>
      <c r="Q552" s="484"/>
      <c r="R552" s="517"/>
      <c r="S552" s="518"/>
      <c r="T552" s="487"/>
      <c r="U552" s="488"/>
      <c r="V552" s="492"/>
      <c r="W552" s="483"/>
      <c r="X552" s="495"/>
      <c r="Y552" s="484"/>
      <c r="Z552" s="498"/>
      <c r="AA552" s="502"/>
      <c r="AB552" s="503"/>
      <c r="AC552" s="508"/>
      <c r="AD552" s="509"/>
      <c r="AE552" s="509"/>
      <c r="AF552" s="511"/>
      <c r="AG552" s="511"/>
      <c r="AH552" s="511"/>
      <c r="AI552" s="511"/>
      <c r="AJ552" s="511"/>
      <c r="AK552" s="511"/>
      <c r="AL552" s="511"/>
      <c r="AM552" s="511"/>
      <c r="AN552" s="511"/>
      <c r="AO552" s="511"/>
      <c r="AP552" s="511"/>
      <c r="AQ552" s="466"/>
      <c r="AR552" s="468"/>
      <c r="AS552" s="122" t="s">
        <v>259</v>
      </c>
      <c r="AT552" s="123"/>
      <c r="AU552" s="123"/>
      <c r="AV552" s="123"/>
      <c r="AW552" s="124"/>
      <c r="AX552" s="126">
        <f t="shared" si="1001"/>
        <v>0</v>
      </c>
      <c r="AY552" s="142" t="s">
        <v>259</v>
      </c>
      <c r="AZ552" s="138"/>
      <c r="BA552" s="138"/>
      <c r="BB552" s="135">
        <f t="shared" si="1002"/>
        <v>0</v>
      </c>
      <c r="BC552" s="474" t="s">
        <v>260</v>
      </c>
      <c r="BD552" s="475"/>
      <c r="BE552" s="14"/>
      <c r="BF552" s="17"/>
      <c r="BG552" s="14"/>
      <c r="BH552" s="17"/>
      <c r="BI552" s="14"/>
      <c r="BJ552" s="17"/>
      <c r="BK552" s="14"/>
      <c r="BL552" s="17"/>
      <c r="BM552" s="14"/>
      <c r="BN552" s="17"/>
      <c r="BO552" s="14"/>
      <c r="BP552" s="17"/>
      <c r="BQ552" s="107">
        <f t="shared" si="882"/>
        <v>0</v>
      </c>
      <c r="BR552" s="567"/>
      <c r="BS552" s="571"/>
      <c r="BT552" s="572"/>
      <c r="BU552" s="558"/>
      <c r="BV552" s="561"/>
      <c r="BW552" s="564"/>
      <c r="BX552" s="616"/>
    </row>
    <row r="553" spans="1:76" ht="15.75" thickBot="1" x14ac:dyDescent="0.3">
      <c r="A553" s="586"/>
      <c r="B553" s="590"/>
      <c r="C553" s="591"/>
      <c r="D553" s="605"/>
      <c r="E553" s="517"/>
      <c r="F553" s="518"/>
      <c r="G553" s="523"/>
      <c r="H553" s="524"/>
      <c r="I553" s="529"/>
      <c r="J553" s="530"/>
      <c r="K553" s="513"/>
      <c r="L553" s="534"/>
      <c r="M553" s="537"/>
      <c r="N553" s="541"/>
      <c r="O553" s="542"/>
      <c r="P553" s="483"/>
      <c r="Q553" s="484"/>
      <c r="R553" s="517"/>
      <c r="S553" s="518"/>
      <c r="T553" s="487"/>
      <c r="U553" s="488"/>
      <c r="V553" s="492"/>
      <c r="W553" s="483"/>
      <c r="X553" s="495"/>
      <c r="Y553" s="484"/>
      <c r="Z553" s="498"/>
      <c r="AA553" s="502"/>
      <c r="AB553" s="503"/>
      <c r="AC553" s="471" t="s">
        <v>259</v>
      </c>
      <c r="AD553" s="472"/>
      <c r="AE553" s="473"/>
      <c r="AF553" s="100"/>
      <c r="AG553" s="100"/>
      <c r="AH553" s="100"/>
      <c r="AI553" s="100"/>
      <c r="AJ553" s="100"/>
      <c r="AK553" s="100"/>
      <c r="AL553" s="100"/>
      <c r="AM553" s="100"/>
      <c r="AN553" s="100"/>
      <c r="AO553" s="100"/>
      <c r="AP553" s="100"/>
      <c r="AQ553" s="101"/>
      <c r="AR553" s="104">
        <f t="shared" ref="AR553:AR554" si="1003">SUM(AF553:AQ553)</f>
        <v>0</v>
      </c>
      <c r="AS553" s="128" t="s">
        <v>261</v>
      </c>
      <c r="AT553" s="129"/>
      <c r="AU553" s="129"/>
      <c r="AV553" s="129"/>
      <c r="AW553" s="130"/>
      <c r="AX553" s="126">
        <f t="shared" si="1001"/>
        <v>0</v>
      </c>
      <c r="AY553" s="143" t="s">
        <v>261</v>
      </c>
      <c r="AZ553" s="139"/>
      <c r="BA553" s="139"/>
      <c r="BB553" s="136">
        <f t="shared" si="1002"/>
        <v>0</v>
      </c>
      <c r="BC553" s="474" t="s">
        <v>262</v>
      </c>
      <c r="BD553" s="475"/>
      <c r="BE553" s="14"/>
      <c r="BF553" s="17"/>
      <c r="BG553" s="14"/>
      <c r="BH553" s="17"/>
      <c r="BI553" s="14"/>
      <c r="BJ553" s="17"/>
      <c r="BK553" s="14"/>
      <c r="BL553" s="17"/>
      <c r="BM553" s="14"/>
      <c r="BN553" s="17"/>
      <c r="BO553" s="14"/>
      <c r="BP553" s="17"/>
      <c r="BQ553" s="108">
        <f t="shared" si="882"/>
        <v>0</v>
      </c>
      <c r="BR553" s="567"/>
      <c r="BS553" s="571"/>
      <c r="BT553" s="572"/>
      <c r="BU553" s="558"/>
      <c r="BV553" s="561"/>
      <c r="BW553" s="564"/>
      <c r="BX553" s="616"/>
    </row>
    <row r="554" spans="1:76" ht="15.75" thickBot="1" x14ac:dyDescent="0.3">
      <c r="A554" s="587"/>
      <c r="B554" s="592"/>
      <c r="C554" s="593"/>
      <c r="D554" s="606"/>
      <c r="E554" s="519"/>
      <c r="F554" s="520"/>
      <c r="G554" s="525"/>
      <c r="H554" s="526"/>
      <c r="I554" s="531"/>
      <c r="J554" s="532"/>
      <c r="K554" s="514"/>
      <c r="L554" s="535"/>
      <c r="M554" s="538"/>
      <c r="N554" s="543"/>
      <c r="O554" s="544"/>
      <c r="P554" s="485"/>
      <c r="Q554" s="486"/>
      <c r="R554" s="519"/>
      <c r="S554" s="520"/>
      <c r="T554" s="489"/>
      <c r="U554" s="490"/>
      <c r="V554" s="493"/>
      <c r="W554" s="485"/>
      <c r="X554" s="496"/>
      <c r="Y554" s="486"/>
      <c r="Z554" s="499"/>
      <c r="AA554" s="504"/>
      <c r="AB554" s="505"/>
      <c r="AC554" s="476" t="s">
        <v>261</v>
      </c>
      <c r="AD554" s="477"/>
      <c r="AE554" s="478"/>
      <c r="AF554" s="102"/>
      <c r="AG554" s="102"/>
      <c r="AH554" s="102"/>
      <c r="AI554" s="102"/>
      <c r="AJ554" s="102"/>
      <c r="AK554" s="102"/>
      <c r="AL554" s="102"/>
      <c r="AM554" s="102"/>
      <c r="AN554" s="102"/>
      <c r="AO554" s="102"/>
      <c r="AP554" s="102"/>
      <c r="AQ554" s="103"/>
      <c r="AR554" s="105">
        <f t="shared" si="1003"/>
        <v>0</v>
      </c>
      <c r="AS554" s="131" t="s">
        <v>161</v>
      </c>
      <c r="AT554" s="132">
        <f t="shared" ref="AT554:AX554" si="1004">SUM(AT551:AT553)</f>
        <v>0</v>
      </c>
      <c r="AU554" s="132">
        <f t="shared" si="1004"/>
        <v>0</v>
      </c>
      <c r="AV554" s="132">
        <f t="shared" si="1004"/>
        <v>0</v>
      </c>
      <c r="AW554" s="133">
        <f t="shared" si="1004"/>
        <v>0</v>
      </c>
      <c r="AX554" s="127">
        <f t="shared" si="1004"/>
        <v>0</v>
      </c>
      <c r="AY554" s="144" t="s">
        <v>161</v>
      </c>
      <c r="AZ554" s="140">
        <f t="shared" ref="AZ554:BB554" si="1005">SUM(AZ551:AZ553)</f>
        <v>0</v>
      </c>
      <c r="BA554" s="140">
        <f t="shared" si="1005"/>
        <v>0</v>
      </c>
      <c r="BB554" s="140">
        <f t="shared" si="1005"/>
        <v>0</v>
      </c>
      <c r="BC554" s="479" t="s">
        <v>263</v>
      </c>
      <c r="BD554" s="480"/>
      <c r="BE554" s="15"/>
      <c r="BF554" s="18"/>
      <c r="BG554" s="15"/>
      <c r="BH554" s="18"/>
      <c r="BI554" s="15"/>
      <c r="BJ554" s="18"/>
      <c r="BK554" s="15"/>
      <c r="BL554" s="18"/>
      <c r="BM554" s="15"/>
      <c r="BN554" s="18"/>
      <c r="BO554" s="15"/>
      <c r="BP554" s="18"/>
      <c r="BQ554" s="109">
        <f t="shared" si="882"/>
        <v>0</v>
      </c>
      <c r="BR554" s="568"/>
      <c r="BS554" s="573"/>
      <c r="BT554" s="574"/>
      <c r="BU554" s="559"/>
      <c r="BV554" s="562"/>
      <c r="BW554" s="565"/>
      <c r="BX554" s="617"/>
    </row>
    <row r="555" spans="1:76" ht="15.75" thickTop="1" x14ac:dyDescent="0.25">
      <c r="A555" s="585">
        <v>137</v>
      </c>
      <c r="B555" s="588"/>
      <c r="C555" s="589"/>
      <c r="D555" s="604"/>
      <c r="E555" s="515"/>
      <c r="F555" s="516"/>
      <c r="G555" s="521"/>
      <c r="H555" s="522"/>
      <c r="I555" s="527"/>
      <c r="J555" s="528"/>
      <c r="K555" s="512" t="e">
        <f t="shared" ref="K555" si="1006">INT(YEARFRAC(I555,AA555))</f>
        <v>#VALUE!</v>
      </c>
      <c r="L555" s="533">
        <f t="shared" ref="L555" ca="1" si="1007">INT(YEARFRAC(I555,TODAY()))</f>
        <v>121</v>
      </c>
      <c r="M555" s="536"/>
      <c r="N555" s="539"/>
      <c r="O555" s="540"/>
      <c r="P555" s="481"/>
      <c r="Q555" s="482"/>
      <c r="R555" s="515"/>
      <c r="S555" s="516"/>
      <c r="T555" s="487"/>
      <c r="U555" s="488"/>
      <c r="V555" s="491"/>
      <c r="W555" s="481"/>
      <c r="X555" s="494"/>
      <c r="Y555" s="482"/>
      <c r="Z555" s="497"/>
      <c r="AA555" s="500" t="s">
        <v>378</v>
      </c>
      <c r="AB555" s="501"/>
      <c r="AC555" s="506" t="s">
        <v>257</v>
      </c>
      <c r="AD555" s="507"/>
      <c r="AE555" s="507"/>
      <c r="AF555" s="510"/>
      <c r="AG555" s="510"/>
      <c r="AH555" s="510"/>
      <c r="AI555" s="510"/>
      <c r="AJ555" s="510"/>
      <c r="AK555" s="510"/>
      <c r="AL555" s="510"/>
      <c r="AM555" s="510"/>
      <c r="AN555" s="510"/>
      <c r="AO555" s="510"/>
      <c r="AP555" s="510"/>
      <c r="AQ555" s="465"/>
      <c r="AR555" s="467">
        <f t="shared" ref="AR555" si="1008">SUM(AF555:AQ556)</f>
        <v>0</v>
      </c>
      <c r="AS555" s="119" t="s">
        <v>257</v>
      </c>
      <c r="AT555" s="120"/>
      <c r="AU555" s="120"/>
      <c r="AV555" s="120"/>
      <c r="AW555" s="121"/>
      <c r="AX555" s="125">
        <f t="shared" ref="AX555:AX557" si="1009">SUM(AT555:AW555)</f>
        <v>0</v>
      </c>
      <c r="AY555" s="141" t="s">
        <v>257</v>
      </c>
      <c r="AZ555" s="137"/>
      <c r="BA555" s="137"/>
      <c r="BB555" s="134">
        <f t="shared" ref="BB555:BB557" si="1010">AZ555-BA555</f>
        <v>0</v>
      </c>
      <c r="BC555" s="469" t="s">
        <v>258</v>
      </c>
      <c r="BD555" s="470"/>
      <c r="BE555" s="13"/>
      <c r="BF555" s="16"/>
      <c r="BG555" s="13"/>
      <c r="BH555" s="16"/>
      <c r="BI555" s="13"/>
      <c r="BJ555" s="16"/>
      <c r="BK555" s="13"/>
      <c r="BL555" s="16"/>
      <c r="BM555" s="13"/>
      <c r="BN555" s="16"/>
      <c r="BO555" s="13"/>
      <c r="BP555" s="16"/>
      <c r="BQ555" s="106">
        <f t="shared" ref="BQ555:BQ618" si="1011">SUM(BE555:BP555)</f>
        <v>0</v>
      </c>
      <c r="BR555" s="566"/>
      <c r="BS555" s="569"/>
      <c r="BT555" s="570"/>
      <c r="BU555" s="557"/>
      <c r="BV555" s="560"/>
      <c r="BW555" s="563"/>
      <c r="BX555" s="615"/>
    </row>
    <row r="556" spans="1:76" x14ac:dyDescent="0.25">
      <c r="A556" s="586"/>
      <c r="B556" s="590"/>
      <c r="C556" s="591"/>
      <c r="D556" s="605"/>
      <c r="E556" s="517"/>
      <c r="F556" s="518"/>
      <c r="G556" s="523"/>
      <c r="H556" s="524"/>
      <c r="I556" s="529"/>
      <c r="J556" s="530"/>
      <c r="K556" s="513"/>
      <c r="L556" s="534"/>
      <c r="M556" s="537"/>
      <c r="N556" s="541"/>
      <c r="O556" s="542"/>
      <c r="P556" s="483"/>
      <c r="Q556" s="484"/>
      <c r="R556" s="517"/>
      <c r="S556" s="518"/>
      <c r="T556" s="487"/>
      <c r="U556" s="488"/>
      <c r="V556" s="492"/>
      <c r="W556" s="483"/>
      <c r="X556" s="495"/>
      <c r="Y556" s="484"/>
      <c r="Z556" s="498"/>
      <c r="AA556" s="502"/>
      <c r="AB556" s="503"/>
      <c r="AC556" s="508"/>
      <c r="AD556" s="509"/>
      <c r="AE556" s="509"/>
      <c r="AF556" s="511"/>
      <c r="AG556" s="511"/>
      <c r="AH556" s="511"/>
      <c r="AI556" s="511"/>
      <c r="AJ556" s="511"/>
      <c r="AK556" s="511"/>
      <c r="AL556" s="511"/>
      <c r="AM556" s="511"/>
      <c r="AN556" s="511"/>
      <c r="AO556" s="511"/>
      <c r="AP556" s="511"/>
      <c r="AQ556" s="466"/>
      <c r="AR556" s="468"/>
      <c r="AS556" s="122" t="s">
        <v>259</v>
      </c>
      <c r="AT556" s="123"/>
      <c r="AU556" s="123"/>
      <c r="AV556" s="123"/>
      <c r="AW556" s="124"/>
      <c r="AX556" s="126">
        <f t="shared" si="1009"/>
        <v>0</v>
      </c>
      <c r="AY556" s="142" t="s">
        <v>259</v>
      </c>
      <c r="AZ556" s="138"/>
      <c r="BA556" s="138"/>
      <c r="BB556" s="135">
        <f t="shared" si="1010"/>
        <v>0</v>
      </c>
      <c r="BC556" s="474" t="s">
        <v>260</v>
      </c>
      <c r="BD556" s="475"/>
      <c r="BE556" s="14"/>
      <c r="BF556" s="17"/>
      <c r="BG556" s="14"/>
      <c r="BH556" s="17"/>
      <c r="BI556" s="14"/>
      <c r="BJ556" s="17"/>
      <c r="BK556" s="14"/>
      <c r="BL556" s="17"/>
      <c r="BM556" s="14"/>
      <c r="BN556" s="17"/>
      <c r="BO556" s="14"/>
      <c r="BP556" s="17"/>
      <c r="BQ556" s="107">
        <f t="shared" si="1011"/>
        <v>0</v>
      </c>
      <c r="BR556" s="567"/>
      <c r="BS556" s="571"/>
      <c r="BT556" s="572"/>
      <c r="BU556" s="558"/>
      <c r="BV556" s="561"/>
      <c r="BW556" s="564"/>
      <c r="BX556" s="616"/>
    </row>
    <row r="557" spans="1:76" ht="15.75" thickBot="1" x14ac:dyDescent="0.3">
      <c r="A557" s="586"/>
      <c r="B557" s="590"/>
      <c r="C557" s="591"/>
      <c r="D557" s="605"/>
      <c r="E557" s="517"/>
      <c r="F557" s="518"/>
      <c r="G557" s="523"/>
      <c r="H557" s="524"/>
      <c r="I557" s="529"/>
      <c r="J557" s="530"/>
      <c r="K557" s="513"/>
      <c r="L557" s="534"/>
      <c r="M557" s="537"/>
      <c r="N557" s="541"/>
      <c r="O557" s="542"/>
      <c r="P557" s="483"/>
      <c r="Q557" s="484"/>
      <c r="R557" s="517"/>
      <c r="S557" s="518"/>
      <c r="T557" s="487"/>
      <c r="U557" s="488"/>
      <c r="V557" s="492"/>
      <c r="W557" s="483"/>
      <c r="X557" s="495"/>
      <c r="Y557" s="484"/>
      <c r="Z557" s="498"/>
      <c r="AA557" s="502"/>
      <c r="AB557" s="503"/>
      <c r="AC557" s="471" t="s">
        <v>259</v>
      </c>
      <c r="AD557" s="472"/>
      <c r="AE557" s="473"/>
      <c r="AF557" s="100"/>
      <c r="AG557" s="100"/>
      <c r="AH557" s="100"/>
      <c r="AI557" s="100"/>
      <c r="AJ557" s="100"/>
      <c r="AK557" s="100"/>
      <c r="AL557" s="100"/>
      <c r="AM557" s="100"/>
      <c r="AN557" s="100"/>
      <c r="AO557" s="100"/>
      <c r="AP557" s="100"/>
      <c r="AQ557" s="101"/>
      <c r="AR557" s="104">
        <f t="shared" ref="AR557:AR558" si="1012">SUM(AF557:AQ557)</f>
        <v>0</v>
      </c>
      <c r="AS557" s="128" t="s">
        <v>261</v>
      </c>
      <c r="AT557" s="129"/>
      <c r="AU557" s="129"/>
      <c r="AV557" s="129"/>
      <c r="AW557" s="130"/>
      <c r="AX557" s="126">
        <f t="shared" si="1009"/>
        <v>0</v>
      </c>
      <c r="AY557" s="143" t="s">
        <v>261</v>
      </c>
      <c r="AZ557" s="139"/>
      <c r="BA557" s="139"/>
      <c r="BB557" s="136">
        <f t="shared" si="1010"/>
        <v>0</v>
      </c>
      <c r="BC557" s="474" t="s">
        <v>262</v>
      </c>
      <c r="BD557" s="475"/>
      <c r="BE557" s="14"/>
      <c r="BF557" s="17"/>
      <c r="BG557" s="14"/>
      <c r="BH557" s="17"/>
      <c r="BI557" s="14"/>
      <c r="BJ557" s="17"/>
      <c r="BK557" s="14"/>
      <c r="BL557" s="17"/>
      <c r="BM557" s="14"/>
      <c r="BN557" s="17"/>
      <c r="BO557" s="14"/>
      <c r="BP557" s="17"/>
      <c r="BQ557" s="108">
        <f t="shared" si="1011"/>
        <v>0</v>
      </c>
      <c r="BR557" s="567"/>
      <c r="BS557" s="571"/>
      <c r="BT557" s="572"/>
      <c r="BU557" s="558"/>
      <c r="BV557" s="561"/>
      <c r="BW557" s="564"/>
      <c r="BX557" s="616"/>
    </row>
    <row r="558" spans="1:76" ht="15.75" thickBot="1" x14ac:dyDescent="0.3">
      <c r="A558" s="587"/>
      <c r="B558" s="592"/>
      <c r="C558" s="593"/>
      <c r="D558" s="606"/>
      <c r="E558" s="519"/>
      <c r="F558" s="520"/>
      <c r="G558" s="525"/>
      <c r="H558" s="526"/>
      <c r="I558" s="531"/>
      <c r="J558" s="532"/>
      <c r="K558" s="514"/>
      <c r="L558" s="535"/>
      <c r="M558" s="538"/>
      <c r="N558" s="543"/>
      <c r="O558" s="544"/>
      <c r="P558" s="485"/>
      <c r="Q558" s="486"/>
      <c r="R558" s="519"/>
      <c r="S558" s="520"/>
      <c r="T558" s="489"/>
      <c r="U558" s="490"/>
      <c r="V558" s="493"/>
      <c r="W558" s="485"/>
      <c r="X558" s="496"/>
      <c r="Y558" s="486"/>
      <c r="Z558" s="499"/>
      <c r="AA558" s="504"/>
      <c r="AB558" s="505"/>
      <c r="AC558" s="476" t="s">
        <v>261</v>
      </c>
      <c r="AD558" s="477"/>
      <c r="AE558" s="478"/>
      <c r="AF558" s="102"/>
      <c r="AG558" s="102"/>
      <c r="AH558" s="102"/>
      <c r="AI558" s="102"/>
      <c r="AJ558" s="102"/>
      <c r="AK558" s="102"/>
      <c r="AL558" s="102"/>
      <c r="AM558" s="102"/>
      <c r="AN558" s="102"/>
      <c r="AO558" s="102"/>
      <c r="AP558" s="102"/>
      <c r="AQ558" s="103"/>
      <c r="AR558" s="105">
        <f t="shared" si="1012"/>
        <v>0</v>
      </c>
      <c r="AS558" s="131" t="s">
        <v>161</v>
      </c>
      <c r="AT558" s="132">
        <f t="shared" ref="AT558:AX558" si="1013">SUM(AT555:AT557)</f>
        <v>0</v>
      </c>
      <c r="AU558" s="132">
        <f t="shared" si="1013"/>
        <v>0</v>
      </c>
      <c r="AV558" s="132">
        <f t="shared" si="1013"/>
        <v>0</v>
      </c>
      <c r="AW558" s="133">
        <f t="shared" si="1013"/>
        <v>0</v>
      </c>
      <c r="AX558" s="127">
        <f t="shared" si="1013"/>
        <v>0</v>
      </c>
      <c r="AY558" s="144" t="s">
        <v>161</v>
      </c>
      <c r="AZ558" s="140">
        <f t="shared" ref="AZ558:BB558" si="1014">SUM(AZ555:AZ557)</f>
        <v>0</v>
      </c>
      <c r="BA558" s="140">
        <f t="shared" si="1014"/>
        <v>0</v>
      </c>
      <c r="BB558" s="140">
        <f t="shared" si="1014"/>
        <v>0</v>
      </c>
      <c r="BC558" s="479" t="s">
        <v>263</v>
      </c>
      <c r="BD558" s="480"/>
      <c r="BE558" s="15"/>
      <c r="BF558" s="18"/>
      <c r="BG558" s="15"/>
      <c r="BH558" s="18"/>
      <c r="BI558" s="15"/>
      <c r="BJ558" s="18"/>
      <c r="BK558" s="15"/>
      <c r="BL558" s="18"/>
      <c r="BM558" s="15"/>
      <c r="BN558" s="18"/>
      <c r="BO558" s="15"/>
      <c r="BP558" s="18"/>
      <c r="BQ558" s="109">
        <f t="shared" si="1011"/>
        <v>0</v>
      </c>
      <c r="BR558" s="568"/>
      <c r="BS558" s="573"/>
      <c r="BT558" s="574"/>
      <c r="BU558" s="559"/>
      <c r="BV558" s="562"/>
      <c r="BW558" s="565"/>
      <c r="BX558" s="617"/>
    </row>
    <row r="559" spans="1:76" ht="15.75" thickTop="1" x14ac:dyDescent="0.25">
      <c r="A559" s="585">
        <v>138</v>
      </c>
      <c r="B559" s="588"/>
      <c r="C559" s="589"/>
      <c r="D559" s="604"/>
      <c r="E559" s="515"/>
      <c r="F559" s="516"/>
      <c r="G559" s="521"/>
      <c r="H559" s="522"/>
      <c r="I559" s="527"/>
      <c r="J559" s="528"/>
      <c r="K559" s="512" t="e">
        <f t="shared" ref="K559" si="1015">INT(YEARFRAC(I559,AA559))</f>
        <v>#VALUE!</v>
      </c>
      <c r="L559" s="533">
        <f t="shared" ref="L559" ca="1" si="1016">INT(YEARFRAC(I559,TODAY()))</f>
        <v>121</v>
      </c>
      <c r="M559" s="536"/>
      <c r="N559" s="539"/>
      <c r="O559" s="540"/>
      <c r="P559" s="481"/>
      <c r="Q559" s="482"/>
      <c r="R559" s="515"/>
      <c r="S559" s="516"/>
      <c r="T559" s="487"/>
      <c r="U559" s="488"/>
      <c r="V559" s="491"/>
      <c r="W559" s="481"/>
      <c r="X559" s="494"/>
      <c r="Y559" s="482"/>
      <c r="Z559" s="497"/>
      <c r="AA559" s="500" t="s">
        <v>379</v>
      </c>
      <c r="AB559" s="501"/>
      <c r="AC559" s="506" t="s">
        <v>257</v>
      </c>
      <c r="AD559" s="507"/>
      <c r="AE559" s="507"/>
      <c r="AF559" s="510"/>
      <c r="AG559" s="510"/>
      <c r="AH559" s="510"/>
      <c r="AI559" s="510"/>
      <c r="AJ559" s="510"/>
      <c r="AK559" s="510"/>
      <c r="AL559" s="510"/>
      <c r="AM559" s="510"/>
      <c r="AN559" s="510"/>
      <c r="AO559" s="510"/>
      <c r="AP559" s="510"/>
      <c r="AQ559" s="465"/>
      <c r="AR559" s="467">
        <f t="shared" ref="AR559" si="1017">SUM(AF559:AQ560)</f>
        <v>0</v>
      </c>
      <c r="AS559" s="119" t="s">
        <v>257</v>
      </c>
      <c r="AT559" s="120"/>
      <c r="AU559" s="120"/>
      <c r="AV559" s="120"/>
      <c r="AW559" s="121"/>
      <c r="AX559" s="125">
        <f t="shared" ref="AX559:AX561" si="1018">SUM(AT559:AW559)</f>
        <v>0</v>
      </c>
      <c r="AY559" s="141" t="s">
        <v>257</v>
      </c>
      <c r="AZ559" s="137"/>
      <c r="BA559" s="137"/>
      <c r="BB559" s="134">
        <f t="shared" ref="BB559:BB561" si="1019">AZ559-BA559</f>
        <v>0</v>
      </c>
      <c r="BC559" s="469" t="s">
        <v>258</v>
      </c>
      <c r="BD559" s="470"/>
      <c r="BE559" s="13"/>
      <c r="BF559" s="16"/>
      <c r="BG559" s="13"/>
      <c r="BH559" s="16"/>
      <c r="BI559" s="13"/>
      <c r="BJ559" s="16"/>
      <c r="BK559" s="13"/>
      <c r="BL559" s="16"/>
      <c r="BM559" s="13"/>
      <c r="BN559" s="16"/>
      <c r="BO559" s="13"/>
      <c r="BP559" s="16"/>
      <c r="BQ559" s="106">
        <f t="shared" si="1011"/>
        <v>0</v>
      </c>
      <c r="BR559" s="566"/>
      <c r="BS559" s="569"/>
      <c r="BT559" s="570"/>
      <c r="BU559" s="557"/>
      <c r="BV559" s="560"/>
      <c r="BW559" s="563"/>
      <c r="BX559" s="615"/>
    </row>
    <row r="560" spans="1:76" x14ac:dyDescent="0.25">
      <c r="A560" s="586"/>
      <c r="B560" s="590"/>
      <c r="C560" s="591"/>
      <c r="D560" s="605"/>
      <c r="E560" s="517"/>
      <c r="F560" s="518"/>
      <c r="G560" s="523"/>
      <c r="H560" s="524"/>
      <c r="I560" s="529"/>
      <c r="J560" s="530"/>
      <c r="K560" s="513"/>
      <c r="L560" s="534"/>
      <c r="M560" s="537"/>
      <c r="N560" s="541"/>
      <c r="O560" s="542"/>
      <c r="P560" s="483"/>
      <c r="Q560" s="484"/>
      <c r="R560" s="517"/>
      <c r="S560" s="518"/>
      <c r="T560" s="487"/>
      <c r="U560" s="488"/>
      <c r="V560" s="492"/>
      <c r="W560" s="483"/>
      <c r="X560" s="495"/>
      <c r="Y560" s="484"/>
      <c r="Z560" s="498"/>
      <c r="AA560" s="502"/>
      <c r="AB560" s="503"/>
      <c r="AC560" s="508"/>
      <c r="AD560" s="509"/>
      <c r="AE560" s="509"/>
      <c r="AF560" s="511"/>
      <c r="AG560" s="511"/>
      <c r="AH560" s="511"/>
      <c r="AI560" s="511"/>
      <c r="AJ560" s="511"/>
      <c r="AK560" s="511"/>
      <c r="AL560" s="511"/>
      <c r="AM560" s="511"/>
      <c r="AN560" s="511"/>
      <c r="AO560" s="511"/>
      <c r="AP560" s="511"/>
      <c r="AQ560" s="466"/>
      <c r="AR560" s="468"/>
      <c r="AS560" s="122" t="s">
        <v>259</v>
      </c>
      <c r="AT560" s="123"/>
      <c r="AU560" s="123"/>
      <c r="AV560" s="123"/>
      <c r="AW560" s="124"/>
      <c r="AX560" s="126">
        <f t="shared" si="1018"/>
        <v>0</v>
      </c>
      <c r="AY560" s="142" t="s">
        <v>259</v>
      </c>
      <c r="AZ560" s="138"/>
      <c r="BA560" s="138"/>
      <c r="BB560" s="135">
        <f t="shared" si="1019"/>
        <v>0</v>
      </c>
      <c r="BC560" s="474" t="s">
        <v>260</v>
      </c>
      <c r="BD560" s="475"/>
      <c r="BE560" s="14"/>
      <c r="BF560" s="17"/>
      <c r="BG560" s="14"/>
      <c r="BH560" s="17"/>
      <c r="BI560" s="14"/>
      <c r="BJ560" s="17"/>
      <c r="BK560" s="14"/>
      <c r="BL560" s="17"/>
      <c r="BM560" s="14"/>
      <c r="BN560" s="17"/>
      <c r="BO560" s="14"/>
      <c r="BP560" s="17"/>
      <c r="BQ560" s="107">
        <f t="shared" si="1011"/>
        <v>0</v>
      </c>
      <c r="BR560" s="567"/>
      <c r="BS560" s="571"/>
      <c r="BT560" s="572"/>
      <c r="BU560" s="558"/>
      <c r="BV560" s="561"/>
      <c r="BW560" s="564"/>
      <c r="BX560" s="616"/>
    </row>
    <row r="561" spans="1:76" ht="15.75" thickBot="1" x14ac:dyDescent="0.3">
      <c r="A561" s="586"/>
      <c r="B561" s="590"/>
      <c r="C561" s="591"/>
      <c r="D561" s="605"/>
      <c r="E561" s="517"/>
      <c r="F561" s="518"/>
      <c r="G561" s="523"/>
      <c r="H561" s="524"/>
      <c r="I561" s="529"/>
      <c r="J561" s="530"/>
      <c r="K561" s="513"/>
      <c r="L561" s="534"/>
      <c r="M561" s="537"/>
      <c r="N561" s="541"/>
      <c r="O561" s="542"/>
      <c r="P561" s="483"/>
      <c r="Q561" s="484"/>
      <c r="R561" s="517"/>
      <c r="S561" s="518"/>
      <c r="T561" s="487"/>
      <c r="U561" s="488"/>
      <c r="V561" s="492"/>
      <c r="W561" s="483"/>
      <c r="X561" s="495"/>
      <c r="Y561" s="484"/>
      <c r="Z561" s="498"/>
      <c r="AA561" s="502"/>
      <c r="AB561" s="503"/>
      <c r="AC561" s="471" t="s">
        <v>259</v>
      </c>
      <c r="AD561" s="472"/>
      <c r="AE561" s="473"/>
      <c r="AF561" s="100"/>
      <c r="AG561" s="100"/>
      <c r="AH561" s="100"/>
      <c r="AI561" s="100"/>
      <c r="AJ561" s="100"/>
      <c r="AK561" s="100"/>
      <c r="AL561" s="100"/>
      <c r="AM561" s="100"/>
      <c r="AN561" s="100"/>
      <c r="AO561" s="100"/>
      <c r="AP561" s="100"/>
      <c r="AQ561" s="101"/>
      <c r="AR561" s="104">
        <f t="shared" ref="AR561:AR562" si="1020">SUM(AF561:AQ561)</f>
        <v>0</v>
      </c>
      <c r="AS561" s="128" t="s">
        <v>261</v>
      </c>
      <c r="AT561" s="129"/>
      <c r="AU561" s="129"/>
      <c r="AV561" s="129"/>
      <c r="AW561" s="130"/>
      <c r="AX561" s="126">
        <f t="shared" si="1018"/>
        <v>0</v>
      </c>
      <c r="AY561" s="143" t="s">
        <v>261</v>
      </c>
      <c r="AZ561" s="139"/>
      <c r="BA561" s="139"/>
      <c r="BB561" s="136">
        <f t="shared" si="1019"/>
        <v>0</v>
      </c>
      <c r="BC561" s="474" t="s">
        <v>262</v>
      </c>
      <c r="BD561" s="475"/>
      <c r="BE561" s="14"/>
      <c r="BF561" s="17"/>
      <c r="BG561" s="14"/>
      <c r="BH561" s="17"/>
      <c r="BI561" s="14"/>
      <c r="BJ561" s="17"/>
      <c r="BK561" s="14"/>
      <c r="BL561" s="17"/>
      <c r="BM561" s="14"/>
      <c r="BN561" s="17"/>
      <c r="BO561" s="14"/>
      <c r="BP561" s="17"/>
      <c r="BQ561" s="108">
        <f t="shared" si="1011"/>
        <v>0</v>
      </c>
      <c r="BR561" s="567"/>
      <c r="BS561" s="571"/>
      <c r="BT561" s="572"/>
      <c r="BU561" s="558"/>
      <c r="BV561" s="561"/>
      <c r="BW561" s="564"/>
      <c r="BX561" s="616"/>
    </row>
    <row r="562" spans="1:76" ht="15.75" thickBot="1" x14ac:dyDescent="0.3">
      <c r="A562" s="587"/>
      <c r="B562" s="592"/>
      <c r="C562" s="593"/>
      <c r="D562" s="606"/>
      <c r="E562" s="519"/>
      <c r="F562" s="520"/>
      <c r="G562" s="525"/>
      <c r="H562" s="526"/>
      <c r="I562" s="531"/>
      <c r="J562" s="532"/>
      <c r="K562" s="514"/>
      <c r="L562" s="535"/>
      <c r="M562" s="538"/>
      <c r="N562" s="543"/>
      <c r="O562" s="544"/>
      <c r="P562" s="485"/>
      <c r="Q562" s="486"/>
      <c r="R562" s="519"/>
      <c r="S562" s="520"/>
      <c r="T562" s="489"/>
      <c r="U562" s="490"/>
      <c r="V562" s="493"/>
      <c r="W562" s="485"/>
      <c r="X562" s="496"/>
      <c r="Y562" s="486"/>
      <c r="Z562" s="499"/>
      <c r="AA562" s="504"/>
      <c r="AB562" s="505"/>
      <c r="AC562" s="476" t="s">
        <v>261</v>
      </c>
      <c r="AD562" s="477"/>
      <c r="AE562" s="478"/>
      <c r="AF562" s="102"/>
      <c r="AG562" s="102"/>
      <c r="AH562" s="102"/>
      <c r="AI562" s="102"/>
      <c r="AJ562" s="102"/>
      <c r="AK562" s="102"/>
      <c r="AL562" s="102"/>
      <c r="AM562" s="102"/>
      <c r="AN562" s="102"/>
      <c r="AO562" s="102"/>
      <c r="AP562" s="102"/>
      <c r="AQ562" s="103"/>
      <c r="AR562" s="105">
        <f t="shared" si="1020"/>
        <v>0</v>
      </c>
      <c r="AS562" s="131" t="s">
        <v>161</v>
      </c>
      <c r="AT562" s="132">
        <f t="shared" ref="AT562:AX562" si="1021">SUM(AT559:AT561)</f>
        <v>0</v>
      </c>
      <c r="AU562" s="132">
        <f t="shared" si="1021"/>
        <v>0</v>
      </c>
      <c r="AV562" s="132">
        <f t="shared" si="1021"/>
        <v>0</v>
      </c>
      <c r="AW562" s="133">
        <f t="shared" si="1021"/>
        <v>0</v>
      </c>
      <c r="AX562" s="127">
        <f t="shared" si="1021"/>
        <v>0</v>
      </c>
      <c r="AY562" s="144" t="s">
        <v>161</v>
      </c>
      <c r="AZ562" s="140">
        <f t="shared" ref="AZ562:BB562" si="1022">SUM(AZ559:AZ561)</f>
        <v>0</v>
      </c>
      <c r="BA562" s="140">
        <f t="shared" si="1022"/>
        <v>0</v>
      </c>
      <c r="BB562" s="140">
        <f t="shared" si="1022"/>
        <v>0</v>
      </c>
      <c r="BC562" s="479" t="s">
        <v>263</v>
      </c>
      <c r="BD562" s="480"/>
      <c r="BE562" s="15"/>
      <c r="BF562" s="18"/>
      <c r="BG562" s="15"/>
      <c r="BH562" s="18"/>
      <c r="BI562" s="15"/>
      <c r="BJ562" s="18"/>
      <c r="BK562" s="15"/>
      <c r="BL562" s="18"/>
      <c r="BM562" s="15"/>
      <c r="BN562" s="18"/>
      <c r="BO562" s="15"/>
      <c r="BP562" s="18"/>
      <c r="BQ562" s="109">
        <f t="shared" si="1011"/>
        <v>0</v>
      </c>
      <c r="BR562" s="568"/>
      <c r="BS562" s="573"/>
      <c r="BT562" s="574"/>
      <c r="BU562" s="559"/>
      <c r="BV562" s="562"/>
      <c r="BW562" s="565"/>
      <c r="BX562" s="617"/>
    </row>
    <row r="563" spans="1:76" ht="15.75" thickTop="1" x14ac:dyDescent="0.25">
      <c r="A563" s="585">
        <v>139</v>
      </c>
      <c r="B563" s="588"/>
      <c r="C563" s="589"/>
      <c r="D563" s="604"/>
      <c r="E563" s="515"/>
      <c r="F563" s="516"/>
      <c r="G563" s="521"/>
      <c r="H563" s="522"/>
      <c r="I563" s="527"/>
      <c r="J563" s="528"/>
      <c r="K563" s="512" t="e">
        <f t="shared" ref="K563" si="1023">INT(YEARFRAC(I563,AA563))</f>
        <v>#VALUE!</v>
      </c>
      <c r="L563" s="533">
        <f t="shared" ref="L563" ca="1" si="1024">INT(YEARFRAC(I563,TODAY()))</f>
        <v>121</v>
      </c>
      <c r="M563" s="536"/>
      <c r="N563" s="539"/>
      <c r="O563" s="540"/>
      <c r="P563" s="481"/>
      <c r="Q563" s="482"/>
      <c r="R563" s="515"/>
      <c r="S563" s="516"/>
      <c r="T563" s="487"/>
      <c r="U563" s="488"/>
      <c r="V563" s="491"/>
      <c r="W563" s="481"/>
      <c r="X563" s="494"/>
      <c r="Y563" s="482"/>
      <c r="Z563" s="497"/>
      <c r="AA563" s="500" t="s">
        <v>380</v>
      </c>
      <c r="AB563" s="501"/>
      <c r="AC563" s="506" t="s">
        <v>257</v>
      </c>
      <c r="AD563" s="507"/>
      <c r="AE563" s="507"/>
      <c r="AF563" s="510"/>
      <c r="AG563" s="510"/>
      <c r="AH563" s="510"/>
      <c r="AI563" s="510"/>
      <c r="AJ563" s="510"/>
      <c r="AK563" s="510"/>
      <c r="AL563" s="510"/>
      <c r="AM563" s="510"/>
      <c r="AN563" s="510"/>
      <c r="AO563" s="510"/>
      <c r="AP563" s="510"/>
      <c r="AQ563" s="465"/>
      <c r="AR563" s="467">
        <f t="shared" ref="AR563" si="1025">SUM(AF563:AQ564)</f>
        <v>0</v>
      </c>
      <c r="AS563" s="119" t="s">
        <v>257</v>
      </c>
      <c r="AT563" s="120"/>
      <c r="AU563" s="120"/>
      <c r="AV563" s="120"/>
      <c r="AW563" s="121"/>
      <c r="AX563" s="125">
        <f t="shared" ref="AX563:AX565" si="1026">SUM(AT563:AW563)</f>
        <v>0</v>
      </c>
      <c r="AY563" s="141" t="s">
        <v>257</v>
      </c>
      <c r="AZ563" s="137"/>
      <c r="BA563" s="137"/>
      <c r="BB563" s="134">
        <f t="shared" ref="BB563:BB565" si="1027">AZ563-BA563</f>
        <v>0</v>
      </c>
      <c r="BC563" s="469" t="s">
        <v>258</v>
      </c>
      <c r="BD563" s="470"/>
      <c r="BE563" s="13"/>
      <c r="BF563" s="16"/>
      <c r="BG563" s="13"/>
      <c r="BH563" s="16"/>
      <c r="BI563" s="13"/>
      <c r="BJ563" s="16"/>
      <c r="BK563" s="13"/>
      <c r="BL563" s="16"/>
      <c r="BM563" s="13"/>
      <c r="BN563" s="16"/>
      <c r="BO563" s="13"/>
      <c r="BP563" s="16"/>
      <c r="BQ563" s="106">
        <f t="shared" si="1011"/>
        <v>0</v>
      </c>
      <c r="BR563" s="566"/>
      <c r="BS563" s="569"/>
      <c r="BT563" s="570"/>
      <c r="BU563" s="557"/>
      <c r="BV563" s="560"/>
      <c r="BW563" s="563"/>
      <c r="BX563" s="615"/>
    </row>
    <row r="564" spans="1:76" x14ac:dyDescent="0.25">
      <c r="A564" s="586"/>
      <c r="B564" s="590"/>
      <c r="C564" s="591"/>
      <c r="D564" s="605"/>
      <c r="E564" s="517"/>
      <c r="F564" s="518"/>
      <c r="G564" s="523"/>
      <c r="H564" s="524"/>
      <c r="I564" s="529"/>
      <c r="J564" s="530"/>
      <c r="K564" s="513"/>
      <c r="L564" s="534"/>
      <c r="M564" s="537"/>
      <c r="N564" s="541"/>
      <c r="O564" s="542"/>
      <c r="P564" s="483"/>
      <c r="Q564" s="484"/>
      <c r="R564" s="517"/>
      <c r="S564" s="518"/>
      <c r="T564" s="487"/>
      <c r="U564" s="488"/>
      <c r="V564" s="492"/>
      <c r="W564" s="483"/>
      <c r="X564" s="495"/>
      <c r="Y564" s="484"/>
      <c r="Z564" s="498"/>
      <c r="AA564" s="502"/>
      <c r="AB564" s="503"/>
      <c r="AC564" s="508"/>
      <c r="AD564" s="509"/>
      <c r="AE564" s="509"/>
      <c r="AF564" s="511"/>
      <c r="AG564" s="511"/>
      <c r="AH564" s="511"/>
      <c r="AI564" s="511"/>
      <c r="AJ564" s="511"/>
      <c r="AK564" s="511"/>
      <c r="AL564" s="511"/>
      <c r="AM564" s="511"/>
      <c r="AN564" s="511"/>
      <c r="AO564" s="511"/>
      <c r="AP564" s="511"/>
      <c r="AQ564" s="466"/>
      <c r="AR564" s="468"/>
      <c r="AS564" s="122" t="s">
        <v>259</v>
      </c>
      <c r="AT564" s="123"/>
      <c r="AU564" s="123"/>
      <c r="AV564" s="123"/>
      <c r="AW564" s="124"/>
      <c r="AX564" s="126">
        <f t="shared" si="1026"/>
        <v>0</v>
      </c>
      <c r="AY564" s="142" t="s">
        <v>259</v>
      </c>
      <c r="AZ564" s="138"/>
      <c r="BA564" s="138"/>
      <c r="BB564" s="135">
        <f t="shared" si="1027"/>
        <v>0</v>
      </c>
      <c r="BC564" s="474" t="s">
        <v>260</v>
      </c>
      <c r="BD564" s="475"/>
      <c r="BE564" s="14"/>
      <c r="BF564" s="17"/>
      <c r="BG564" s="14"/>
      <c r="BH564" s="17"/>
      <c r="BI564" s="14"/>
      <c r="BJ564" s="17"/>
      <c r="BK564" s="14"/>
      <c r="BL564" s="17"/>
      <c r="BM564" s="14"/>
      <c r="BN564" s="17"/>
      <c r="BO564" s="14"/>
      <c r="BP564" s="17"/>
      <c r="BQ564" s="107">
        <f t="shared" si="1011"/>
        <v>0</v>
      </c>
      <c r="BR564" s="567"/>
      <c r="BS564" s="571"/>
      <c r="BT564" s="572"/>
      <c r="BU564" s="558"/>
      <c r="BV564" s="561"/>
      <c r="BW564" s="564"/>
      <c r="BX564" s="616"/>
    </row>
    <row r="565" spans="1:76" ht="15.75" thickBot="1" x14ac:dyDescent="0.3">
      <c r="A565" s="586"/>
      <c r="B565" s="590"/>
      <c r="C565" s="591"/>
      <c r="D565" s="605"/>
      <c r="E565" s="517"/>
      <c r="F565" s="518"/>
      <c r="G565" s="523"/>
      <c r="H565" s="524"/>
      <c r="I565" s="529"/>
      <c r="J565" s="530"/>
      <c r="K565" s="513"/>
      <c r="L565" s="534"/>
      <c r="M565" s="537"/>
      <c r="N565" s="541"/>
      <c r="O565" s="542"/>
      <c r="P565" s="483"/>
      <c r="Q565" s="484"/>
      <c r="R565" s="517"/>
      <c r="S565" s="518"/>
      <c r="T565" s="487"/>
      <c r="U565" s="488"/>
      <c r="V565" s="492"/>
      <c r="W565" s="483"/>
      <c r="X565" s="495"/>
      <c r="Y565" s="484"/>
      <c r="Z565" s="498"/>
      <c r="AA565" s="502"/>
      <c r="AB565" s="503"/>
      <c r="AC565" s="471" t="s">
        <v>259</v>
      </c>
      <c r="AD565" s="472"/>
      <c r="AE565" s="473"/>
      <c r="AF565" s="100"/>
      <c r="AG565" s="100"/>
      <c r="AH565" s="100"/>
      <c r="AI565" s="100"/>
      <c r="AJ565" s="100"/>
      <c r="AK565" s="100"/>
      <c r="AL565" s="100"/>
      <c r="AM565" s="100"/>
      <c r="AN565" s="100"/>
      <c r="AO565" s="100"/>
      <c r="AP565" s="100"/>
      <c r="AQ565" s="101"/>
      <c r="AR565" s="104">
        <f t="shared" ref="AR565:AR566" si="1028">SUM(AF565:AQ565)</f>
        <v>0</v>
      </c>
      <c r="AS565" s="128" t="s">
        <v>261</v>
      </c>
      <c r="AT565" s="129"/>
      <c r="AU565" s="129"/>
      <c r="AV565" s="129"/>
      <c r="AW565" s="130"/>
      <c r="AX565" s="126">
        <f t="shared" si="1026"/>
        <v>0</v>
      </c>
      <c r="AY565" s="143" t="s">
        <v>261</v>
      </c>
      <c r="AZ565" s="139"/>
      <c r="BA565" s="139"/>
      <c r="BB565" s="136">
        <f t="shared" si="1027"/>
        <v>0</v>
      </c>
      <c r="BC565" s="474" t="s">
        <v>262</v>
      </c>
      <c r="BD565" s="475"/>
      <c r="BE565" s="14"/>
      <c r="BF565" s="17"/>
      <c r="BG565" s="14"/>
      <c r="BH565" s="17"/>
      <c r="BI565" s="14"/>
      <c r="BJ565" s="17"/>
      <c r="BK565" s="14"/>
      <c r="BL565" s="17"/>
      <c r="BM565" s="14"/>
      <c r="BN565" s="17"/>
      <c r="BO565" s="14"/>
      <c r="BP565" s="17"/>
      <c r="BQ565" s="108">
        <f t="shared" si="1011"/>
        <v>0</v>
      </c>
      <c r="BR565" s="567"/>
      <c r="BS565" s="571"/>
      <c r="BT565" s="572"/>
      <c r="BU565" s="558"/>
      <c r="BV565" s="561"/>
      <c r="BW565" s="564"/>
      <c r="BX565" s="616"/>
    </row>
    <row r="566" spans="1:76" ht="15.75" thickBot="1" x14ac:dyDescent="0.3">
      <c r="A566" s="587"/>
      <c r="B566" s="592"/>
      <c r="C566" s="593"/>
      <c r="D566" s="606"/>
      <c r="E566" s="519"/>
      <c r="F566" s="520"/>
      <c r="G566" s="525"/>
      <c r="H566" s="526"/>
      <c r="I566" s="531"/>
      <c r="J566" s="532"/>
      <c r="K566" s="514"/>
      <c r="L566" s="535"/>
      <c r="M566" s="538"/>
      <c r="N566" s="543"/>
      <c r="O566" s="544"/>
      <c r="P566" s="485"/>
      <c r="Q566" s="486"/>
      <c r="R566" s="519"/>
      <c r="S566" s="520"/>
      <c r="T566" s="489"/>
      <c r="U566" s="490"/>
      <c r="V566" s="493"/>
      <c r="W566" s="485"/>
      <c r="X566" s="496"/>
      <c r="Y566" s="486"/>
      <c r="Z566" s="499"/>
      <c r="AA566" s="504"/>
      <c r="AB566" s="505"/>
      <c r="AC566" s="476" t="s">
        <v>261</v>
      </c>
      <c r="AD566" s="477"/>
      <c r="AE566" s="478"/>
      <c r="AF566" s="102"/>
      <c r="AG566" s="102"/>
      <c r="AH566" s="102"/>
      <c r="AI566" s="102"/>
      <c r="AJ566" s="102"/>
      <c r="AK566" s="102"/>
      <c r="AL566" s="102"/>
      <c r="AM566" s="102"/>
      <c r="AN566" s="102"/>
      <c r="AO566" s="102"/>
      <c r="AP566" s="102"/>
      <c r="AQ566" s="103"/>
      <c r="AR566" s="105">
        <f t="shared" si="1028"/>
        <v>0</v>
      </c>
      <c r="AS566" s="131" t="s">
        <v>161</v>
      </c>
      <c r="AT566" s="132">
        <f t="shared" ref="AT566:AX566" si="1029">SUM(AT563:AT565)</f>
        <v>0</v>
      </c>
      <c r="AU566" s="132">
        <f t="shared" si="1029"/>
        <v>0</v>
      </c>
      <c r="AV566" s="132">
        <f t="shared" si="1029"/>
        <v>0</v>
      </c>
      <c r="AW566" s="133">
        <f t="shared" si="1029"/>
        <v>0</v>
      </c>
      <c r="AX566" s="127">
        <f t="shared" si="1029"/>
        <v>0</v>
      </c>
      <c r="AY566" s="144" t="s">
        <v>161</v>
      </c>
      <c r="AZ566" s="140">
        <f t="shared" ref="AZ566:BB566" si="1030">SUM(AZ563:AZ565)</f>
        <v>0</v>
      </c>
      <c r="BA566" s="140">
        <f t="shared" si="1030"/>
        <v>0</v>
      </c>
      <c r="BB566" s="140">
        <f t="shared" si="1030"/>
        <v>0</v>
      </c>
      <c r="BC566" s="479" t="s">
        <v>263</v>
      </c>
      <c r="BD566" s="480"/>
      <c r="BE566" s="15"/>
      <c r="BF566" s="18"/>
      <c r="BG566" s="15"/>
      <c r="BH566" s="18"/>
      <c r="BI566" s="15"/>
      <c r="BJ566" s="18"/>
      <c r="BK566" s="15"/>
      <c r="BL566" s="18"/>
      <c r="BM566" s="15"/>
      <c r="BN566" s="18"/>
      <c r="BO566" s="15"/>
      <c r="BP566" s="18"/>
      <c r="BQ566" s="109">
        <f t="shared" si="1011"/>
        <v>0</v>
      </c>
      <c r="BR566" s="568"/>
      <c r="BS566" s="573"/>
      <c r="BT566" s="574"/>
      <c r="BU566" s="559"/>
      <c r="BV566" s="562"/>
      <c r="BW566" s="565"/>
      <c r="BX566" s="617"/>
    </row>
    <row r="567" spans="1:76" ht="15.75" thickTop="1" x14ac:dyDescent="0.25">
      <c r="A567" s="585">
        <v>140</v>
      </c>
      <c r="B567" s="588"/>
      <c r="C567" s="589"/>
      <c r="D567" s="604"/>
      <c r="E567" s="515"/>
      <c r="F567" s="516"/>
      <c r="G567" s="521"/>
      <c r="H567" s="522"/>
      <c r="I567" s="527"/>
      <c r="J567" s="528"/>
      <c r="K567" s="512" t="e">
        <f t="shared" ref="K567" si="1031">INT(YEARFRAC(I567,AA567))</f>
        <v>#VALUE!</v>
      </c>
      <c r="L567" s="533">
        <f t="shared" ref="L567" ca="1" si="1032">INT(YEARFRAC(I567,TODAY()))</f>
        <v>121</v>
      </c>
      <c r="M567" s="536"/>
      <c r="N567" s="539"/>
      <c r="O567" s="540"/>
      <c r="P567" s="481"/>
      <c r="Q567" s="482"/>
      <c r="R567" s="515"/>
      <c r="S567" s="516"/>
      <c r="T567" s="487"/>
      <c r="U567" s="488"/>
      <c r="V567" s="491"/>
      <c r="W567" s="481"/>
      <c r="X567" s="494"/>
      <c r="Y567" s="482"/>
      <c r="Z567" s="497"/>
      <c r="AA567" s="500" t="s">
        <v>381</v>
      </c>
      <c r="AB567" s="501"/>
      <c r="AC567" s="506" t="s">
        <v>257</v>
      </c>
      <c r="AD567" s="507"/>
      <c r="AE567" s="507"/>
      <c r="AF567" s="510"/>
      <c r="AG567" s="510"/>
      <c r="AH567" s="510"/>
      <c r="AI567" s="510"/>
      <c r="AJ567" s="510"/>
      <c r="AK567" s="510"/>
      <c r="AL567" s="510"/>
      <c r="AM567" s="510"/>
      <c r="AN567" s="510"/>
      <c r="AO567" s="510"/>
      <c r="AP567" s="510"/>
      <c r="AQ567" s="465"/>
      <c r="AR567" s="467">
        <f t="shared" ref="AR567" si="1033">SUM(AF567:AQ568)</f>
        <v>0</v>
      </c>
      <c r="AS567" s="119" t="s">
        <v>257</v>
      </c>
      <c r="AT567" s="120"/>
      <c r="AU567" s="120"/>
      <c r="AV567" s="120"/>
      <c r="AW567" s="121"/>
      <c r="AX567" s="125">
        <f t="shared" ref="AX567:AX569" si="1034">SUM(AT567:AW567)</f>
        <v>0</v>
      </c>
      <c r="AY567" s="141" t="s">
        <v>257</v>
      </c>
      <c r="AZ567" s="137"/>
      <c r="BA567" s="137"/>
      <c r="BB567" s="134">
        <f t="shared" ref="BB567:BB569" si="1035">AZ567-BA567</f>
        <v>0</v>
      </c>
      <c r="BC567" s="469" t="s">
        <v>258</v>
      </c>
      <c r="BD567" s="470"/>
      <c r="BE567" s="13"/>
      <c r="BF567" s="16"/>
      <c r="BG567" s="13"/>
      <c r="BH567" s="16"/>
      <c r="BI567" s="13"/>
      <c r="BJ567" s="16"/>
      <c r="BK567" s="13"/>
      <c r="BL567" s="16"/>
      <c r="BM567" s="13"/>
      <c r="BN567" s="16"/>
      <c r="BO567" s="13"/>
      <c r="BP567" s="16"/>
      <c r="BQ567" s="106">
        <f t="shared" si="1011"/>
        <v>0</v>
      </c>
      <c r="BR567" s="566"/>
      <c r="BS567" s="569"/>
      <c r="BT567" s="570"/>
      <c r="BU567" s="557"/>
      <c r="BV567" s="560"/>
      <c r="BW567" s="563"/>
      <c r="BX567" s="615"/>
    </row>
    <row r="568" spans="1:76" x14ac:dyDescent="0.25">
      <c r="A568" s="586"/>
      <c r="B568" s="590"/>
      <c r="C568" s="591"/>
      <c r="D568" s="605"/>
      <c r="E568" s="517"/>
      <c r="F568" s="518"/>
      <c r="G568" s="523"/>
      <c r="H568" s="524"/>
      <c r="I568" s="529"/>
      <c r="J568" s="530"/>
      <c r="K568" s="513"/>
      <c r="L568" s="534"/>
      <c r="M568" s="537"/>
      <c r="N568" s="541"/>
      <c r="O568" s="542"/>
      <c r="P568" s="483"/>
      <c r="Q568" s="484"/>
      <c r="R568" s="517"/>
      <c r="S568" s="518"/>
      <c r="T568" s="487"/>
      <c r="U568" s="488"/>
      <c r="V568" s="492"/>
      <c r="W568" s="483"/>
      <c r="X568" s="495"/>
      <c r="Y568" s="484"/>
      <c r="Z568" s="498"/>
      <c r="AA568" s="502"/>
      <c r="AB568" s="503"/>
      <c r="AC568" s="508"/>
      <c r="AD568" s="509"/>
      <c r="AE568" s="509"/>
      <c r="AF568" s="511"/>
      <c r="AG568" s="511"/>
      <c r="AH568" s="511"/>
      <c r="AI568" s="511"/>
      <c r="AJ568" s="511"/>
      <c r="AK568" s="511"/>
      <c r="AL568" s="511"/>
      <c r="AM568" s="511"/>
      <c r="AN568" s="511"/>
      <c r="AO568" s="511"/>
      <c r="AP568" s="511"/>
      <c r="AQ568" s="466"/>
      <c r="AR568" s="468"/>
      <c r="AS568" s="122" t="s">
        <v>259</v>
      </c>
      <c r="AT568" s="123"/>
      <c r="AU568" s="123"/>
      <c r="AV568" s="123"/>
      <c r="AW568" s="124"/>
      <c r="AX568" s="126">
        <f t="shared" si="1034"/>
        <v>0</v>
      </c>
      <c r="AY568" s="142" t="s">
        <v>259</v>
      </c>
      <c r="AZ568" s="138"/>
      <c r="BA568" s="138"/>
      <c r="BB568" s="135">
        <f t="shared" si="1035"/>
        <v>0</v>
      </c>
      <c r="BC568" s="474" t="s">
        <v>260</v>
      </c>
      <c r="BD568" s="475"/>
      <c r="BE568" s="14"/>
      <c r="BF568" s="17"/>
      <c r="BG568" s="14"/>
      <c r="BH568" s="17"/>
      <c r="BI568" s="14"/>
      <c r="BJ568" s="17"/>
      <c r="BK568" s="14"/>
      <c r="BL568" s="17"/>
      <c r="BM568" s="14"/>
      <c r="BN568" s="17"/>
      <c r="BO568" s="14"/>
      <c r="BP568" s="17"/>
      <c r="BQ568" s="107">
        <f t="shared" si="1011"/>
        <v>0</v>
      </c>
      <c r="BR568" s="567"/>
      <c r="BS568" s="571"/>
      <c r="BT568" s="572"/>
      <c r="BU568" s="558"/>
      <c r="BV568" s="561"/>
      <c r="BW568" s="564"/>
      <c r="BX568" s="616"/>
    </row>
    <row r="569" spans="1:76" ht="15.75" thickBot="1" x14ac:dyDescent="0.3">
      <c r="A569" s="586"/>
      <c r="B569" s="590"/>
      <c r="C569" s="591"/>
      <c r="D569" s="605"/>
      <c r="E569" s="517"/>
      <c r="F569" s="518"/>
      <c r="G569" s="523"/>
      <c r="H569" s="524"/>
      <c r="I569" s="529"/>
      <c r="J569" s="530"/>
      <c r="K569" s="513"/>
      <c r="L569" s="534"/>
      <c r="M569" s="537"/>
      <c r="N569" s="541"/>
      <c r="O569" s="542"/>
      <c r="P569" s="483"/>
      <c r="Q569" s="484"/>
      <c r="R569" s="517"/>
      <c r="S569" s="518"/>
      <c r="T569" s="487"/>
      <c r="U569" s="488"/>
      <c r="V569" s="492"/>
      <c r="W569" s="483"/>
      <c r="X569" s="495"/>
      <c r="Y569" s="484"/>
      <c r="Z569" s="498"/>
      <c r="AA569" s="502"/>
      <c r="AB569" s="503"/>
      <c r="AC569" s="471" t="s">
        <v>259</v>
      </c>
      <c r="AD569" s="472"/>
      <c r="AE569" s="473"/>
      <c r="AF569" s="100"/>
      <c r="AG569" s="100"/>
      <c r="AH569" s="100"/>
      <c r="AI569" s="100"/>
      <c r="AJ569" s="100"/>
      <c r="AK569" s="100"/>
      <c r="AL569" s="100"/>
      <c r="AM569" s="100"/>
      <c r="AN569" s="100"/>
      <c r="AO569" s="100"/>
      <c r="AP569" s="100"/>
      <c r="AQ569" s="101"/>
      <c r="AR569" s="104">
        <f t="shared" ref="AR569:AR570" si="1036">SUM(AF569:AQ569)</f>
        <v>0</v>
      </c>
      <c r="AS569" s="128" t="s">
        <v>261</v>
      </c>
      <c r="AT569" s="129"/>
      <c r="AU569" s="129"/>
      <c r="AV569" s="129"/>
      <c r="AW569" s="130"/>
      <c r="AX569" s="126">
        <f t="shared" si="1034"/>
        <v>0</v>
      </c>
      <c r="AY569" s="143" t="s">
        <v>261</v>
      </c>
      <c r="AZ569" s="139"/>
      <c r="BA569" s="139"/>
      <c r="BB569" s="136">
        <f t="shared" si="1035"/>
        <v>0</v>
      </c>
      <c r="BC569" s="474" t="s">
        <v>262</v>
      </c>
      <c r="BD569" s="475"/>
      <c r="BE569" s="14"/>
      <c r="BF569" s="17"/>
      <c r="BG569" s="14"/>
      <c r="BH569" s="17"/>
      <c r="BI569" s="14"/>
      <c r="BJ569" s="17"/>
      <c r="BK569" s="14"/>
      <c r="BL569" s="17"/>
      <c r="BM569" s="14"/>
      <c r="BN569" s="17"/>
      <c r="BO569" s="14"/>
      <c r="BP569" s="17"/>
      <c r="BQ569" s="108">
        <f t="shared" si="1011"/>
        <v>0</v>
      </c>
      <c r="BR569" s="567"/>
      <c r="BS569" s="571"/>
      <c r="BT569" s="572"/>
      <c r="BU569" s="558"/>
      <c r="BV569" s="561"/>
      <c r="BW569" s="564"/>
      <c r="BX569" s="616"/>
    </row>
    <row r="570" spans="1:76" ht="15.75" thickBot="1" x14ac:dyDescent="0.3">
      <c r="A570" s="587"/>
      <c r="B570" s="592"/>
      <c r="C570" s="593"/>
      <c r="D570" s="606"/>
      <c r="E570" s="519"/>
      <c r="F570" s="520"/>
      <c r="G570" s="525"/>
      <c r="H570" s="526"/>
      <c r="I570" s="531"/>
      <c r="J570" s="532"/>
      <c r="K570" s="514"/>
      <c r="L570" s="535"/>
      <c r="M570" s="538"/>
      <c r="N570" s="543"/>
      <c r="O570" s="544"/>
      <c r="P570" s="485"/>
      <c r="Q570" s="486"/>
      <c r="R570" s="519"/>
      <c r="S570" s="520"/>
      <c r="T570" s="489"/>
      <c r="U570" s="490"/>
      <c r="V570" s="493"/>
      <c r="W570" s="485"/>
      <c r="X570" s="496"/>
      <c r="Y570" s="486"/>
      <c r="Z570" s="499"/>
      <c r="AA570" s="504"/>
      <c r="AB570" s="505"/>
      <c r="AC570" s="476" t="s">
        <v>261</v>
      </c>
      <c r="AD570" s="477"/>
      <c r="AE570" s="478"/>
      <c r="AF570" s="102"/>
      <c r="AG570" s="102"/>
      <c r="AH570" s="102"/>
      <c r="AI570" s="102"/>
      <c r="AJ570" s="102"/>
      <c r="AK570" s="102"/>
      <c r="AL570" s="102"/>
      <c r="AM570" s="102"/>
      <c r="AN570" s="102"/>
      <c r="AO570" s="102"/>
      <c r="AP570" s="102"/>
      <c r="AQ570" s="103"/>
      <c r="AR570" s="105">
        <f t="shared" si="1036"/>
        <v>0</v>
      </c>
      <c r="AS570" s="131" t="s">
        <v>161</v>
      </c>
      <c r="AT570" s="132">
        <f t="shared" ref="AT570:AX570" si="1037">SUM(AT567:AT569)</f>
        <v>0</v>
      </c>
      <c r="AU570" s="132">
        <f t="shared" si="1037"/>
        <v>0</v>
      </c>
      <c r="AV570" s="132">
        <f t="shared" si="1037"/>
        <v>0</v>
      </c>
      <c r="AW570" s="133">
        <f t="shared" si="1037"/>
        <v>0</v>
      </c>
      <c r="AX570" s="127">
        <f t="shared" si="1037"/>
        <v>0</v>
      </c>
      <c r="AY570" s="144" t="s">
        <v>161</v>
      </c>
      <c r="AZ570" s="140">
        <f t="shared" ref="AZ570:BB570" si="1038">SUM(AZ567:AZ569)</f>
        <v>0</v>
      </c>
      <c r="BA570" s="140">
        <f t="shared" si="1038"/>
        <v>0</v>
      </c>
      <c r="BB570" s="140">
        <f t="shared" si="1038"/>
        <v>0</v>
      </c>
      <c r="BC570" s="479" t="s">
        <v>263</v>
      </c>
      <c r="BD570" s="480"/>
      <c r="BE570" s="15"/>
      <c r="BF570" s="18"/>
      <c r="BG570" s="15"/>
      <c r="BH570" s="18"/>
      <c r="BI570" s="15"/>
      <c r="BJ570" s="18"/>
      <c r="BK570" s="15"/>
      <c r="BL570" s="18"/>
      <c r="BM570" s="15"/>
      <c r="BN570" s="18"/>
      <c r="BO570" s="15"/>
      <c r="BP570" s="18"/>
      <c r="BQ570" s="109">
        <f t="shared" si="1011"/>
        <v>0</v>
      </c>
      <c r="BR570" s="568"/>
      <c r="BS570" s="573"/>
      <c r="BT570" s="574"/>
      <c r="BU570" s="559"/>
      <c r="BV570" s="562"/>
      <c r="BW570" s="565"/>
      <c r="BX570" s="617"/>
    </row>
    <row r="571" spans="1:76" ht="15.75" thickTop="1" x14ac:dyDescent="0.25">
      <c r="A571" s="585">
        <v>141</v>
      </c>
      <c r="B571" s="588"/>
      <c r="C571" s="589"/>
      <c r="D571" s="604"/>
      <c r="E571" s="515"/>
      <c r="F571" s="516"/>
      <c r="G571" s="521"/>
      <c r="H571" s="522"/>
      <c r="I571" s="527"/>
      <c r="J571" s="528"/>
      <c r="K571" s="512" t="e">
        <f t="shared" ref="K571" si="1039">INT(YEARFRAC(I571,AA571))</f>
        <v>#VALUE!</v>
      </c>
      <c r="L571" s="533">
        <f t="shared" ref="L571" ca="1" si="1040">INT(YEARFRAC(I571,TODAY()))</f>
        <v>121</v>
      </c>
      <c r="M571" s="536"/>
      <c r="N571" s="539"/>
      <c r="O571" s="540"/>
      <c r="P571" s="481"/>
      <c r="Q571" s="482"/>
      <c r="R571" s="515"/>
      <c r="S571" s="516"/>
      <c r="T571" s="487"/>
      <c r="U571" s="488"/>
      <c r="V571" s="491"/>
      <c r="W571" s="481"/>
      <c r="X571" s="494"/>
      <c r="Y571" s="482"/>
      <c r="Z571" s="497"/>
      <c r="AA571" s="500" t="s">
        <v>382</v>
      </c>
      <c r="AB571" s="501"/>
      <c r="AC571" s="506" t="s">
        <v>257</v>
      </c>
      <c r="AD571" s="507"/>
      <c r="AE571" s="507"/>
      <c r="AF571" s="510"/>
      <c r="AG571" s="510"/>
      <c r="AH571" s="510"/>
      <c r="AI571" s="510"/>
      <c r="AJ571" s="510"/>
      <c r="AK571" s="510"/>
      <c r="AL571" s="510"/>
      <c r="AM571" s="510"/>
      <c r="AN571" s="510"/>
      <c r="AO571" s="510"/>
      <c r="AP571" s="510"/>
      <c r="AQ571" s="465"/>
      <c r="AR571" s="467">
        <f t="shared" ref="AR571" si="1041">SUM(AF571:AQ572)</f>
        <v>0</v>
      </c>
      <c r="AS571" s="119" t="s">
        <v>257</v>
      </c>
      <c r="AT571" s="120"/>
      <c r="AU571" s="120"/>
      <c r="AV571" s="120"/>
      <c r="AW571" s="121"/>
      <c r="AX571" s="125">
        <f t="shared" ref="AX571:AX573" si="1042">SUM(AT571:AW571)</f>
        <v>0</v>
      </c>
      <c r="AY571" s="141" t="s">
        <v>257</v>
      </c>
      <c r="AZ571" s="137"/>
      <c r="BA571" s="137"/>
      <c r="BB571" s="134">
        <f t="shared" ref="BB571:BB573" si="1043">AZ571-BA571</f>
        <v>0</v>
      </c>
      <c r="BC571" s="469" t="s">
        <v>258</v>
      </c>
      <c r="BD571" s="470"/>
      <c r="BE571" s="13"/>
      <c r="BF571" s="16"/>
      <c r="BG571" s="13"/>
      <c r="BH571" s="16"/>
      <c r="BI571" s="13"/>
      <c r="BJ571" s="16"/>
      <c r="BK571" s="13"/>
      <c r="BL571" s="16"/>
      <c r="BM571" s="13"/>
      <c r="BN571" s="16"/>
      <c r="BO571" s="13"/>
      <c r="BP571" s="16"/>
      <c r="BQ571" s="106">
        <f t="shared" si="1011"/>
        <v>0</v>
      </c>
      <c r="BR571" s="566"/>
      <c r="BS571" s="569"/>
      <c r="BT571" s="570"/>
      <c r="BU571" s="557"/>
      <c r="BV571" s="560"/>
      <c r="BW571" s="563"/>
      <c r="BX571" s="615"/>
    </row>
    <row r="572" spans="1:76" x14ac:dyDescent="0.25">
      <c r="A572" s="586"/>
      <c r="B572" s="590"/>
      <c r="C572" s="591"/>
      <c r="D572" s="605"/>
      <c r="E572" s="517"/>
      <c r="F572" s="518"/>
      <c r="G572" s="523"/>
      <c r="H572" s="524"/>
      <c r="I572" s="529"/>
      <c r="J572" s="530"/>
      <c r="K572" s="513"/>
      <c r="L572" s="534"/>
      <c r="M572" s="537"/>
      <c r="N572" s="541"/>
      <c r="O572" s="542"/>
      <c r="P572" s="483"/>
      <c r="Q572" s="484"/>
      <c r="R572" s="517"/>
      <c r="S572" s="518"/>
      <c r="T572" s="487"/>
      <c r="U572" s="488"/>
      <c r="V572" s="492"/>
      <c r="W572" s="483"/>
      <c r="X572" s="495"/>
      <c r="Y572" s="484"/>
      <c r="Z572" s="498"/>
      <c r="AA572" s="502"/>
      <c r="AB572" s="503"/>
      <c r="AC572" s="508"/>
      <c r="AD572" s="509"/>
      <c r="AE572" s="509"/>
      <c r="AF572" s="511"/>
      <c r="AG572" s="511"/>
      <c r="AH572" s="511"/>
      <c r="AI572" s="511"/>
      <c r="AJ572" s="511"/>
      <c r="AK572" s="511"/>
      <c r="AL572" s="511"/>
      <c r="AM572" s="511"/>
      <c r="AN572" s="511"/>
      <c r="AO572" s="511"/>
      <c r="AP572" s="511"/>
      <c r="AQ572" s="466"/>
      <c r="AR572" s="468"/>
      <c r="AS572" s="122" t="s">
        <v>259</v>
      </c>
      <c r="AT572" s="123"/>
      <c r="AU572" s="123"/>
      <c r="AV572" s="123"/>
      <c r="AW572" s="124"/>
      <c r="AX572" s="126">
        <f t="shared" si="1042"/>
        <v>0</v>
      </c>
      <c r="AY572" s="142" t="s">
        <v>259</v>
      </c>
      <c r="AZ572" s="138"/>
      <c r="BA572" s="138"/>
      <c r="BB572" s="135">
        <f t="shared" si="1043"/>
        <v>0</v>
      </c>
      <c r="BC572" s="474" t="s">
        <v>260</v>
      </c>
      <c r="BD572" s="475"/>
      <c r="BE572" s="14"/>
      <c r="BF572" s="17"/>
      <c r="BG572" s="14"/>
      <c r="BH572" s="17"/>
      <c r="BI572" s="14"/>
      <c r="BJ572" s="17"/>
      <c r="BK572" s="14"/>
      <c r="BL572" s="17"/>
      <c r="BM572" s="14"/>
      <c r="BN572" s="17"/>
      <c r="BO572" s="14"/>
      <c r="BP572" s="17"/>
      <c r="BQ572" s="107">
        <f t="shared" si="1011"/>
        <v>0</v>
      </c>
      <c r="BR572" s="567"/>
      <c r="BS572" s="571"/>
      <c r="BT572" s="572"/>
      <c r="BU572" s="558"/>
      <c r="BV572" s="561"/>
      <c r="BW572" s="564"/>
      <c r="BX572" s="616"/>
    </row>
    <row r="573" spans="1:76" ht="15.75" thickBot="1" x14ac:dyDescent="0.3">
      <c r="A573" s="586"/>
      <c r="B573" s="590"/>
      <c r="C573" s="591"/>
      <c r="D573" s="605"/>
      <c r="E573" s="517"/>
      <c r="F573" s="518"/>
      <c r="G573" s="523"/>
      <c r="H573" s="524"/>
      <c r="I573" s="529"/>
      <c r="J573" s="530"/>
      <c r="K573" s="513"/>
      <c r="L573" s="534"/>
      <c r="M573" s="537"/>
      <c r="N573" s="541"/>
      <c r="O573" s="542"/>
      <c r="P573" s="483"/>
      <c r="Q573" s="484"/>
      <c r="R573" s="517"/>
      <c r="S573" s="518"/>
      <c r="T573" s="487"/>
      <c r="U573" s="488"/>
      <c r="V573" s="492"/>
      <c r="W573" s="483"/>
      <c r="X573" s="495"/>
      <c r="Y573" s="484"/>
      <c r="Z573" s="498"/>
      <c r="AA573" s="502"/>
      <c r="AB573" s="503"/>
      <c r="AC573" s="471" t="s">
        <v>259</v>
      </c>
      <c r="AD573" s="472"/>
      <c r="AE573" s="473"/>
      <c r="AF573" s="100"/>
      <c r="AG573" s="100"/>
      <c r="AH573" s="100"/>
      <c r="AI573" s="100"/>
      <c r="AJ573" s="100"/>
      <c r="AK573" s="100"/>
      <c r="AL573" s="100"/>
      <c r="AM573" s="100"/>
      <c r="AN573" s="100"/>
      <c r="AO573" s="100"/>
      <c r="AP573" s="100"/>
      <c r="AQ573" s="101"/>
      <c r="AR573" s="104">
        <f t="shared" ref="AR573:AR574" si="1044">SUM(AF573:AQ573)</f>
        <v>0</v>
      </c>
      <c r="AS573" s="128" t="s">
        <v>261</v>
      </c>
      <c r="AT573" s="129"/>
      <c r="AU573" s="129"/>
      <c r="AV573" s="129"/>
      <c r="AW573" s="130"/>
      <c r="AX573" s="126">
        <f t="shared" si="1042"/>
        <v>0</v>
      </c>
      <c r="AY573" s="143" t="s">
        <v>261</v>
      </c>
      <c r="AZ573" s="139"/>
      <c r="BA573" s="139"/>
      <c r="BB573" s="136">
        <f t="shared" si="1043"/>
        <v>0</v>
      </c>
      <c r="BC573" s="474" t="s">
        <v>262</v>
      </c>
      <c r="BD573" s="475"/>
      <c r="BE573" s="14"/>
      <c r="BF573" s="17"/>
      <c r="BG573" s="14"/>
      <c r="BH573" s="17"/>
      <c r="BI573" s="14"/>
      <c r="BJ573" s="17"/>
      <c r="BK573" s="14"/>
      <c r="BL573" s="17"/>
      <c r="BM573" s="14"/>
      <c r="BN573" s="17"/>
      <c r="BO573" s="14"/>
      <c r="BP573" s="17"/>
      <c r="BQ573" s="108">
        <f t="shared" si="1011"/>
        <v>0</v>
      </c>
      <c r="BR573" s="567"/>
      <c r="BS573" s="571"/>
      <c r="BT573" s="572"/>
      <c r="BU573" s="558"/>
      <c r="BV573" s="561"/>
      <c r="BW573" s="564"/>
      <c r="BX573" s="616"/>
    </row>
    <row r="574" spans="1:76" ht="15.75" thickBot="1" x14ac:dyDescent="0.3">
      <c r="A574" s="587"/>
      <c r="B574" s="592"/>
      <c r="C574" s="593"/>
      <c r="D574" s="606"/>
      <c r="E574" s="519"/>
      <c r="F574" s="520"/>
      <c r="G574" s="525"/>
      <c r="H574" s="526"/>
      <c r="I574" s="531"/>
      <c r="J574" s="532"/>
      <c r="K574" s="514"/>
      <c r="L574" s="535"/>
      <c r="M574" s="538"/>
      <c r="N574" s="543"/>
      <c r="O574" s="544"/>
      <c r="P574" s="485"/>
      <c r="Q574" s="486"/>
      <c r="R574" s="519"/>
      <c r="S574" s="520"/>
      <c r="T574" s="489"/>
      <c r="U574" s="490"/>
      <c r="V574" s="493"/>
      <c r="W574" s="485"/>
      <c r="X574" s="496"/>
      <c r="Y574" s="486"/>
      <c r="Z574" s="499"/>
      <c r="AA574" s="504"/>
      <c r="AB574" s="505"/>
      <c r="AC574" s="476" t="s">
        <v>261</v>
      </c>
      <c r="AD574" s="477"/>
      <c r="AE574" s="478"/>
      <c r="AF574" s="102"/>
      <c r="AG574" s="102"/>
      <c r="AH574" s="102"/>
      <c r="AI574" s="102"/>
      <c r="AJ574" s="102"/>
      <c r="AK574" s="102"/>
      <c r="AL574" s="102"/>
      <c r="AM574" s="102"/>
      <c r="AN574" s="102"/>
      <c r="AO574" s="102"/>
      <c r="AP574" s="102"/>
      <c r="AQ574" s="103"/>
      <c r="AR574" s="105">
        <f t="shared" si="1044"/>
        <v>0</v>
      </c>
      <c r="AS574" s="131" t="s">
        <v>161</v>
      </c>
      <c r="AT574" s="132">
        <f t="shared" ref="AT574:AX574" si="1045">SUM(AT571:AT573)</f>
        <v>0</v>
      </c>
      <c r="AU574" s="132">
        <f t="shared" si="1045"/>
        <v>0</v>
      </c>
      <c r="AV574" s="132">
        <f t="shared" si="1045"/>
        <v>0</v>
      </c>
      <c r="AW574" s="133">
        <f t="shared" si="1045"/>
        <v>0</v>
      </c>
      <c r="AX574" s="127">
        <f t="shared" si="1045"/>
        <v>0</v>
      </c>
      <c r="AY574" s="144" t="s">
        <v>161</v>
      </c>
      <c r="AZ574" s="140">
        <f t="shared" ref="AZ574:BB574" si="1046">SUM(AZ571:AZ573)</f>
        <v>0</v>
      </c>
      <c r="BA574" s="140">
        <f t="shared" si="1046"/>
        <v>0</v>
      </c>
      <c r="BB574" s="140">
        <f t="shared" si="1046"/>
        <v>0</v>
      </c>
      <c r="BC574" s="479" t="s">
        <v>263</v>
      </c>
      <c r="BD574" s="480"/>
      <c r="BE574" s="15"/>
      <c r="BF574" s="18"/>
      <c r="BG574" s="15"/>
      <c r="BH574" s="18"/>
      <c r="BI574" s="15"/>
      <c r="BJ574" s="18"/>
      <c r="BK574" s="15"/>
      <c r="BL574" s="18"/>
      <c r="BM574" s="15"/>
      <c r="BN574" s="18"/>
      <c r="BO574" s="15"/>
      <c r="BP574" s="18"/>
      <c r="BQ574" s="109">
        <f t="shared" si="1011"/>
        <v>0</v>
      </c>
      <c r="BR574" s="568"/>
      <c r="BS574" s="573"/>
      <c r="BT574" s="574"/>
      <c r="BU574" s="559"/>
      <c r="BV574" s="562"/>
      <c r="BW574" s="565"/>
      <c r="BX574" s="617"/>
    </row>
    <row r="575" spans="1:76" ht="15.75" thickTop="1" x14ac:dyDescent="0.25">
      <c r="A575" s="585">
        <v>142</v>
      </c>
      <c r="B575" s="588"/>
      <c r="C575" s="589"/>
      <c r="D575" s="604"/>
      <c r="E575" s="515"/>
      <c r="F575" s="516"/>
      <c r="G575" s="521"/>
      <c r="H575" s="522"/>
      <c r="I575" s="527"/>
      <c r="J575" s="528"/>
      <c r="K575" s="512" t="e">
        <f t="shared" ref="K575" si="1047">INT(YEARFRAC(I575,AA575))</f>
        <v>#VALUE!</v>
      </c>
      <c r="L575" s="533">
        <f t="shared" ref="L575" ca="1" si="1048">INT(YEARFRAC(I575,TODAY()))</f>
        <v>121</v>
      </c>
      <c r="M575" s="536"/>
      <c r="N575" s="539"/>
      <c r="O575" s="540"/>
      <c r="P575" s="481"/>
      <c r="Q575" s="482"/>
      <c r="R575" s="515"/>
      <c r="S575" s="516"/>
      <c r="T575" s="487"/>
      <c r="U575" s="488"/>
      <c r="V575" s="491"/>
      <c r="W575" s="481"/>
      <c r="X575" s="494"/>
      <c r="Y575" s="482"/>
      <c r="Z575" s="497"/>
      <c r="AA575" s="500" t="s">
        <v>383</v>
      </c>
      <c r="AB575" s="501"/>
      <c r="AC575" s="506" t="s">
        <v>257</v>
      </c>
      <c r="AD575" s="507"/>
      <c r="AE575" s="507"/>
      <c r="AF575" s="510"/>
      <c r="AG575" s="510"/>
      <c r="AH575" s="510"/>
      <c r="AI575" s="510"/>
      <c r="AJ575" s="510"/>
      <c r="AK575" s="510"/>
      <c r="AL575" s="510"/>
      <c r="AM575" s="510"/>
      <c r="AN575" s="510"/>
      <c r="AO575" s="510"/>
      <c r="AP575" s="510"/>
      <c r="AQ575" s="465"/>
      <c r="AR575" s="467">
        <f t="shared" ref="AR575" si="1049">SUM(AF575:AQ576)</f>
        <v>0</v>
      </c>
      <c r="AS575" s="119" t="s">
        <v>257</v>
      </c>
      <c r="AT575" s="120"/>
      <c r="AU575" s="120"/>
      <c r="AV575" s="120"/>
      <c r="AW575" s="121"/>
      <c r="AX575" s="125">
        <f t="shared" ref="AX575:AX577" si="1050">SUM(AT575:AW575)</f>
        <v>0</v>
      </c>
      <c r="AY575" s="141" t="s">
        <v>257</v>
      </c>
      <c r="AZ575" s="137"/>
      <c r="BA575" s="137"/>
      <c r="BB575" s="134">
        <f t="shared" ref="BB575:BB577" si="1051">AZ575-BA575</f>
        <v>0</v>
      </c>
      <c r="BC575" s="469" t="s">
        <v>258</v>
      </c>
      <c r="BD575" s="470"/>
      <c r="BE575" s="13"/>
      <c r="BF575" s="16"/>
      <c r="BG575" s="13"/>
      <c r="BH575" s="16"/>
      <c r="BI575" s="13"/>
      <c r="BJ575" s="16"/>
      <c r="BK575" s="13"/>
      <c r="BL575" s="16"/>
      <c r="BM575" s="13"/>
      <c r="BN575" s="16"/>
      <c r="BO575" s="13"/>
      <c r="BP575" s="16"/>
      <c r="BQ575" s="106">
        <f t="shared" si="1011"/>
        <v>0</v>
      </c>
      <c r="BR575" s="566"/>
      <c r="BS575" s="569"/>
      <c r="BT575" s="570"/>
      <c r="BU575" s="557"/>
      <c r="BV575" s="560"/>
      <c r="BW575" s="563"/>
      <c r="BX575" s="615"/>
    </row>
    <row r="576" spans="1:76" x14ac:dyDescent="0.25">
      <c r="A576" s="586"/>
      <c r="B576" s="590"/>
      <c r="C576" s="591"/>
      <c r="D576" s="605"/>
      <c r="E576" s="517"/>
      <c r="F576" s="518"/>
      <c r="G576" s="523"/>
      <c r="H576" s="524"/>
      <c r="I576" s="529"/>
      <c r="J576" s="530"/>
      <c r="K576" s="513"/>
      <c r="L576" s="534"/>
      <c r="M576" s="537"/>
      <c r="N576" s="541"/>
      <c r="O576" s="542"/>
      <c r="P576" s="483"/>
      <c r="Q576" s="484"/>
      <c r="R576" s="517"/>
      <c r="S576" s="518"/>
      <c r="T576" s="487"/>
      <c r="U576" s="488"/>
      <c r="V576" s="492"/>
      <c r="W576" s="483"/>
      <c r="X576" s="495"/>
      <c r="Y576" s="484"/>
      <c r="Z576" s="498"/>
      <c r="AA576" s="502"/>
      <c r="AB576" s="503"/>
      <c r="AC576" s="508"/>
      <c r="AD576" s="509"/>
      <c r="AE576" s="509"/>
      <c r="AF576" s="511"/>
      <c r="AG576" s="511"/>
      <c r="AH576" s="511"/>
      <c r="AI576" s="511"/>
      <c r="AJ576" s="511"/>
      <c r="AK576" s="511"/>
      <c r="AL576" s="511"/>
      <c r="AM576" s="511"/>
      <c r="AN576" s="511"/>
      <c r="AO576" s="511"/>
      <c r="AP576" s="511"/>
      <c r="AQ576" s="466"/>
      <c r="AR576" s="468"/>
      <c r="AS576" s="122" t="s">
        <v>259</v>
      </c>
      <c r="AT576" s="123"/>
      <c r="AU576" s="123"/>
      <c r="AV576" s="123"/>
      <c r="AW576" s="124"/>
      <c r="AX576" s="126">
        <f t="shared" si="1050"/>
        <v>0</v>
      </c>
      <c r="AY576" s="142" t="s">
        <v>259</v>
      </c>
      <c r="AZ576" s="138"/>
      <c r="BA576" s="138"/>
      <c r="BB576" s="135">
        <f t="shared" si="1051"/>
        <v>0</v>
      </c>
      <c r="BC576" s="474" t="s">
        <v>260</v>
      </c>
      <c r="BD576" s="475"/>
      <c r="BE576" s="14"/>
      <c r="BF576" s="17"/>
      <c r="BG576" s="14"/>
      <c r="BH576" s="17"/>
      <c r="BI576" s="14"/>
      <c r="BJ576" s="17"/>
      <c r="BK576" s="14"/>
      <c r="BL576" s="17"/>
      <c r="BM576" s="14"/>
      <c r="BN576" s="17"/>
      <c r="BO576" s="14"/>
      <c r="BP576" s="17"/>
      <c r="BQ576" s="107">
        <f t="shared" si="1011"/>
        <v>0</v>
      </c>
      <c r="BR576" s="567"/>
      <c r="BS576" s="571"/>
      <c r="BT576" s="572"/>
      <c r="BU576" s="558"/>
      <c r="BV576" s="561"/>
      <c r="BW576" s="564"/>
      <c r="BX576" s="616"/>
    </row>
    <row r="577" spans="1:76" ht="15.75" thickBot="1" x14ac:dyDescent="0.3">
      <c r="A577" s="586"/>
      <c r="B577" s="590"/>
      <c r="C577" s="591"/>
      <c r="D577" s="605"/>
      <c r="E577" s="517"/>
      <c r="F577" s="518"/>
      <c r="G577" s="523"/>
      <c r="H577" s="524"/>
      <c r="I577" s="529"/>
      <c r="J577" s="530"/>
      <c r="K577" s="513"/>
      <c r="L577" s="534"/>
      <c r="M577" s="537"/>
      <c r="N577" s="541"/>
      <c r="O577" s="542"/>
      <c r="P577" s="483"/>
      <c r="Q577" s="484"/>
      <c r="R577" s="517"/>
      <c r="S577" s="518"/>
      <c r="T577" s="487"/>
      <c r="U577" s="488"/>
      <c r="V577" s="492"/>
      <c r="W577" s="483"/>
      <c r="X577" s="495"/>
      <c r="Y577" s="484"/>
      <c r="Z577" s="498"/>
      <c r="AA577" s="502"/>
      <c r="AB577" s="503"/>
      <c r="AC577" s="471" t="s">
        <v>259</v>
      </c>
      <c r="AD577" s="472"/>
      <c r="AE577" s="473"/>
      <c r="AF577" s="100"/>
      <c r="AG577" s="100"/>
      <c r="AH577" s="100"/>
      <c r="AI577" s="100"/>
      <c r="AJ577" s="100"/>
      <c r="AK577" s="100"/>
      <c r="AL577" s="100"/>
      <c r="AM577" s="100"/>
      <c r="AN577" s="100"/>
      <c r="AO577" s="100"/>
      <c r="AP577" s="100"/>
      <c r="AQ577" s="101"/>
      <c r="AR577" s="104">
        <f t="shared" ref="AR577:AR578" si="1052">SUM(AF577:AQ577)</f>
        <v>0</v>
      </c>
      <c r="AS577" s="128" t="s">
        <v>261</v>
      </c>
      <c r="AT577" s="129"/>
      <c r="AU577" s="129"/>
      <c r="AV577" s="129"/>
      <c r="AW577" s="130"/>
      <c r="AX577" s="126">
        <f t="shared" si="1050"/>
        <v>0</v>
      </c>
      <c r="AY577" s="143" t="s">
        <v>261</v>
      </c>
      <c r="AZ577" s="139"/>
      <c r="BA577" s="139"/>
      <c r="BB577" s="136">
        <f t="shared" si="1051"/>
        <v>0</v>
      </c>
      <c r="BC577" s="474" t="s">
        <v>262</v>
      </c>
      <c r="BD577" s="475"/>
      <c r="BE577" s="14"/>
      <c r="BF577" s="17"/>
      <c r="BG577" s="14"/>
      <c r="BH577" s="17"/>
      <c r="BI577" s="14"/>
      <c r="BJ577" s="17"/>
      <c r="BK577" s="14"/>
      <c r="BL577" s="17"/>
      <c r="BM577" s="14"/>
      <c r="BN577" s="17"/>
      <c r="BO577" s="14"/>
      <c r="BP577" s="17"/>
      <c r="BQ577" s="108">
        <f t="shared" si="1011"/>
        <v>0</v>
      </c>
      <c r="BR577" s="567"/>
      <c r="BS577" s="571"/>
      <c r="BT577" s="572"/>
      <c r="BU577" s="558"/>
      <c r="BV577" s="561"/>
      <c r="BW577" s="564"/>
      <c r="BX577" s="616"/>
    </row>
    <row r="578" spans="1:76" ht="15.75" thickBot="1" x14ac:dyDescent="0.3">
      <c r="A578" s="587"/>
      <c r="B578" s="592"/>
      <c r="C578" s="593"/>
      <c r="D578" s="606"/>
      <c r="E578" s="519"/>
      <c r="F578" s="520"/>
      <c r="G578" s="525"/>
      <c r="H578" s="526"/>
      <c r="I578" s="531"/>
      <c r="J578" s="532"/>
      <c r="K578" s="514"/>
      <c r="L578" s="535"/>
      <c r="M578" s="538"/>
      <c r="N578" s="543"/>
      <c r="O578" s="544"/>
      <c r="P578" s="485"/>
      <c r="Q578" s="486"/>
      <c r="R578" s="519"/>
      <c r="S578" s="520"/>
      <c r="T578" s="489"/>
      <c r="U578" s="490"/>
      <c r="V578" s="493"/>
      <c r="W578" s="485"/>
      <c r="X578" s="496"/>
      <c r="Y578" s="486"/>
      <c r="Z578" s="499"/>
      <c r="AA578" s="504"/>
      <c r="AB578" s="505"/>
      <c r="AC578" s="476" t="s">
        <v>261</v>
      </c>
      <c r="AD578" s="477"/>
      <c r="AE578" s="478"/>
      <c r="AF578" s="102"/>
      <c r="AG578" s="102"/>
      <c r="AH578" s="102"/>
      <c r="AI578" s="102"/>
      <c r="AJ578" s="102"/>
      <c r="AK578" s="102"/>
      <c r="AL578" s="102"/>
      <c r="AM578" s="102"/>
      <c r="AN578" s="102"/>
      <c r="AO578" s="102"/>
      <c r="AP578" s="102"/>
      <c r="AQ578" s="103"/>
      <c r="AR578" s="105">
        <f t="shared" si="1052"/>
        <v>0</v>
      </c>
      <c r="AS578" s="131" t="s">
        <v>161</v>
      </c>
      <c r="AT578" s="132">
        <f t="shared" ref="AT578:AX578" si="1053">SUM(AT575:AT577)</f>
        <v>0</v>
      </c>
      <c r="AU578" s="132">
        <f t="shared" si="1053"/>
        <v>0</v>
      </c>
      <c r="AV578" s="132">
        <f t="shared" si="1053"/>
        <v>0</v>
      </c>
      <c r="AW578" s="133">
        <f t="shared" si="1053"/>
        <v>0</v>
      </c>
      <c r="AX578" s="127">
        <f t="shared" si="1053"/>
        <v>0</v>
      </c>
      <c r="AY578" s="144" t="s">
        <v>161</v>
      </c>
      <c r="AZ578" s="140">
        <f t="shared" ref="AZ578:BB578" si="1054">SUM(AZ575:AZ577)</f>
        <v>0</v>
      </c>
      <c r="BA578" s="140">
        <f t="shared" si="1054"/>
        <v>0</v>
      </c>
      <c r="BB578" s="140">
        <f t="shared" si="1054"/>
        <v>0</v>
      </c>
      <c r="BC578" s="479" t="s">
        <v>263</v>
      </c>
      <c r="BD578" s="480"/>
      <c r="BE578" s="15"/>
      <c r="BF578" s="18"/>
      <c r="BG578" s="15"/>
      <c r="BH578" s="18"/>
      <c r="BI578" s="15"/>
      <c r="BJ578" s="18"/>
      <c r="BK578" s="15"/>
      <c r="BL578" s="18"/>
      <c r="BM578" s="15"/>
      <c r="BN578" s="18"/>
      <c r="BO578" s="15"/>
      <c r="BP578" s="18"/>
      <c r="BQ578" s="109">
        <f t="shared" si="1011"/>
        <v>0</v>
      </c>
      <c r="BR578" s="568"/>
      <c r="BS578" s="573"/>
      <c r="BT578" s="574"/>
      <c r="BU578" s="559"/>
      <c r="BV578" s="562"/>
      <c r="BW578" s="565"/>
      <c r="BX578" s="617"/>
    </row>
    <row r="579" spans="1:76" ht="15.75" thickTop="1" x14ac:dyDescent="0.25">
      <c r="A579" s="585">
        <v>143</v>
      </c>
      <c r="B579" s="588"/>
      <c r="C579" s="589"/>
      <c r="D579" s="604"/>
      <c r="E579" s="515"/>
      <c r="F579" s="516"/>
      <c r="G579" s="521"/>
      <c r="H579" s="522"/>
      <c r="I579" s="527"/>
      <c r="J579" s="528"/>
      <c r="K579" s="512" t="e">
        <f t="shared" ref="K579" si="1055">INT(YEARFRAC(I579,AA579))</f>
        <v>#VALUE!</v>
      </c>
      <c r="L579" s="533">
        <f t="shared" ref="L579" ca="1" si="1056">INT(YEARFRAC(I579,TODAY()))</f>
        <v>121</v>
      </c>
      <c r="M579" s="536"/>
      <c r="N579" s="539"/>
      <c r="O579" s="540"/>
      <c r="P579" s="481"/>
      <c r="Q579" s="482"/>
      <c r="R579" s="515"/>
      <c r="S579" s="516"/>
      <c r="T579" s="487"/>
      <c r="U579" s="488"/>
      <c r="V579" s="491"/>
      <c r="W579" s="481"/>
      <c r="X579" s="494"/>
      <c r="Y579" s="482"/>
      <c r="Z579" s="497"/>
      <c r="AA579" s="500" t="s">
        <v>384</v>
      </c>
      <c r="AB579" s="501"/>
      <c r="AC579" s="506" t="s">
        <v>257</v>
      </c>
      <c r="AD579" s="507"/>
      <c r="AE579" s="507"/>
      <c r="AF579" s="510"/>
      <c r="AG579" s="510"/>
      <c r="AH579" s="510"/>
      <c r="AI579" s="510"/>
      <c r="AJ579" s="510"/>
      <c r="AK579" s="510"/>
      <c r="AL579" s="510"/>
      <c r="AM579" s="510"/>
      <c r="AN579" s="510"/>
      <c r="AO579" s="510"/>
      <c r="AP579" s="510"/>
      <c r="AQ579" s="465"/>
      <c r="AR579" s="467">
        <f t="shared" ref="AR579" si="1057">SUM(AF579:AQ580)</f>
        <v>0</v>
      </c>
      <c r="AS579" s="119" t="s">
        <v>257</v>
      </c>
      <c r="AT579" s="120"/>
      <c r="AU579" s="120"/>
      <c r="AV579" s="120"/>
      <c r="AW579" s="121"/>
      <c r="AX579" s="125">
        <f t="shared" ref="AX579:AX581" si="1058">SUM(AT579:AW579)</f>
        <v>0</v>
      </c>
      <c r="AY579" s="141" t="s">
        <v>257</v>
      </c>
      <c r="AZ579" s="137"/>
      <c r="BA579" s="137"/>
      <c r="BB579" s="134">
        <f t="shared" ref="BB579:BB581" si="1059">AZ579-BA579</f>
        <v>0</v>
      </c>
      <c r="BC579" s="469" t="s">
        <v>258</v>
      </c>
      <c r="BD579" s="470"/>
      <c r="BE579" s="13"/>
      <c r="BF579" s="16"/>
      <c r="BG579" s="13"/>
      <c r="BH579" s="16"/>
      <c r="BI579" s="13"/>
      <c r="BJ579" s="16"/>
      <c r="BK579" s="13"/>
      <c r="BL579" s="16"/>
      <c r="BM579" s="13"/>
      <c r="BN579" s="16"/>
      <c r="BO579" s="13"/>
      <c r="BP579" s="16"/>
      <c r="BQ579" s="106">
        <f t="shared" si="1011"/>
        <v>0</v>
      </c>
      <c r="BR579" s="566"/>
      <c r="BS579" s="569"/>
      <c r="BT579" s="570"/>
      <c r="BU579" s="557"/>
      <c r="BV579" s="560"/>
      <c r="BW579" s="563"/>
      <c r="BX579" s="615"/>
    </row>
    <row r="580" spans="1:76" x14ac:dyDescent="0.25">
      <c r="A580" s="586"/>
      <c r="B580" s="590"/>
      <c r="C580" s="591"/>
      <c r="D580" s="605"/>
      <c r="E580" s="517"/>
      <c r="F580" s="518"/>
      <c r="G580" s="523"/>
      <c r="H580" s="524"/>
      <c r="I580" s="529"/>
      <c r="J580" s="530"/>
      <c r="K580" s="513"/>
      <c r="L580" s="534"/>
      <c r="M580" s="537"/>
      <c r="N580" s="541"/>
      <c r="O580" s="542"/>
      <c r="P580" s="483"/>
      <c r="Q580" s="484"/>
      <c r="R580" s="517"/>
      <c r="S580" s="518"/>
      <c r="T580" s="487"/>
      <c r="U580" s="488"/>
      <c r="V580" s="492"/>
      <c r="W580" s="483"/>
      <c r="X580" s="495"/>
      <c r="Y580" s="484"/>
      <c r="Z580" s="498"/>
      <c r="AA580" s="502"/>
      <c r="AB580" s="503"/>
      <c r="AC580" s="508"/>
      <c r="AD580" s="509"/>
      <c r="AE580" s="509"/>
      <c r="AF580" s="511"/>
      <c r="AG580" s="511"/>
      <c r="AH580" s="511"/>
      <c r="AI580" s="511"/>
      <c r="AJ580" s="511"/>
      <c r="AK580" s="511"/>
      <c r="AL580" s="511"/>
      <c r="AM580" s="511"/>
      <c r="AN580" s="511"/>
      <c r="AO580" s="511"/>
      <c r="AP580" s="511"/>
      <c r="AQ580" s="466"/>
      <c r="AR580" s="468"/>
      <c r="AS580" s="122" t="s">
        <v>259</v>
      </c>
      <c r="AT580" s="123"/>
      <c r="AU580" s="123"/>
      <c r="AV580" s="123"/>
      <c r="AW580" s="124"/>
      <c r="AX580" s="126">
        <f t="shared" si="1058"/>
        <v>0</v>
      </c>
      <c r="AY580" s="142" t="s">
        <v>259</v>
      </c>
      <c r="AZ580" s="138"/>
      <c r="BA580" s="138"/>
      <c r="BB580" s="135">
        <f t="shared" si="1059"/>
        <v>0</v>
      </c>
      <c r="BC580" s="474" t="s">
        <v>260</v>
      </c>
      <c r="BD580" s="475"/>
      <c r="BE580" s="14"/>
      <c r="BF580" s="17"/>
      <c r="BG580" s="14"/>
      <c r="BH580" s="17"/>
      <c r="BI580" s="14"/>
      <c r="BJ580" s="17"/>
      <c r="BK580" s="14"/>
      <c r="BL580" s="17"/>
      <c r="BM580" s="14"/>
      <c r="BN580" s="17"/>
      <c r="BO580" s="14"/>
      <c r="BP580" s="17"/>
      <c r="BQ580" s="107">
        <f t="shared" si="1011"/>
        <v>0</v>
      </c>
      <c r="BR580" s="567"/>
      <c r="BS580" s="571"/>
      <c r="BT580" s="572"/>
      <c r="BU580" s="558"/>
      <c r="BV580" s="561"/>
      <c r="BW580" s="564"/>
      <c r="BX580" s="616"/>
    </row>
    <row r="581" spans="1:76" ht="15.75" thickBot="1" x14ac:dyDescent="0.3">
      <c r="A581" s="586"/>
      <c r="B581" s="590"/>
      <c r="C581" s="591"/>
      <c r="D581" s="605"/>
      <c r="E581" s="517"/>
      <c r="F581" s="518"/>
      <c r="G581" s="523"/>
      <c r="H581" s="524"/>
      <c r="I581" s="529"/>
      <c r="J581" s="530"/>
      <c r="K581" s="513"/>
      <c r="L581" s="534"/>
      <c r="M581" s="537"/>
      <c r="N581" s="541"/>
      <c r="O581" s="542"/>
      <c r="P581" s="483"/>
      <c r="Q581" s="484"/>
      <c r="R581" s="517"/>
      <c r="S581" s="518"/>
      <c r="T581" s="487"/>
      <c r="U581" s="488"/>
      <c r="V581" s="492"/>
      <c r="W581" s="483"/>
      <c r="X581" s="495"/>
      <c r="Y581" s="484"/>
      <c r="Z581" s="498"/>
      <c r="AA581" s="502"/>
      <c r="AB581" s="503"/>
      <c r="AC581" s="471" t="s">
        <v>259</v>
      </c>
      <c r="AD581" s="472"/>
      <c r="AE581" s="473"/>
      <c r="AF581" s="100"/>
      <c r="AG581" s="100"/>
      <c r="AH581" s="100"/>
      <c r="AI581" s="100"/>
      <c r="AJ581" s="100"/>
      <c r="AK581" s="100"/>
      <c r="AL581" s="100"/>
      <c r="AM581" s="100"/>
      <c r="AN581" s="100"/>
      <c r="AO581" s="100"/>
      <c r="AP581" s="100"/>
      <c r="AQ581" s="101"/>
      <c r="AR581" s="104">
        <f t="shared" ref="AR581:AR582" si="1060">SUM(AF581:AQ581)</f>
        <v>0</v>
      </c>
      <c r="AS581" s="128" t="s">
        <v>261</v>
      </c>
      <c r="AT581" s="129"/>
      <c r="AU581" s="129"/>
      <c r="AV581" s="129"/>
      <c r="AW581" s="130"/>
      <c r="AX581" s="126">
        <f t="shared" si="1058"/>
        <v>0</v>
      </c>
      <c r="AY581" s="143" t="s">
        <v>261</v>
      </c>
      <c r="AZ581" s="139"/>
      <c r="BA581" s="139"/>
      <c r="BB581" s="136">
        <f t="shared" si="1059"/>
        <v>0</v>
      </c>
      <c r="BC581" s="474" t="s">
        <v>262</v>
      </c>
      <c r="BD581" s="475"/>
      <c r="BE581" s="14"/>
      <c r="BF581" s="17"/>
      <c r="BG581" s="14"/>
      <c r="BH581" s="17"/>
      <c r="BI581" s="14"/>
      <c r="BJ581" s="17"/>
      <c r="BK581" s="14"/>
      <c r="BL581" s="17"/>
      <c r="BM581" s="14"/>
      <c r="BN581" s="17"/>
      <c r="BO581" s="14"/>
      <c r="BP581" s="17"/>
      <c r="BQ581" s="108">
        <f t="shared" si="1011"/>
        <v>0</v>
      </c>
      <c r="BR581" s="567"/>
      <c r="BS581" s="571"/>
      <c r="BT581" s="572"/>
      <c r="BU581" s="558"/>
      <c r="BV581" s="561"/>
      <c r="BW581" s="564"/>
      <c r="BX581" s="616"/>
    </row>
    <row r="582" spans="1:76" ht="15.75" thickBot="1" x14ac:dyDescent="0.3">
      <c r="A582" s="587"/>
      <c r="B582" s="592"/>
      <c r="C582" s="593"/>
      <c r="D582" s="606"/>
      <c r="E582" s="519"/>
      <c r="F582" s="520"/>
      <c r="G582" s="525"/>
      <c r="H582" s="526"/>
      <c r="I582" s="531"/>
      <c r="J582" s="532"/>
      <c r="K582" s="514"/>
      <c r="L582" s="535"/>
      <c r="M582" s="538"/>
      <c r="N582" s="543"/>
      <c r="O582" s="544"/>
      <c r="P582" s="485"/>
      <c r="Q582" s="486"/>
      <c r="R582" s="519"/>
      <c r="S582" s="520"/>
      <c r="T582" s="489"/>
      <c r="U582" s="490"/>
      <c r="V582" s="493"/>
      <c r="W582" s="485"/>
      <c r="X582" s="496"/>
      <c r="Y582" s="486"/>
      <c r="Z582" s="499"/>
      <c r="AA582" s="504"/>
      <c r="AB582" s="505"/>
      <c r="AC582" s="476" t="s">
        <v>261</v>
      </c>
      <c r="AD582" s="477"/>
      <c r="AE582" s="478"/>
      <c r="AF582" s="102"/>
      <c r="AG582" s="102"/>
      <c r="AH582" s="102"/>
      <c r="AI582" s="102"/>
      <c r="AJ582" s="102"/>
      <c r="AK582" s="102"/>
      <c r="AL582" s="102"/>
      <c r="AM582" s="102"/>
      <c r="AN582" s="102"/>
      <c r="AO582" s="102"/>
      <c r="AP582" s="102"/>
      <c r="AQ582" s="103"/>
      <c r="AR582" s="105">
        <f t="shared" si="1060"/>
        <v>0</v>
      </c>
      <c r="AS582" s="131" t="s">
        <v>161</v>
      </c>
      <c r="AT582" s="132">
        <f t="shared" ref="AT582:AX582" si="1061">SUM(AT579:AT581)</f>
        <v>0</v>
      </c>
      <c r="AU582" s="132">
        <f t="shared" si="1061"/>
        <v>0</v>
      </c>
      <c r="AV582" s="132">
        <f t="shared" si="1061"/>
        <v>0</v>
      </c>
      <c r="AW582" s="133">
        <f t="shared" si="1061"/>
        <v>0</v>
      </c>
      <c r="AX582" s="127">
        <f t="shared" si="1061"/>
        <v>0</v>
      </c>
      <c r="AY582" s="144" t="s">
        <v>161</v>
      </c>
      <c r="AZ582" s="140">
        <f t="shared" ref="AZ582:BB582" si="1062">SUM(AZ579:AZ581)</f>
        <v>0</v>
      </c>
      <c r="BA582" s="140">
        <f t="shared" si="1062"/>
        <v>0</v>
      </c>
      <c r="BB582" s="140">
        <f t="shared" si="1062"/>
        <v>0</v>
      </c>
      <c r="BC582" s="479" t="s">
        <v>263</v>
      </c>
      <c r="BD582" s="480"/>
      <c r="BE582" s="15"/>
      <c r="BF582" s="18"/>
      <c r="BG582" s="15"/>
      <c r="BH582" s="18"/>
      <c r="BI582" s="15"/>
      <c r="BJ582" s="18"/>
      <c r="BK582" s="15"/>
      <c r="BL582" s="18"/>
      <c r="BM582" s="15"/>
      <c r="BN582" s="18"/>
      <c r="BO582" s="15"/>
      <c r="BP582" s="18"/>
      <c r="BQ582" s="109">
        <f t="shared" si="1011"/>
        <v>0</v>
      </c>
      <c r="BR582" s="568"/>
      <c r="BS582" s="573"/>
      <c r="BT582" s="574"/>
      <c r="BU582" s="559"/>
      <c r="BV582" s="562"/>
      <c r="BW582" s="565"/>
      <c r="BX582" s="617"/>
    </row>
    <row r="583" spans="1:76" ht="15.75" thickTop="1" x14ac:dyDescent="0.25">
      <c r="A583" s="585">
        <v>144</v>
      </c>
      <c r="B583" s="588"/>
      <c r="C583" s="589"/>
      <c r="D583" s="604"/>
      <c r="E583" s="515"/>
      <c r="F583" s="516"/>
      <c r="G583" s="521"/>
      <c r="H583" s="522"/>
      <c r="I583" s="527"/>
      <c r="J583" s="528"/>
      <c r="K583" s="512" t="e">
        <f t="shared" ref="K583" si="1063">INT(YEARFRAC(I583,AA583))</f>
        <v>#VALUE!</v>
      </c>
      <c r="L583" s="533">
        <f t="shared" ref="L583" ca="1" si="1064">INT(YEARFRAC(I583,TODAY()))</f>
        <v>121</v>
      </c>
      <c r="M583" s="536"/>
      <c r="N583" s="539"/>
      <c r="O583" s="540"/>
      <c r="P583" s="481"/>
      <c r="Q583" s="482"/>
      <c r="R583" s="515"/>
      <c r="S583" s="516"/>
      <c r="T583" s="487"/>
      <c r="U583" s="488"/>
      <c r="V583" s="491"/>
      <c r="W583" s="481"/>
      <c r="X583" s="494"/>
      <c r="Y583" s="482"/>
      <c r="Z583" s="497"/>
      <c r="AA583" s="500" t="s">
        <v>385</v>
      </c>
      <c r="AB583" s="501"/>
      <c r="AC583" s="506" t="s">
        <v>257</v>
      </c>
      <c r="AD583" s="507"/>
      <c r="AE583" s="507"/>
      <c r="AF583" s="510"/>
      <c r="AG583" s="510"/>
      <c r="AH583" s="510"/>
      <c r="AI583" s="510"/>
      <c r="AJ583" s="510"/>
      <c r="AK583" s="510"/>
      <c r="AL583" s="510"/>
      <c r="AM583" s="510"/>
      <c r="AN583" s="510"/>
      <c r="AO583" s="510"/>
      <c r="AP583" s="510"/>
      <c r="AQ583" s="465"/>
      <c r="AR583" s="467">
        <f t="shared" ref="AR583" si="1065">SUM(AF583:AQ584)</f>
        <v>0</v>
      </c>
      <c r="AS583" s="119" t="s">
        <v>257</v>
      </c>
      <c r="AT583" s="120"/>
      <c r="AU583" s="120"/>
      <c r="AV583" s="120"/>
      <c r="AW583" s="121"/>
      <c r="AX583" s="125">
        <f t="shared" ref="AX583:AX585" si="1066">SUM(AT583:AW583)</f>
        <v>0</v>
      </c>
      <c r="AY583" s="141" t="s">
        <v>257</v>
      </c>
      <c r="AZ583" s="137"/>
      <c r="BA583" s="137"/>
      <c r="BB583" s="134">
        <f t="shared" ref="BB583:BB585" si="1067">AZ583-BA583</f>
        <v>0</v>
      </c>
      <c r="BC583" s="469" t="s">
        <v>258</v>
      </c>
      <c r="BD583" s="470"/>
      <c r="BE583" s="13"/>
      <c r="BF583" s="16"/>
      <c r="BG583" s="13"/>
      <c r="BH583" s="16"/>
      <c r="BI583" s="13"/>
      <c r="BJ583" s="16"/>
      <c r="BK583" s="13"/>
      <c r="BL583" s="16"/>
      <c r="BM583" s="13"/>
      <c r="BN583" s="16"/>
      <c r="BO583" s="13"/>
      <c r="BP583" s="16"/>
      <c r="BQ583" s="106">
        <f t="shared" si="1011"/>
        <v>0</v>
      </c>
      <c r="BR583" s="566"/>
      <c r="BS583" s="569"/>
      <c r="BT583" s="570"/>
      <c r="BU583" s="557"/>
      <c r="BV583" s="560"/>
      <c r="BW583" s="563"/>
      <c r="BX583" s="615"/>
    </row>
    <row r="584" spans="1:76" x14ac:dyDescent="0.25">
      <c r="A584" s="586"/>
      <c r="B584" s="590"/>
      <c r="C584" s="591"/>
      <c r="D584" s="605"/>
      <c r="E584" s="517"/>
      <c r="F584" s="518"/>
      <c r="G584" s="523"/>
      <c r="H584" s="524"/>
      <c r="I584" s="529"/>
      <c r="J584" s="530"/>
      <c r="K584" s="513"/>
      <c r="L584" s="534"/>
      <c r="M584" s="537"/>
      <c r="N584" s="541"/>
      <c r="O584" s="542"/>
      <c r="P584" s="483"/>
      <c r="Q584" s="484"/>
      <c r="R584" s="517"/>
      <c r="S584" s="518"/>
      <c r="T584" s="487"/>
      <c r="U584" s="488"/>
      <c r="V584" s="492"/>
      <c r="W584" s="483"/>
      <c r="X584" s="495"/>
      <c r="Y584" s="484"/>
      <c r="Z584" s="498"/>
      <c r="AA584" s="502"/>
      <c r="AB584" s="503"/>
      <c r="AC584" s="508"/>
      <c r="AD584" s="509"/>
      <c r="AE584" s="509"/>
      <c r="AF584" s="511"/>
      <c r="AG584" s="511"/>
      <c r="AH584" s="511"/>
      <c r="AI584" s="511"/>
      <c r="AJ584" s="511"/>
      <c r="AK584" s="511"/>
      <c r="AL584" s="511"/>
      <c r="AM584" s="511"/>
      <c r="AN584" s="511"/>
      <c r="AO584" s="511"/>
      <c r="AP584" s="511"/>
      <c r="AQ584" s="466"/>
      <c r="AR584" s="468"/>
      <c r="AS584" s="122" t="s">
        <v>259</v>
      </c>
      <c r="AT584" s="123"/>
      <c r="AU584" s="123"/>
      <c r="AV584" s="123"/>
      <c r="AW584" s="124"/>
      <c r="AX584" s="126">
        <f t="shared" si="1066"/>
        <v>0</v>
      </c>
      <c r="AY584" s="142" t="s">
        <v>259</v>
      </c>
      <c r="AZ584" s="138"/>
      <c r="BA584" s="138"/>
      <c r="BB584" s="135">
        <f t="shared" si="1067"/>
        <v>0</v>
      </c>
      <c r="BC584" s="474" t="s">
        <v>260</v>
      </c>
      <c r="BD584" s="475"/>
      <c r="BE584" s="14"/>
      <c r="BF584" s="17"/>
      <c r="BG584" s="14"/>
      <c r="BH584" s="17"/>
      <c r="BI584" s="14"/>
      <c r="BJ584" s="17"/>
      <c r="BK584" s="14"/>
      <c r="BL584" s="17"/>
      <c r="BM584" s="14"/>
      <c r="BN584" s="17"/>
      <c r="BO584" s="14"/>
      <c r="BP584" s="17"/>
      <c r="BQ584" s="107">
        <f t="shared" si="1011"/>
        <v>0</v>
      </c>
      <c r="BR584" s="567"/>
      <c r="BS584" s="571"/>
      <c r="BT584" s="572"/>
      <c r="BU584" s="558"/>
      <c r="BV584" s="561"/>
      <c r="BW584" s="564"/>
      <c r="BX584" s="616"/>
    </row>
    <row r="585" spans="1:76" ht="15.75" thickBot="1" x14ac:dyDescent="0.3">
      <c r="A585" s="586"/>
      <c r="B585" s="590"/>
      <c r="C585" s="591"/>
      <c r="D585" s="605"/>
      <c r="E585" s="517"/>
      <c r="F585" s="518"/>
      <c r="G585" s="523"/>
      <c r="H585" s="524"/>
      <c r="I585" s="529"/>
      <c r="J585" s="530"/>
      <c r="K585" s="513"/>
      <c r="L585" s="534"/>
      <c r="M585" s="537"/>
      <c r="N585" s="541"/>
      <c r="O585" s="542"/>
      <c r="P585" s="483"/>
      <c r="Q585" s="484"/>
      <c r="R585" s="517"/>
      <c r="S585" s="518"/>
      <c r="T585" s="487"/>
      <c r="U585" s="488"/>
      <c r="V585" s="492"/>
      <c r="W585" s="483"/>
      <c r="X585" s="495"/>
      <c r="Y585" s="484"/>
      <c r="Z585" s="498"/>
      <c r="AA585" s="502"/>
      <c r="AB585" s="503"/>
      <c r="AC585" s="471" t="s">
        <v>259</v>
      </c>
      <c r="AD585" s="472"/>
      <c r="AE585" s="473"/>
      <c r="AF585" s="100"/>
      <c r="AG585" s="100"/>
      <c r="AH585" s="100"/>
      <c r="AI585" s="100"/>
      <c r="AJ585" s="100"/>
      <c r="AK585" s="100"/>
      <c r="AL585" s="100"/>
      <c r="AM585" s="100"/>
      <c r="AN585" s="100"/>
      <c r="AO585" s="100"/>
      <c r="AP585" s="100"/>
      <c r="AQ585" s="101"/>
      <c r="AR585" s="104">
        <f t="shared" ref="AR585:AR586" si="1068">SUM(AF585:AQ585)</f>
        <v>0</v>
      </c>
      <c r="AS585" s="128" t="s">
        <v>261</v>
      </c>
      <c r="AT585" s="129"/>
      <c r="AU585" s="129"/>
      <c r="AV585" s="129"/>
      <c r="AW585" s="130"/>
      <c r="AX585" s="126">
        <f t="shared" si="1066"/>
        <v>0</v>
      </c>
      <c r="AY585" s="143" t="s">
        <v>261</v>
      </c>
      <c r="AZ585" s="139"/>
      <c r="BA585" s="139"/>
      <c r="BB585" s="136">
        <f t="shared" si="1067"/>
        <v>0</v>
      </c>
      <c r="BC585" s="474" t="s">
        <v>262</v>
      </c>
      <c r="BD585" s="475"/>
      <c r="BE585" s="14"/>
      <c r="BF585" s="17"/>
      <c r="BG585" s="14"/>
      <c r="BH585" s="17"/>
      <c r="BI585" s="14"/>
      <c r="BJ585" s="17"/>
      <c r="BK585" s="14"/>
      <c r="BL585" s="17"/>
      <c r="BM585" s="14"/>
      <c r="BN585" s="17"/>
      <c r="BO585" s="14"/>
      <c r="BP585" s="17"/>
      <c r="BQ585" s="108">
        <f t="shared" si="1011"/>
        <v>0</v>
      </c>
      <c r="BR585" s="567"/>
      <c r="BS585" s="571"/>
      <c r="BT585" s="572"/>
      <c r="BU585" s="558"/>
      <c r="BV585" s="561"/>
      <c r="BW585" s="564"/>
      <c r="BX585" s="616"/>
    </row>
    <row r="586" spans="1:76" ht="15.75" thickBot="1" x14ac:dyDescent="0.3">
      <c r="A586" s="587"/>
      <c r="B586" s="592"/>
      <c r="C586" s="593"/>
      <c r="D586" s="606"/>
      <c r="E586" s="519"/>
      <c r="F586" s="520"/>
      <c r="G586" s="525"/>
      <c r="H586" s="526"/>
      <c r="I586" s="531"/>
      <c r="J586" s="532"/>
      <c r="K586" s="514"/>
      <c r="L586" s="535"/>
      <c r="M586" s="538"/>
      <c r="N586" s="543"/>
      <c r="O586" s="544"/>
      <c r="P586" s="485"/>
      <c r="Q586" s="486"/>
      <c r="R586" s="519"/>
      <c r="S586" s="520"/>
      <c r="T586" s="489"/>
      <c r="U586" s="490"/>
      <c r="V586" s="493"/>
      <c r="W586" s="485"/>
      <c r="X586" s="496"/>
      <c r="Y586" s="486"/>
      <c r="Z586" s="499"/>
      <c r="AA586" s="504"/>
      <c r="AB586" s="505"/>
      <c r="AC586" s="476" t="s">
        <v>261</v>
      </c>
      <c r="AD586" s="477"/>
      <c r="AE586" s="478"/>
      <c r="AF586" s="102"/>
      <c r="AG586" s="102"/>
      <c r="AH586" s="102"/>
      <c r="AI586" s="102"/>
      <c r="AJ586" s="102"/>
      <c r="AK586" s="102"/>
      <c r="AL586" s="102"/>
      <c r="AM586" s="102"/>
      <c r="AN586" s="102"/>
      <c r="AO586" s="102"/>
      <c r="AP586" s="102"/>
      <c r="AQ586" s="103"/>
      <c r="AR586" s="105">
        <f t="shared" si="1068"/>
        <v>0</v>
      </c>
      <c r="AS586" s="131" t="s">
        <v>161</v>
      </c>
      <c r="AT586" s="132">
        <f t="shared" ref="AT586:AX586" si="1069">SUM(AT583:AT585)</f>
        <v>0</v>
      </c>
      <c r="AU586" s="132">
        <f t="shared" si="1069"/>
        <v>0</v>
      </c>
      <c r="AV586" s="132">
        <f t="shared" si="1069"/>
        <v>0</v>
      </c>
      <c r="AW586" s="133">
        <f t="shared" si="1069"/>
        <v>0</v>
      </c>
      <c r="AX586" s="127">
        <f t="shared" si="1069"/>
        <v>0</v>
      </c>
      <c r="AY586" s="144" t="s">
        <v>161</v>
      </c>
      <c r="AZ586" s="140">
        <f t="shared" ref="AZ586:BB586" si="1070">SUM(AZ583:AZ585)</f>
        <v>0</v>
      </c>
      <c r="BA586" s="140">
        <f t="shared" si="1070"/>
        <v>0</v>
      </c>
      <c r="BB586" s="140">
        <f t="shared" si="1070"/>
        <v>0</v>
      </c>
      <c r="BC586" s="479" t="s">
        <v>263</v>
      </c>
      <c r="BD586" s="480"/>
      <c r="BE586" s="15"/>
      <c r="BF586" s="18"/>
      <c r="BG586" s="15"/>
      <c r="BH586" s="18"/>
      <c r="BI586" s="15"/>
      <c r="BJ586" s="18"/>
      <c r="BK586" s="15"/>
      <c r="BL586" s="18"/>
      <c r="BM586" s="15"/>
      <c r="BN586" s="18"/>
      <c r="BO586" s="15"/>
      <c r="BP586" s="18"/>
      <c r="BQ586" s="109">
        <f t="shared" si="1011"/>
        <v>0</v>
      </c>
      <c r="BR586" s="568"/>
      <c r="BS586" s="573"/>
      <c r="BT586" s="574"/>
      <c r="BU586" s="559"/>
      <c r="BV586" s="562"/>
      <c r="BW586" s="565"/>
      <c r="BX586" s="617"/>
    </row>
    <row r="587" spans="1:76" ht="15.75" thickTop="1" x14ac:dyDescent="0.25">
      <c r="A587" s="585">
        <v>145</v>
      </c>
      <c r="B587" s="588"/>
      <c r="C587" s="589"/>
      <c r="D587" s="604"/>
      <c r="E587" s="515"/>
      <c r="F587" s="516"/>
      <c r="G587" s="521"/>
      <c r="H587" s="522"/>
      <c r="I587" s="527"/>
      <c r="J587" s="528"/>
      <c r="K587" s="512" t="e">
        <f t="shared" ref="K587" si="1071">INT(YEARFRAC(I587,AA587))</f>
        <v>#VALUE!</v>
      </c>
      <c r="L587" s="533">
        <f t="shared" ref="L587" ca="1" si="1072">INT(YEARFRAC(I587,TODAY()))</f>
        <v>121</v>
      </c>
      <c r="M587" s="536"/>
      <c r="N587" s="539"/>
      <c r="O587" s="540"/>
      <c r="P587" s="481"/>
      <c r="Q587" s="482"/>
      <c r="R587" s="515"/>
      <c r="S587" s="516"/>
      <c r="T587" s="487"/>
      <c r="U587" s="488"/>
      <c r="V587" s="491"/>
      <c r="W587" s="481"/>
      <c r="X587" s="494"/>
      <c r="Y587" s="482"/>
      <c r="Z587" s="497"/>
      <c r="AA587" s="500" t="s">
        <v>386</v>
      </c>
      <c r="AB587" s="501"/>
      <c r="AC587" s="506" t="s">
        <v>257</v>
      </c>
      <c r="AD587" s="507"/>
      <c r="AE587" s="507"/>
      <c r="AF587" s="510"/>
      <c r="AG587" s="510"/>
      <c r="AH587" s="510"/>
      <c r="AI587" s="510"/>
      <c r="AJ587" s="510"/>
      <c r="AK587" s="510"/>
      <c r="AL587" s="510"/>
      <c r="AM587" s="510"/>
      <c r="AN587" s="510"/>
      <c r="AO587" s="510"/>
      <c r="AP587" s="510"/>
      <c r="AQ587" s="465"/>
      <c r="AR587" s="467">
        <f t="shared" ref="AR587" si="1073">SUM(AF587:AQ588)</f>
        <v>0</v>
      </c>
      <c r="AS587" s="119" t="s">
        <v>257</v>
      </c>
      <c r="AT587" s="120"/>
      <c r="AU587" s="120"/>
      <c r="AV587" s="120"/>
      <c r="AW587" s="121"/>
      <c r="AX587" s="125">
        <f t="shared" ref="AX587:AX589" si="1074">SUM(AT587:AW587)</f>
        <v>0</v>
      </c>
      <c r="AY587" s="141" t="s">
        <v>257</v>
      </c>
      <c r="AZ587" s="137"/>
      <c r="BA587" s="137"/>
      <c r="BB587" s="134">
        <f t="shared" ref="BB587:BB589" si="1075">AZ587-BA587</f>
        <v>0</v>
      </c>
      <c r="BC587" s="469" t="s">
        <v>258</v>
      </c>
      <c r="BD587" s="470"/>
      <c r="BE587" s="13"/>
      <c r="BF587" s="16"/>
      <c r="BG587" s="13"/>
      <c r="BH587" s="16"/>
      <c r="BI587" s="13"/>
      <c r="BJ587" s="16"/>
      <c r="BK587" s="13"/>
      <c r="BL587" s="16"/>
      <c r="BM587" s="13"/>
      <c r="BN587" s="16"/>
      <c r="BO587" s="13"/>
      <c r="BP587" s="16"/>
      <c r="BQ587" s="106">
        <f t="shared" si="1011"/>
        <v>0</v>
      </c>
      <c r="BR587" s="566"/>
      <c r="BS587" s="569"/>
      <c r="BT587" s="570"/>
      <c r="BU587" s="557"/>
      <c r="BV587" s="560"/>
      <c r="BW587" s="563"/>
      <c r="BX587" s="615"/>
    </row>
    <row r="588" spans="1:76" x14ac:dyDescent="0.25">
      <c r="A588" s="586"/>
      <c r="B588" s="590"/>
      <c r="C588" s="591"/>
      <c r="D588" s="605"/>
      <c r="E588" s="517"/>
      <c r="F588" s="518"/>
      <c r="G588" s="523"/>
      <c r="H588" s="524"/>
      <c r="I588" s="529"/>
      <c r="J588" s="530"/>
      <c r="K588" s="513"/>
      <c r="L588" s="534"/>
      <c r="M588" s="537"/>
      <c r="N588" s="541"/>
      <c r="O588" s="542"/>
      <c r="P588" s="483"/>
      <c r="Q588" s="484"/>
      <c r="R588" s="517"/>
      <c r="S588" s="518"/>
      <c r="T588" s="487"/>
      <c r="U588" s="488"/>
      <c r="V588" s="492"/>
      <c r="W588" s="483"/>
      <c r="X588" s="495"/>
      <c r="Y588" s="484"/>
      <c r="Z588" s="498"/>
      <c r="AA588" s="502"/>
      <c r="AB588" s="503"/>
      <c r="AC588" s="508"/>
      <c r="AD588" s="509"/>
      <c r="AE588" s="509"/>
      <c r="AF588" s="511"/>
      <c r="AG588" s="511"/>
      <c r="AH588" s="511"/>
      <c r="AI588" s="511"/>
      <c r="AJ588" s="511"/>
      <c r="AK588" s="511"/>
      <c r="AL588" s="511"/>
      <c r="AM588" s="511"/>
      <c r="AN588" s="511"/>
      <c r="AO588" s="511"/>
      <c r="AP588" s="511"/>
      <c r="AQ588" s="466"/>
      <c r="AR588" s="468"/>
      <c r="AS588" s="122" t="s">
        <v>259</v>
      </c>
      <c r="AT588" s="123"/>
      <c r="AU588" s="123"/>
      <c r="AV588" s="123"/>
      <c r="AW588" s="124"/>
      <c r="AX588" s="126">
        <f t="shared" si="1074"/>
        <v>0</v>
      </c>
      <c r="AY588" s="142" t="s">
        <v>259</v>
      </c>
      <c r="AZ588" s="138"/>
      <c r="BA588" s="138"/>
      <c r="BB588" s="135">
        <f t="shared" si="1075"/>
        <v>0</v>
      </c>
      <c r="BC588" s="474" t="s">
        <v>260</v>
      </c>
      <c r="BD588" s="475"/>
      <c r="BE588" s="14"/>
      <c r="BF588" s="17"/>
      <c r="BG588" s="14"/>
      <c r="BH588" s="17"/>
      <c r="BI588" s="14"/>
      <c r="BJ588" s="17"/>
      <c r="BK588" s="14"/>
      <c r="BL588" s="17"/>
      <c r="BM588" s="14"/>
      <c r="BN588" s="17"/>
      <c r="BO588" s="14"/>
      <c r="BP588" s="17"/>
      <c r="BQ588" s="107">
        <f t="shared" si="1011"/>
        <v>0</v>
      </c>
      <c r="BR588" s="567"/>
      <c r="BS588" s="571"/>
      <c r="BT588" s="572"/>
      <c r="BU588" s="558"/>
      <c r="BV588" s="561"/>
      <c r="BW588" s="564"/>
      <c r="BX588" s="616"/>
    </row>
    <row r="589" spans="1:76" ht="15.75" thickBot="1" x14ac:dyDescent="0.3">
      <c r="A589" s="586"/>
      <c r="B589" s="590"/>
      <c r="C589" s="591"/>
      <c r="D589" s="605"/>
      <c r="E589" s="517"/>
      <c r="F589" s="518"/>
      <c r="G589" s="523"/>
      <c r="H589" s="524"/>
      <c r="I589" s="529"/>
      <c r="J589" s="530"/>
      <c r="K589" s="513"/>
      <c r="L589" s="534"/>
      <c r="M589" s="537"/>
      <c r="N589" s="541"/>
      <c r="O589" s="542"/>
      <c r="P589" s="483"/>
      <c r="Q589" s="484"/>
      <c r="R589" s="517"/>
      <c r="S589" s="518"/>
      <c r="T589" s="487"/>
      <c r="U589" s="488"/>
      <c r="V589" s="492"/>
      <c r="W589" s="483"/>
      <c r="X589" s="495"/>
      <c r="Y589" s="484"/>
      <c r="Z589" s="498"/>
      <c r="AA589" s="502"/>
      <c r="AB589" s="503"/>
      <c r="AC589" s="471" t="s">
        <v>259</v>
      </c>
      <c r="AD589" s="472"/>
      <c r="AE589" s="473"/>
      <c r="AF589" s="100"/>
      <c r="AG589" s="100"/>
      <c r="AH589" s="100"/>
      <c r="AI589" s="100"/>
      <c r="AJ589" s="100"/>
      <c r="AK589" s="100"/>
      <c r="AL589" s="100"/>
      <c r="AM589" s="100"/>
      <c r="AN589" s="100"/>
      <c r="AO589" s="100"/>
      <c r="AP589" s="100"/>
      <c r="AQ589" s="101"/>
      <c r="AR589" s="104">
        <f t="shared" ref="AR589:AR590" si="1076">SUM(AF589:AQ589)</f>
        <v>0</v>
      </c>
      <c r="AS589" s="128" t="s">
        <v>261</v>
      </c>
      <c r="AT589" s="129"/>
      <c r="AU589" s="129"/>
      <c r="AV589" s="129"/>
      <c r="AW589" s="130"/>
      <c r="AX589" s="126">
        <f t="shared" si="1074"/>
        <v>0</v>
      </c>
      <c r="AY589" s="143" t="s">
        <v>261</v>
      </c>
      <c r="AZ589" s="139"/>
      <c r="BA589" s="139"/>
      <c r="BB589" s="136">
        <f t="shared" si="1075"/>
        <v>0</v>
      </c>
      <c r="BC589" s="474" t="s">
        <v>262</v>
      </c>
      <c r="BD589" s="475"/>
      <c r="BE589" s="14"/>
      <c r="BF589" s="17"/>
      <c r="BG589" s="14"/>
      <c r="BH589" s="17"/>
      <c r="BI589" s="14"/>
      <c r="BJ589" s="17"/>
      <c r="BK589" s="14"/>
      <c r="BL589" s="17"/>
      <c r="BM589" s="14"/>
      <c r="BN589" s="17"/>
      <c r="BO589" s="14"/>
      <c r="BP589" s="17"/>
      <c r="BQ589" s="108">
        <f t="shared" si="1011"/>
        <v>0</v>
      </c>
      <c r="BR589" s="567"/>
      <c r="BS589" s="571"/>
      <c r="BT589" s="572"/>
      <c r="BU589" s="558"/>
      <c r="BV589" s="561"/>
      <c r="BW589" s="564"/>
      <c r="BX589" s="616"/>
    </row>
    <row r="590" spans="1:76" ht="15.75" thickBot="1" x14ac:dyDescent="0.3">
      <c r="A590" s="587"/>
      <c r="B590" s="592"/>
      <c r="C590" s="593"/>
      <c r="D590" s="606"/>
      <c r="E590" s="519"/>
      <c r="F590" s="520"/>
      <c r="G590" s="525"/>
      <c r="H590" s="526"/>
      <c r="I590" s="531"/>
      <c r="J590" s="532"/>
      <c r="K590" s="514"/>
      <c r="L590" s="535"/>
      <c r="M590" s="538"/>
      <c r="N590" s="543"/>
      <c r="O590" s="544"/>
      <c r="P590" s="485"/>
      <c r="Q590" s="486"/>
      <c r="R590" s="519"/>
      <c r="S590" s="520"/>
      <c r="T590" s="489"/>
      <c r="U590" s="490"/>
      <c r="V590" s="493"/>
      <c r="W590" s="485"/>
      <c r="X590" s="496"/>
      <c r="Y590" s="486"/>
      <c r="Z590" s="499"/>
      <c r="AA590" s="504"/>
      <c r="AB590" s="505"/>
      <c r="AC590" s="476" t="s">
        <v>261</v>
      </c>
      <c r="AD590" s="477"/>
      <c r="AE590" s="478"/>
      <c r="AF590" s="102"/>
      <c r="AG590" s="102"/>
      <c r="AH590" s="102"/>
      <c r="AI590" s="102"/>
      <c r="AJ590" s="102"/>
      <c r="AK590" s="102"/>
      <c r="AL590" s="102"/>
      <c r="AM590" s="102"/>
      <c r="AN590" s="102"/>
      <c r="AO590" s="102"/>
      <c r="AP590" s="102"/>
      <c r="AQ590" s="103"/>
      <c r="AR590" s="105">
        <f t="shared" si="1076"/>
        <v>0</v>
      </c>
      <c r="AS590" s="131" t="s">
        <v>161</v>
      </c>
      <c r="AT590" s="132">
        <f t="shared" ref="AT590:AX590" si="1077">SUM(AT587:AT589)</f>
        <v>0</v>
      </c>
      <c r="AU590" s="132">
        <f t="shared" si="1077"/>
        <v>0</v>
      </c>
      <c r="AV590" s="132">
        <f t="shared" si="1077"/>
        <v>0</v>
      </c>
      <c r="AW590" s="133">
        <f t="shared" si="1077"/>
        <v>0</v>
      </c>
      <c r="AX590" s="127">
        <f t="shared" si="1077"/>
        <v>0</v>
      </c>
      <c r="AY590" s="144" t="s">
        <v>161</v>
      </c>
      <c r="AZ590" s="140">
        <f t="shared" ref="AZ590:BB590" si="1078">SUM(AZ587:AZ589)</f>
        <v>0</v>
      </c>
      <c r="BA590" s="140">
        <f t="shared" si="1078"/>
        <v>0</v>
      </c>
      <c r="BB590" s="140">
        <f t="shared" si="1078"/>
        <v>0</v>
      </c>
      <c r="BC590" s="479" t="s">
        <v>263</v>
      </c>
      <c r="BD590" s="480"/>
      <c r="BE590" s="15"/>
      <c r="BF590" s="18"/>
      <c r="BG590" s="15"/>
      <c r="BH590" s="18"/>
      <c r="BI590" s="15"/>
      <c r="BJ590" s="18"/>
      <c r="BK590" s="15"/>
      <c r="BL590" s="18"/>
      <c r="BM590" s="15"/>
      <c r="BN590" s="18"/>
      <c r="BO590" s="15"/>
      <c r="BP590" s="18"/>
      <c r="BQ590" s="109">
        <f t="shared" si="1011"/>
        <v>0</v>
      </c>
      <c r="BR590" s="568"/>
      <c r="BS590" s="573"/>
      <c r="BT590" s="574"/>
      <c r="BU590" s="559"/>
      <c r="BV590" s="562"/>
      <c r="BW590" s="565"/>
      <c r="BX590" s="617"/>
    </row>
    <row r="591" spans="1:76" ht="15.75" thickTop="1" x14ac:dyDescent="0.25">
      <c r="A591" s="585">
        <v>146</v>
      </c>
      <c r="B591" s="588"/>
      <c r="C591" s="589"/>
      <c r="D591" s="604"/>
      <c r="E591" s="515"/>
      <c r="F591" s="516"/>
      <c r="G591" s="521"/>
      <c r="H591" s="522"/>
      <c r="I591" s="527"/>
      <c r="J591" s="528"/>
      <c r="K591" s="512" t="e">
        <f t="shared" ref="K591" si="1079">INT(YEARFRAC(I591,AA591))</f>
        <v>#VALUE!</v>
      </c>
      <c r="L591" s="533">
        <f t="shared" ref="L591" ca="1" si="1080">INT(YEARFRAC(I591,TODAY()))</f>
        <v>121</v>
      </c>
      <c r="M591" s="536"/>
      <c r="N591" s="539"/>
      <c r="O591" s="540"/>
      <c r="P591" s="481"/>
      <c r="Q591" s="482"/>
      <c r="R591" s="515"/>
      <c r="S591" s="516"/>
      <c r="T591" s="487"/>
      <c r="U591" s="488"/>
      <c r="V591" s="491"/>
      <c r="W591" s="481"/>
      <c r="X591" s="494"/>
      <c r="Y591" s="482"/>
      <c r="Z591" s="497"/>
      <c r="AA591" s="500" t="s">
        <v>387</v>
      </c>
      <c r="AB591" s="501"/>
      <c r="AC591" s="506" t="s">
        <v>257</v>
      </c>
      <c r="AD591" s="507"/>
      <c r="AE591" s="507"/>
      <c r="AF591" s="510"/>
      <c r="AG591" s="510"/>
      <c r="AH591" s="510"/>
      <c r="AI591" s="510"/>
      <c r="AJ591" s="510"/>
      <c r="AK591" s="510"/>
      <c r="AL591" s="510"/>
      <c r="AM591" s="510"/>
      <c r="AN591" s="510"/>
      <c r="AO591" s="510"/>
      <c r="AP591" s="510"/>
      <c r="AQ591" s="465"/>
      <c r="AR591" s="467">
        <f t="shared" ref="AR591" si="1081">SUM(AF591:AQ592)</f>
        <v>0</v>
      </c>
      <c r="AS591" s="119" t="s">
        <v>257</v>
      </c>
      <c r="AT591" s="120"/>
      <c r="AU591" s="120"/>
      <c r="AV591" s="120"/>
      <c r="AW591" s="121"/>
      <c r="AX591" s="125">
        <f t="shared" ref="AX591:AX593" si="1082">SUM(AT591:AW591)</f>
        <v>0</v>
      </c>
      <c r="AY591" s="141" t="s">
        <v>257</v>
      </c>
      <c r="AZ591" s="137"/>
      <c r="BA591" s="137"/>
      <c r="BB591" s="134">
        <f t="shared" ref="BB591:BB593" si="1083">AZ591-BA591</f>
        <v>0</v>
      </c>
      <c r="BC591" s="469" t="s">
        <v>258</v>
      </c>
      <c r="BD591" s="470"/>
      <c r="BE591" s="13"/>
      <c r="BF591" s="16"/>
      <c r="BG591" s="13"/>
      <c r="BH591" s="16"/>
      <c r="BI591" s="13"/>
      <c r="BJ591" s="16"/>
      <c r="BK591" s="13"/>
      <c r="BL591" s="16"/>
      <c r="BM591" s="13"/>
      <c r="BN591" s="16"/>
      <c r="BO591" s="13"/>
      <c r="BP591" s="16"/>
      <c r="BQ591" s="106">
        <f t="shared" si="1011"/>
        <v>0</v>
      </c>
      <c r="BR591" s="566"/>
      <c r="BS591" s="569"/>
      <c r="BT591" s="570"/>
      <c r="BU591" s="557"/>
      <c r="BV591" s="560"/>
      <c r="BW591" s="563"/>
      <c r="BX591" s="615"/>
    </row>
    <row r="592" spans="1:76" x14ac:dyDescent="0.25">
      <c r="A592" s="586"/>
      <c r="B592" s="590"/>
      <c r="C592" s="591"/>
      <c r="D592" s="605"/>
      <c r="E592" s="517"/>
      <c r="F592" s="518"/>
      <c r="G592" s="523"/>
      <c r="H592" s="524"/>
      <c r="I592" s="529"/>
      <c r="J592" s="530"/>
      <c r="K592" s="513"/>
      <c r="L592" s="534"/>
      <c r="M592" s="537"/>
      <c r="N592" s="541"/>
      <c r="O592" s="542"/>
      <c r="P592" s="483"/>
      <c r="Q592" s="484"/>
      <c r="R592" s="517"/>
      <c r="S592" s="518"/>
      <c r="T592" s="487"/>
      <c r="U592" s="488"/>
      <c r="V592" s="492"/>
      <c r="W592" s="483"/>
      <c r="X592" s="495"/>
      <c r="Y592" s="484"/>
      <c r="Z592" s="498"/>
      <c r="AA592" s="502"/>
      <c r="AB592" s="503"/>
      <c r="AC592" s="508"/>
      <c r="AD592" s="509"/>
      <c r="AE592" s="509"/>
      <c r="AF592" s="511"/>
      <c r="AG592" s="511"/>
      <c r="AH592" s="511"/>
      <c r="AI592" s="511"/>
      <c r="AJ592" s="511"/>
      <c r="AK592" s="511"/>
      <c r="AL592" s="511"/>
      <c r="AM592" s="511"/>
      <c r="AN592" s="511"/>
      <c r="AO592" s="511"/>
      <c r="AP592" s="511"/>
      <c r="AQ592" s="466"/>
      <c r="AR592" s="468"/>
      <c r="AS592" s="122" t="s">
        <v>259</v>
      </c>
      <c r="AT592" s="123"/>
      <c r="AU592" s="123"/>
      <c r="AV592" s="123"/>
      <c r="AW592" s="124"/>
      <c r="AX592" s="126">
        <f t="shared" si="1082"/>
        <v>0</v>
      </c>
      <c r="AY592" s="142" t="s">
        <v>259</v>
      </c>
      <c r="AZ592" s="138"/>
      <c r="BA592" s="138"/>
      <c r="BB592" s="135">
        <f t="shared" si="1083"/>
        <v>0</v>
      </c>
      <c r="BC592" s="474" t="s">
        <v>260</v>
      </c>
      <c r="BD592" s="475"/>
      <c r="BE592" s="14"/>
      <c r="BF592" s="17"/>
      <c r="BG592" s="14"/>
      <c r="BH592" s="17"/>
      <c r="BI592" s="14"/>
      <c r="BJ592" s="17"/>
      <c r="BK592" s="14"/>
      <c r="BL592" s="17"/>
      <c r="BM592" s="14"/>
      <c r="BN592" s="17"/>
      <c r="BO592" s="14"/>
      <c r="BP592" s="17"/>
      <c r="BQ592" s="107">
        <f t="shared" si="1011"/>
        <v>0</v>
      </c>
      <c r="BR592" s="567"/>
      <c r="BS592" s="571"/>
      <c r="BT592" s="572"/>
      <c r="BU592" s="558"/>
      <c r="BV592" s="561"/>
      <c r="BW592" s="564"/>
      <c r="BX592" s="616"/>
    </row>
    <row r="593" spans="1:76" ht="15.75" thickBot="1" x14ac:dyDescent="0.3">
      <c r="A593" s="586"/>
      <c r="B593" s="590"/>
      <c r="C593" s="591"/>
      <c r="D593" s="605"/>
      <c r="E593" s="517"/>
      <c r="F593" s="518"/>
      <c r="G593" s="523"/>
      <c r="H593" s="524"/>
      <c r="I593" s="529"/>
      <c r="J593" s="530"/>
      <c r="K593" s="513"/>
      <c r="L593" s="534"/>
      <c r="M593" s="537"/>
      <c r="N593" s="541"/>
      <c r="O593" s="542"/>
      <c r="P593" s="483"/>
      <c r="Q593" s="484"/>
      <c r="R593" s="517"/>
      <c r="S593" s="518"/>
      <c r="T593" s="487"/>
      <c r="U593" s="488"/>
      <c r="V593" s="492"/>
      <c r="W593" s="483"/>
      <c r="X593" s="495"/>
      <c r="Y593" s="484"/>
      <c r="Z593" s="498"/>
      <c r="AA593" s="502"/>
      <c r="AB593" s="503"/>
      <c r="AC593" s="471" t="s">
        <v>259</v>
      </c>
      <c r="AD593" s="472"/>
      <c r="AE593" s="473"/>
      <c r="AF593" s="100"/>
      <c r="AG593" s="100"/>
      <c r="AH593" s="100"/>
      <c r="AI593" s="100"/>
      <c r="AJ593" s="100"/>
      <c r="AK593" s="100"/>
      <c r="AL593" s="100"/>
      <c r="AM593" s="100"/>
      <c r="AN593" s="100"/>
      <c r="AO593" s="100"/>
      <c r="AP593" s="100"/>
      <c r="AQ593" s="101"/>
      <c r="AR593" s="104">
        <f t="shared" ref="AR593:AR594" si="1084">SUM(AF593:AQ593)</f>
        <v>0</v>
      </c>
      <c r="AS593" s="128" t="s">
        <v>261</v>
      </c>
      <c r="AT593" s="129"/>
      <c r="AU593" s="129"/>
      <c r="AV593" s="129"/>
      <c r="AW593" s="130"/>
      <c r="AX593" s="126">
        <f t="shared" si="1082"/>
        <v>0</v>
      </c>
      <c r="AY593" s="143" t="s">
        <v>261</v>
      </c>
      <c r="AZ593" s="139"/>
      <c r="BA593" s="139"/>
      <c r="BB593" s="136">
        <f t="shared" si="1083"/>
        <v>0</v>
      </c>
      <c r="BC593" s="474" t="s">
        <v>262</v>
      </c>
      <c r="BD593" s="475"/>
      <c r="BE593" s="14"/>
      <c r="BF593" s="17"/>
      <c r="BG593" s="14"/>
      <c r="BH593" s="17"/>
      <c r="BI593" s="14"/>
      <c r="BJ593" s="17"/>
      <c r="BK593" s="14"/>
      <c r="BL593" s="17"/>
      <c r="BM593" s="14"/>
      <c r="BN593" s="17"/>
      <c r="BO593" s="14"/>
      <c r="BP593" s="17"/>
      <c r="BQ593" s="108">
        <f t="shared" si="1011"/>
        <v>0</v>
      </c>
      <c r="BR593" s="567"/>
      <c r="BS593" s="571"/>
      <c r="BT593" s="572"/>
      <c r="BU593" s="558"/>
      <c r="BV593" s="561"/>
      <c r="BW593" s="564"/>
      <c r="BX593" s="616"/>
    </row>
    <row r="594" spans="1:76" ht="15.75" thickBot="1" x14ac:dyDescent="0.3">
      <c r="A594" s="587"/>
      <c r="B594" s="592"/>
      <c r="C594" s="593"/>
      <c r="D594" s="606"/>
      <c r="E594" s="519"/>
      <c r="F594" s="520"/>
      <c r="G594" s="525"/>
      <c r="H594" s="526"/>
      <c r="I594" s="531"/>
      <c r="J594" s="532"/>
      <c r="K594" s="514"/>
      <c r="L594" s="535"/>
      <c r="M594" s="538"/>
      <c r="N594" s="543"/>
      <c r="O594" s="544"/>
      <c r="P594" s="485"/>
      <c r="Q594" s="486"/>
      <c r="R594" s="519"/>
      <c r="S594" s="520"/>
      <c r="T594" s="489"/>
      <c r="U594" s="490"/>
      <c r="V594" s="493"/>
      <c r="W594" s="485"/>
      <c r="X594" s="496"/>
      <c r="Y594" s="486"/>
      <c r="Z594" s="499"/>
      <c r="AA594" s="504"/>
      <c r="AB594" s="505"/>
      <c r="AC594" s="476" t="s">
        <v>261</v>
      </c>
      <c r="AD594" s="477"/>
      <c r="AE594" s="478"/>
      <c r="AF594" s="102"/>
      <c r="AG594" s="102"/>
      <c r="AH594" s="102"/>
      <c r="AI594" s="102"/>
      <c r="AJ594" s="102"/>
      <c r="AK594" s="102"/>
      <c r="AL594" s="102"/>
      <c r="AM594" s="102"/>
      <c r="AN594" s="102"/>
      <c r="AO594" s="102"/>
      <c r="AP594" s="102"/>
      <c r="AQ594" s="103"/>
      <c r="AR594" s="105">
        <f t="shared" si="1084"/>
        <v>0</v>
      </c>
      <c r="AS594" s="131" t="s">
        <v>161</v>
      </c>
      <c r="AT594" s="132">
        <f t="shared" ref="AT594:AX594" si="1085">SUM(AT591:AT593)</f>
        <v>0</v>
      </c>
      <c r="AU594" s="132">
        <f t="shared" si="1085"/>
        <v>0</v>
      </c>
      <c r="AV594" s="132">
        <f t="shared" si="1085"/>
        <v>0</v>
      </c>
      <c r="AW594" s="133">
        <f t="shared" si="1085"/>
        <v>0</v>
      </c>
      <c r="AX594" s="127">
        <f t="shared" si="1085"/>
        <v>0</v>
      </c>
      <c r="AY594" s="144" t="s">
        <v>161</v>
      </c>
      <c r="AZ594" s="140">
        <f t="shared" ref="AZ594:BB594" si="1086">SUM(AZ591:AZ593)</f>
        <v>0</v>
      </c>
      <c r="BA594" s="140">
        <f t="shared" si="1086"/>
        <v>0</v>
      </c>
      <c r="BB594" s="140">
        <f t="shared" si="1086"/>
        <v>0</v>
      </c>
      <c r="BC594" s="479" t="s">
        <v>263</v>
      </c>
      <c r="BD594" s="480"/>
      <c r="BE594" s="15"/>
      <c r="BF594" s="18"/>
      <c r="BG594" s="15"/>
      <c r="BH594" s="18"/>
      <c r="BI594" s="15"/>
      <c r="BJ594" s="18"/>
      <c r="BK594" s="15"/>
      <c r="BL594" s="18"/>
      <c r="BM594" s="15"/>
      <c r="BN594" s="18"/>
      <c r="BO594" s="15"/>
      <c r="BP594" s="18"/>
      <c r="BQ594" s="109">
        <f t="shared" si="1011"/>
        <v>0</v>
      </c>
      <c r="BR594" s="568"/>
      <c r="BS594" s="573"/>
      <c r="BT594" s="574"/>
      <c r="BU594" s="559"/>
      <c r="BV594" s="562"/>
      <c r="BW594" s="565"/>
      <c r="BX594" s="617"/>
    </row>
    <row r="595" spans="1:76" ht="15.75" thickTop="1" x14ac:dyDescent="0.25">
      <c r="A595" s="585">
        <v>147</v>
      </c>
      <c r="B595" s="588"/>
      <c r="C595" s="589"/>
      <c r="D595" s="604"/>
      <c r="E595" s="515"/>
      <c r="F595" s="516"/>
      <c r="G595" s="521"/>
      <c r="H595" s="522"/>
      <c r="I595" s="527"/>
      <c r="J595" s="528"/>
      <c r="K595" s="512" t="e">
        <f t="shared" ref="K595" si="1087">INT(YEARFRAC(I595,AA595))</f>
        <v>#VALUE!</v>
      </c>
      <c r="L595" s="533">
        <f t="shared" ref="L595" ca="1" si="1088">INT(YEARFRAC(I595,TODAY()))</f>
        <v>121</v>
      </c>
      <c r="M595" s="536"/>
      <c r="N595" s="539"/>
      <c r="O595" s="540"/>
      <c r="P595" s="481"/>
      <c r="Q595" s="482"/>
      <c r="R595" s="515"/>
      <c r="S595" s="516"/>
      <c r="T595" s="487"/>
      <c r="U595" s="488"/>
      <c r="V595" s="491"/>
      <c r="W595" s="481"/>
      <c r="X595" s="494"/>
      <c r="Y595" s="482"/>
      <c r="Z595" s="497"/>
      <c r="AA595" s="500" t="s">
        <v>388</v>
      </c>
      <c r="AB595" s="501"/>
      <c r="AC595" s="506" t="s">
        <v>257</v>
      </c>
      <c r="AD595" s="507"/>
      <c r="AE595" s="507"/>
      <c r="AF595" s="510"/>
      <c r="AG595" s="510"/>
      <c r="AH595" s="510"/>
      <c r="AI595" s="510"/>
      <c r="AJ595" s="510"/>
      <c r="AK595" s="510"/>
      <c r="AL595" s="510"/>
      <c r="AM595" s="510"/>
      <c r="AN595" s="510"/>
      <c r="AO595" s="510"/>
      <c r="AP595" s="510"/>
      <c r="AQ595" s="465"/>
      <c r="AR595" s="467">
        <f t="shared" ref="AR595" si="1089">SUM(AF595:AQ596)</f>
        <v>0</v>
      </c>
      <c r="AS595" s="119" t="s">
        <v>257</v>
      </c>
      <c r="AT595" s="120"/>
      <c r="AU595" s="120"/>
      <c r="AV595" s="120"/>
      <c r="AW595" s="121"/>
      <c r="AX595" s="125">
        <f t="shared" ref="AX595:AX597" si="1090">SUM(AT595:AW595)</f>
        <v>0</v>
      </c>
      <c r="AY595" s="141" t="s">
        <v>257</v>
      </c>
      <c r="AZ595" s="137"/>
      <c r="BA595" s="137"/>
      <c r="BB595" s="134">
        <f t="shared" ref="BB595:BB597" si="1091">AZ595-BA595</f>
        <v>0</v>
      </c>
      <c r="BC595" s="469" t="s">
        <v>258</v>
      </c>
      <c r="BD595" s="470"/>
      <c r="BE595" s="13"/>
      <c r="BF595" s="16"/>
      <c r="BG595" s="13"/>
      <c r="BH595" s="16"/>
      <c r="BI595" s="13"/>
      <c r="BJ595" s="16"/>
      <c r="BK595" s="13"/>
      <c r="BL595" s="16"/>
      <c r="BM595" s="13"/>
      <c r="BN595" s="16"/>
      <c r="BO595" s="13"/>
      <c r="BP595" s="16"/>
      <c r="BQ595" s="106">
        <f t="shared" si="1011"/>
        <v>0</v>
      </c>
      <c r="BR595" s="566"/>
      <c r="BS595" s="569"/>
      <c r="BT595" s="570"/>
      <c r="BU595" s="557"/>
      <c r="BV595" s="560"/>
      <c r="BW595" s="563"/>
      <c r="BX595" s="615"/>
    </row>
    <row r="596" spans="1:76" x14ac:dyDescent="0.25">
      <c r="A596" s="586"/>
      <c r="B596" s="590"/>
      <c r="C596" s="591"/>
      <c r="D596" s="605"/>
      <c r="E596" s="517"/>
      <c r="F596" s="518"/>
      <c r="G596" s="523"/>
      <c r="H596" s="524"/>
      <c r="I596" s="529"/>
      <c r="J596" s="530"/>
      <c r="K596" s="513"/>
      <c r="L596" s="534"/>
      <c r="M596" s="537"/>
      <c r="N596" s="541"/>
      <c r="O596" s="542"/>
      <c r="P596" s="483"/>
      <c r="Q596" s="484"/>
      <c r="R596" s="517"/>
      <c r="S596" s="518"/>
      <c r="T596" s="487"/>
      <c r="U596" s="488"/>
      <c r="V596" s="492"/>
      <c r="W596" s="483"/>
      <c r="X596" s="495"/>
      <c r="Y596" s="484"/>
      <c r="Z596" s="498"/>
      <c r="AA596" s="502"/>
      <c r="AB596" s="503"/>
      <c r="AC596" s="508"/>
      <c r="AD596" s="509"/>
      <c r="AE596" s="509"/>
      <c r="AF596" s="511"/>
      <c r="AG596" s="511"/>
      <c r="AH596" s="511"/>
      <c r="AI596" s="511"/>
      <c r="AJ596" s="511"/>
      <c r="AK596" s="511"/>
      <c r="AL596" s="511"/>
      <c r="AM596" s="511"/>
      <c r="AN596" s="511"/>
      <c r="AO596" s="511"/>
      <c r="AP596" s="511"/>
      <c r="AQ596" s="466"/>
      <c r="AR596" s="468"/>
      <c r="AS596" s="122" t="s">
        <v>259</v>
      </c>
      <c r="AT596" s="123"/>
      <c r="AU596" s="123"/>
      <c r="AV596" s="123"/>
      <c r="AW596" s="124"/>
      <c r="AX596" s="126">
        <f t="shared" si="1090"/>
        <v>0</v>
      </c>
      <c r="AY596" s="142" t="s">
        <v>259</v>
      </c>
      <c r="AZ596" s="138"/>
      <c r="BA596" s="138"/>
      <c r="BB596" s="135">
        <f t="shared" si="1091"/>
        <v>0</v>
      </c>
      <c r="BC596" s="474" t="s">
        <v>260</v>
      </c>
      <c r="BD596" s="475"/>
      <c r="BE596" s="14"/>
      <c r="BF596" s="17"/>
      <c r="BG596" s="14"/>
      <c r="BH596" s="17"/>
      <c r="BI596" s="14"/>
      <c r="BJ596" s="17"/>
      <c r="BK596" s="14"/>
      <c r="BL596" s="17"/>
      <c r="BM596" s="14"/>
      <c r="BN596" s="17"/>
      <c r="BO596" s="14"/>
      <c r="BP596" s="17"/>
      <c r="BQ596" s="107">
        <f t="shared" si="1011"/>
        <v>0</v>
      </c>
      <c r="BR596" s="567"/>
      <c r="BS596" s="571"/>
      <c r="BT596" s="572"/>
      <c r="BU596" s="558"/>
      <c r="BV596" s="561"/>
      <c r="BW596" s="564"/>
      <c r="BX596" s="616"/>
    </row>
    <row r="597" spans="1:76" ht="15.75" thickBot="1" x14ac:dyDescent="0.3">
      <c r="A597" s="586"/>
      <c r="B597" s="590"/>
      <c r="C597" s="591"/>
      <c r="D597" s="605"/>
      <c r="E597" s="517"/>
      <c r="F597" s="518"/>
      <c r="G597" s="523"/>
      <c r="H597" s="524"/>
      <c r="I597" s="529"/>
      <c r="J597" s="530"/>
      <c r="K597" s="513"/>
      <c r="L597" s="534"/>
      <c r="M597" s="537"/>
      <c r="N597" s="541"/>
      <c r="O597" s="542"/>
      <c r="P597" s="483"/>
      <c r="Q597" s="484"/>
      <c r="R597" s="517"/>
      <c r="S597" s="518"/>
      <c r="T597" s="487"/>
      <c r="U597" s="488"/>
      <c r="V597" s="492"/>
      <c r="W597" s="483"/>
      <c r="X597" s="495"/>
      <c r="Y597" s="484"/>
      <c r="Z597" s="498"/>
      <c r="AA597" s="502"/>
      <c r="AB597" s="503"/>
      <c r="AC597" s="471" t="s">
        <v>259</v>
      </c>
      <c r="AD597" s="472"/>
      <c r="AE597" s="473"/>
      <c r="AF597" s="100"/>
      <c r="AG597" s="100"/>
      <c r="AH597" s="100"/>
      <c r="AI597" s="100"/>
      <c r="AJ597" s="100"/>
      <c r="AK597" s="100"/>
      <c r="AL597" s="100"/>
      <c r="AM597" s="100"/>
      <c r="AN597" s="100"/>
      <c r="AO597" s="100"/>
      <c r="AP597" s="100"/>
      <c r="AQ597" s="101"/>
      <c r="AR597" s="104">
        <f t="shared" ref="AR597:AR598" si="1092">SUM(AF597:AQ597)</f>
        <v>0</v>
      </c>
      <c r="AS597" s="128" t="s">
        <v>261</v>
      </c>
      <c r="AT597" s="129"/>
      <c r="AU597" s="129"/>
      <c r="AV597" s="129"/>
      <c r="AW597" s="130"/>
      <c r="AX597" s="126">
        <f t="shared" si="1090"/>
        <v>0</v>
      </c>
      <c r="AY597" s="143" t="s">
        <v>261</v>
      </c>
      <c r="AZ597" s="139"/>
      <c r="BA597" s="139"/>
      <c r="BB597" s="136">
        <f t="shared" si="1091"/>
        <v>0</v>
      </c>
      <c r="BC597" s="474" t="s">
        <v>262</v>
      </c>
      <c r="BD597" s="475"/>
      <c r="BE597" s="14"/>
      <c r="BF597" s="17"/>
      <c r="BG597" s="14"/>
      <c r="BH597" s="17"/>
      <c r="BI597" s="14"/>
      <c r="BJ597" s="17"/>
      <c r="BK597" s="14"/>
      <c r="BL597" s="17"/>
      <c r="BM597" s="14"/>
      <c r="BN597" s="17"/>
      <c r="BO597" s="14"/>
      <c r="BP597" s="17"/>
      <c r="BQ597" s="108">
        <f t="shared" si="1011"/>
        <v>0</v>
      </c>
      <c r="BR597" s="567"/>
      <c r="BS597" s="571"/>
      <c r="BT597" s="572"/>
      <c r="BU597" s="558"/>
      <c r="BV597" s="561"/>
      <c r="BW597" s="564"/>
      <c r="BX597" s="616"/>
    </row>
    <row r="598" spans="1:76" ht="15.75" thickBot="1" x14ac:dyDescent="0.3">
      <c r="A598" s="587"/>
      <c r="B598" s="592"/>
      <c r="C598" s="593"/>
      <c r="D598" s="606"/>
      <c r="E598" s="519"/>
      <c r="F598" s="520"/>
      <c r="G598" s="525"/>
      <c r="H598" s="526"/>
      <c r="I598" s="531"/>
      <c r="J598" s="532"/>
      <c r="K598" s="514"/>
      <c r="L598" s="535"/>
      <c r="M598" s="538"/>
      <c r="N598" s="543"/>
      <c r="O598" s="544"/>
      <c r="P598" s="485"/>
      <c r="Q598" s="486"/>
      <c r="R598" s="519"/>
      <c r="S598" s="520"/>
      <c r="T598" s="489"/>
      <c r="U598" s="490"/>
      <c r="V598" s="493"/>
      <c r="W598" s="485"/>
      <c r="X598" s="496"/>
      <c r="Y598" s="486"/>
      <c r="Z598" s="499"/>
      <c r="AA598" s="504"/>
      <c r="AB598" s="505"/>
      <c r="AC598" s="476" t="s">
        <v>261</v>
      </c>
      <c r="AD598" s="477"/>
      <c r="AE598" s="478"/>
      <c r="AF598" s="102"/>
      <c r="AG598" s="102"/>
      <c r="AH598" s="102"/>
      <c r="AI598" s="102"/>
      <c r="AJ598" s="102"/>
      <c r="AK598" s="102"/>
      <c r="AL598" s="102"/>
      <c r="AM598" s="102"/>
      <c r="AN598" s="102"/>
      <c r="AO598" s="102"/>
      <c r="AP598" s="102"/>
      <c r="AQ598" s="103"/>
      <c r="AR598" s="105">
        <f t="shared" si="1092"/>
        <v>0</v>
      </c>
      <c r="AS598" s="131" t="s">
        <v>161</v>
      </c>
      <c r="AT598" s="132">
        <f t="shared" ref="AT598:AX598" si="1093">SUM(AT595:AT597)</f>
        <v>0</v>
      </c>
      <c r="AU598" s="132">
        <f t="shared" si="1093"/>
        <v>0</v>
      </c>
      <c r="AV598" s="132">
        <f t="shared" si="1093"/>
        <v>0</v>
      </c>
      <c r="AW598" s="133">
        <f t="shared" si="1093"/>
        <v>0</v>
      </c>
      <c r="AX598" s="127">
        <f t="shared" si="1093"/>
        <v>0</v>
      </c>
      <c r="AY598" s="144" t="s">
        <v>161</v>
      </c>
      <c r="AZ598" s="140">
        <f t="shared" ref="AZ598:BB598" si="1094">SUM(AZ595:AZ597)</f>
        <v>0</v>
      </c>
      <c r="BA598" s="140">
        <f t="shared" si="1094"/>
        <v>0</v>
      </c>
      <c r="BB598" s="140">
        <f t="shared" si="1094"/>
        <v>0</v>
      </c>
      <c r="BC598" s="479" t="s">
        <v>263</v>
      </c>
      <c r="BD598" s="480"/>
      <c r="BE598" s="15"/>
      <c r="BF598" s="18"/>
      <c r="BG598" s="15"/>
      <c r="BH598" s="18"/>
      <c r="BI598" s="15"/>
      <c r="BJ598" s="18"/>
      <c r="BK598" s="15"/>
      <c r="BL598" s="18"/>
      <c r="BM598" s="15"/>
      <c r="BN598" s="18"/>
      <c r="BO598" s="15"/>
      <c r="BP598" s="18"/>
      <c r="BQ598" s="109">
        <f t="shared" si="1011"/>
        <v>0</v>
      </c>
      <c r="BR598" s="568"/>
      <c r="BS598" s="573"/>
      <c r="BT598" s="574"/>
      <c r="BU598" s="559"/>
      <c r="BV598" s="562"/>
      <c r="BW598" s="565"/>
      <c r="BX598" s="617"/>
    </row>
    <row r="599" spans="1:76" ht="15.75" thickTop="1" x14ac:dyDescent="0.25">
      <c r="A599" s="585">
        <v>148</v>
      </c>
      <c r="B599" s="588"/>
      <c r="C599" s="589"/>
      <c r="D599" s="604"/>
      <c r="E599" s="515"/>
      <c r="F599" s="516"/>
      <c r="G599" s="521"/>
      <c r="H599" s="522"/>
      <c r="I599" s="527"/>
      <c r="J599" s="528"/>
      <c r="K599" s="512" t="e">
        <f t="shared" ref="K599" si="1095">INT(YEARFRAC(I599,AA599))</f>
        <v>#VALUE!</v>
      </c>
      <c r="L599" s="533">
        <f t="shared" ref="L599" ca="1" si="1096">INT(YEARFRAC(I599,TODAY()))</f>
        <v>121</v>
      </c>
      <c r="M599" s="536"/>
      <c r="N599" s="539"/>
      <c r="O599" s="540"/>
      <c r="P599" s="481"/>
      <c r="Q599" s="482"/>
      <c r="R599" s="515"/>
      <c r="S599" s="516"/>
      <c r="T599" s="487"/>
      <c r="U599" s="488"/>
      <c r="V599" s="491"/>
      <c r="W599" s="481"/>
      <c r="X599" s="494"/>
      <c r="Y599" s="482"/>
      <c r="Z599" s="497"/>
      <c r="AA599" s="500" t="s">
        <v>389</v>
      </c>
      <c r="AB599" s="501"/>
      <c r="AC599" s="506" t="s">
        <v>257</v>
      </c>
      <c r="AD599" s="507"/>
      <c r="AE599" s="507"/>
      <c r="AF599" s="510"/>
      <c r="AG599" s="510"/>
      <c r="AH599" s="510"/>
      <c r="AI599" s="510"/>
      <c r="AJ599" s="510"/>
      <c r="AK599" s="510"/>
      <c r="AL599" s="510"/>
      <c r="AM599" s="510"/>
      <c r="AN599" s="510"/>
      <c r="AO599" s="510"/>
      <c r="AP599" s="510"/>
      <c r="AQ599" s="465"/>
      <c r="AR599" s="467">
        <f t="shared" ref="AR599" si="1097">SUM(AF599:AQ600)</f>
        <v>0</v>
      </c>
      <c r="AS599" s="119" t="s">
        <v>257</v>
      </c>
      <c r="AT599" s="120"/>
      <c r="AU599" s="120"/>
      <c r="AV599" s="120"/>
      <c r="AW599" s="121"/>
      <c r="AX599" s="125">
        <f t="shared" ref="AX599:AX601" si="1098">SUM(AT599:AW599)</f>
        <v>0</v>
      </c>
      <c r="AY599" s="141" t="s">
        <v>257</v>
      </c>
      <c r="AZ599" s="137"/>
      <c r="BA599" s="137"/>
      <c r="BB599" s="134">
        <f t="shared" ref="BB599:BB601" si="1099">AZ599-BA599</f>
        <v>0</v>
      </c>
      <c r="BC599" s="469" t="s">
        <v>258</v>
      </c>
      <c r="BD599" s="470"/>
      <c r="BE599" s="13"/>
      <c r="BF599" s="16"/>
      <c r="BG599" s="13"/>
      <c r="BH599" s="16"/>
      <c r="BI599" s="13"/>
      <c r="BJ599" s="16"/>
      <c r="BK599" s="13"/>
      <c r="BL599" s="16"/>
      <c r="BM599" s="13"/>
      <c r="BN599" s="16"/>
      <c r="BO599" s="13"/>
      <c r="BP599" s="16"/>
      <c r="BQ599" s="106">
        <f t="shared" si="1011"/>
        <v>0</v>
      </c>
      <c r="BR599" s="566"/>
      <c r="BS599" s="569"/>
      <c r="BT599" s="570"/>
      <c r="BU599" s="557"/>
      <c r="BV599" s="560"/>
      <c r="BW599" s="563"/>
      <c r="BX599" s="615"/>
    </row>
    <row r="600" spans="1:76" x14ac:dyDescent="0.25">
      <c r="A600" s="586"/>
      <c r="B600" s="590"/>
      <c r="C600" s="591"/>
      <c r="D600" s="605"/>
      <c r="E600" s="517"/>
      <c r="F600" s="518"/>
      <c r="G600" s="523"/>
      <c r="H600" s="524"/>
      <c r="I600" s="529"/>
      <c r="J600" s="530"/>
      <c r="K600" s="513"/>
      <c r="L600" s="534"/>
      <c r="M600" s="537"/>
      <c r="N600" s="541"/>
      <c r="O600" s="542"/>
      <c r="P600" s="483"/>
      <c r="Q600" s="484"/>
      <c r="R600" s="517"/>
      <c r="S600" s="518"/>
      <c r="T600" s="487"/>
      <c r="U600" s="488"/>
      <c r="V600" s="492"/>
      <c r="W600" s="483"/>
      <c r="X600" s="495"/>
      <c r="Y600" s="484"/>
      <c r="Z600" s="498"/>
      <c r="AA600" s="502"/>
      <c r="AB600" s="503"/>
      <c r="AC600" s="508"/>
      <c r="AD600" s="509"/>
      <c r="AE600" s="509"/>
      <c r="AF600" s="511"/>
      <c r="AG600" s="511"/>
      <c r="AH600" s="511"/>
      <c r="AI600" s="511"/>
      <c r="AJ600" s="511"/>
      <c r="AK600" s="511"/>
      <c r="AL600" s="511"/>
      <c r="AM600" s="511"/>
      <c r="AN600" s="511"/>
      <c r="AO600" s="511"/>
      <c r="AP600" s="511"/>
      <c r="AQ600" s="466"/>
      <c r="AR600" s="468"/>
      <c r="AS600" s="122" t="s">
        <v>259</v>
      </c>
      <c r="AT600" s="123"/>
      <c r="AU600" s="123"/>
      <c r="AV600" s="123"/>
      <c r="AW600" s="124"/>
      <c r="AX600" s="126">
        <f t="shared" si="1098"/>
        <v>0</v>
      </c>
      <c r="AY600" s="142" t="s">
        <v>259</v>
      </c>
      <c r="AZ600" s="138"/>
      <c r="BA600" s="138"/>
      <c r="BB600" s="135">
        <f t="shared" si="1099"/>
        <v>0</v>
      </c>
      <c r="BC600" s="474" t="s">
        <v>260</v>
      </c>
      <c r="BD600" s="475"/>
      <c r="BE600" s="14"/>
      <c r="BF600" s="17"/>
      <c r="BG600" s="14"/>
      <c r="BH600" s="17"/>
      <c r="BI600" s="14"/>
      <c r="BJ600" s="17"/>
      <c r="BK600" s="14"/>
      <c r="BL600" s="17"/>
      <c r="BM600" s="14"/>
      <c r="BN600" s="17"/>
      <c r="BO600" s="14"/>
      <c r="BP600" s="17"/>
      <c r="BQ600" s="107">
        <f t="shared" si="1011"/>
        <v>0</v>
      </c>
      <c r="BR600" s="567"/>
      <c r="BS600" s="571"/>
      <c r="BT600" s="572"/>
      <c r="BU600" s="558"/>
      <c r="BV600" s="561"/>
      <c r="BW600" s="564"/>
      <c r="BX600" s="616"/>
    </row>
    <row r="601" spans="1:76" ht="15.75" thickBot="1" x14ac:dyDescent="0.3">
      <c r="A601" s="586"/>
      <c r="B601" s="590"/>
      <c r="C601" s="591"/>
      <c r="D601" s="605"/>
      <c r="E601" s="517"/>
      <c r="F601" s="518"/>
      <c r="G601" s="523"/>
      <c r="H601" s="524"/>
      <c r="I601" s="529"/>
      <c r="J601" s="530"/>
      <c r="K601" s="513"/>
      <c r="L601" s="534"/>
      <c r="M601" s="537"/>
      <c r="N601" s="541"/>
      <c r="O601" s="542"/>
      <c r="P601" s="483"/>
      <c r="Q601" s="484"/>
      <c r="R601" s="517"/>
      <c r="S601" s="518"/>
      <c r="T601" s="487"/>
      <c r="U601" s="488"/>
      <c r="V601" s="492"/>
      <c r="W601" s="483"/>
      <c r="X601" s="495"/>
      <c r="Y601" s="484"/>
      <c r="Z601" s="498"/>
      <c r="AA601" s="502"/>
      <c r="AB601" s="503"/>
      <c r="AC601" s="471" t="s">
        <v>259</v>
      </c>
      <c r="AD601" s="472"/>
      <c r="AE601" s="473"/>
      <c r="AF601" s="100"/>
      <c r="AG601" s="100"/>
      <c r="AH601" s="100"/>
      <c r="AI601" s="100"/>
      <c r="AJ601" s="100"/>
      <c r="AK601" s="100"/>
      <c r="AL601" s="100"/>
      <c r="AM601" s="100"/>
      <c r="AN601" s="100"/>
      <c r="AO601" s="100"/>
      <c r="AP601" s="100"/>
      <c r="AQ601" s="101"/>
      <c r="AR601" s="104">
        <f t="shared" ref="AR601:AR602" si="1100">SUM(AF601:AQ601)</f>
        <v>0</v>
      </c>
      <c r="AS601" s="128" t="s">
        <v>261</v>
      </c>
      <c r="AT601" s="129"/>
      <c r="AU601" s="129"/>
      <c r="AV601" s="129"/>
      <c r="AW601" s="130"/>
      <c r="AX601" s="126">
        <f t="shared" si="1098"/>
        <v>0</v>
      </c>
      <c r="AY601" s="143" t="s">
        <v>261</v>
      </c>
      <c r="AZ601" s="139"/>
      <c r="BA601" s="139"/>
      <c r="BB601" s="136">
        <f t="shared" si="1099"/>
        <v>0</v>
      </c>
      <c r="BC601" s="474" t="s">
        <v>262</v>
      </c>
      <c r="BD601" s="475"/>
      <c r="BE601" s="14"/>
      <c r="BF601" s="17"/>
      <c r="BG601" s="14"/>
      <c r="BH601" s="17"/>
      <c r="BI601" s="14"/>
      <c r="BJ601" s="17"/>
      <c r="BK601" s="14"/>
      <c r="BL601" s="17"/>
      <c r="BM601" s="14"/>
      <c r="BN601" s="17"/>
      <c r="BO601" s="14"/>
      <c r="BP601" s="17"/>
      <c r="BQ601" s="108">
        <f t="shared" si="1011"/>
        <v>0</v>
      </c>
      <c r="BR601" s="567"/>
      <c r="BS601" s="571"/>
      <c r="BT601" s="572"/>
      <c r="BU601" s="558"/>
      <c r="BV601" s="561"/>
      <c r="BW601" s="564"/>
      <c r="BX601" s="616"/>
    </row>
    <row r="602" spans="1:76" ht="15.75" thickBot="1" x14ac:dyDescent="0.3">
      <c r="A602" s="587"/>
      <c r="B602" s="592"/>
      <c r="C602" s="593"/>
      <c r="D602" s="606"/>
      <c r="E602" s="519"/>
      <c r="F602" s="520"/>
      <c r="G602" s="525"/>
      <c r="H602" s="526"/>
      <c r="I602" s="531"/>
      <c r="J602" s="532"/>
      <c r="K602" s="514"/>
      <c r="L602" s="535"/>
      <c r="M602" s="538"/>
      <c r="N602" s="543"/>
      <c r="O602" s="544"/>
      <c r="P602" s="485"/>
      <c r="Q602" s="486"/>
      <c r="R602" s="519"/>
      <c r="S602" s="520"/>
      <c r="T602" s="489"/>
      <c r="U602" s="490"/>
      <c r="V602" s="493"/>
      <c r="W602" s="485"/>
      <c r="X602" s="496"/>
      <c r="Y602" s="486"/>
      <c r="Z602" s="499"/>
      <c r="AA602" s="504"/>
      <c r="AB602" s="505"/>
      <c r="AC602" s="476" t="s">
        <v>261</v>
      </c>
      <c r="AD602" s="477"/>
      <c r="AE602" s="478"/>
      <c r="AF602" s="102"/>
      <c r="AG602" s="102"/>
      <c r="AH602" s="102"/>
      <c r="AI602" s="102"/>
      <c r="AJ602" s="102"/>
      <c r="AK602" s="102"/>
      <c r="AL602" s="102"/>
      <c r="AM602" s="102"/>
      <c r="AN602" s="102"/>
      <c r="AO602" s="102"/>
      <c r="AP602" s="102"/>
      <c r="AQ602" s="103"/>
      <c r="AR602" s="105">
        <f t="shared" si="1100"/>
        <v>0</v>
      </c>
      <c r="AS602" s="131" t="s">
        <v>161</v>
      </c>
      <c r="AT602" s="132">
        <f t="shared" ref="AT602:AX602" si="1101">SUM(AT599:AT601)</f>
        <v>0</v>
      </c>
      <c r="AU602" s="132">
        <f t="shared" si="1101"/>
        <v>0</v>
      </c>
      <c r="AV602" s="132">
        <f t="shared" si="1101"/>
        <v>0</v>
      </c>
      <c r="AW602" s="133">
        <f t="shared" si="1101"/>
        <v>0</v>
      </c>
      <c r="AX602" s="127">
        <f t="shared" si="1101"/>
        <v>0</v>
      </c>
      <c r="AY602" s="144" t="s">
        <v>161</v>
      </c>
      <c r="AZ602" s="140">
        <f t="shared" ref="AZ602:BB602" si="1102">SUM(AZ599:AZ601)</f>
        <v>0</v>
      </c>
      <c r="BA602" s="140">
        <f t="shared" si="1102"/>
        <v>0</v>
      </c>
      <c r="BB602" s="140">
        <f t="shared" si="1102"/>
        <v>0</v>
      </c>
      <c r="BC602" s="479" t="s">
        <v>263</v>
      </c>
      <c r="BD602" s="480"/>
      <c r="BE602" s="15"/>
      <c r="BF602" s="18"/>
      <c r="BG602" s="15"/>
      <c r="BH602" s="18"/>
      <c r="BI602" s="15"/>
      <c r="BJ602" s="18"/>
      <c r="BK602" s="15"/>
      <c r="BL602" s="18"/>
      <c r="BM602" s="15"/>
      <c r="BN602" s="18"/>
      <c r="BO602" s="15"/>
      <c r="BP602" s="18"/>
      <c r="BQ602" s="109">
        <f t="shared" si="1011"/>
        <v>0</v>
      </c>
      <c r="BR602" s="568"/>
      <c r="BS602" s="573"/>
      <c r="BT602" s="574"/>
      <c r="BU602" s="559"/>
      <c r="BV602" s="562"/>
      <c r="BW602" s="565"/>
      <c r="BX602" s="617"/>
    </row>
    <row r="603" spans="1:76" ht="15.75" thickTop="1" x14ac:dyDescent="0.25">
      <c r="A603" s="585">
        <v>149</v>
      </c>
      <c r="B603" s="588"/>
      <c r="C603" s="589"/>
      <c r="D603" s="604"/>
      <c r="E603" s="515"/>
      <c r="F603" s="516"/>
      <c r="G603" s="521"/>
      <c r="H603" s="522"/>
      <c r="I603" s="527"/>
      <c r="J603" s="528"/>
      <c r="K603" s="512" t="e">
        <f t="shared" ref="K603" si="1103">INT(YEARFRAC(I603,AA603))</f>
        <v>#VALUE!</v>
      </c>
      <c r="L603" s="533">
        <f t="shared" ref="L603" ca="1" si="1104">INT(YEARFRAC(I603,TODAY()))</f>
        <v>121</v>
      </c>
      <c r="M603" s="536"/>
      <c r="N603" s="539"/>
      <c r="O603" s="540"/>
      <c r="P603" s="481"/>
      <c r="Q603" s="482"/>
      <c r="R603" s="515"/>
      <c r="S603" s="516"/>
      <c r="T603" s="487"/>
      <c r="U603" s="488"/>
      <c r="V603" s="491"/>
      <c r="W603" s="481"/>
      <c r="X603" s="494"/>
      <c r="Y603" s="482"/>
      <c r="Z603" s="497"/>
      <c r="AA603" s="500" t="s">
        <v>390</v>
      </c>
      <c r="AB603" s="501"/>
      <c r="AC603" s="506" t="s">
        <v>257</v>
      </c>
      <c r="AD603" s="507"/>
      <c r="AE603" s="507"/>
      <c r="AF603" s="510"/>
      <c r="AG603" s="510"/>
      <c r="AH603" s="510"/>
      <c r="AI603" s="510"/>
      <c r="AJ603" s="510"/>
      <c r="AK603" s="510"/>
      <c r="AL603" s="510"/>
      <c r="AM603" s="510"/>
      <c r="AN603" s="510"/>
      <c r="AO603" s="510"/>
      <c r="AP603" s="510"/>
      <c r="AQ603" s="465"/>
      <c r="AR603" s="467">
        <f t="shared" ref="AR603" si="1105">SUM(AF603:AQ604)</f>
        <v>0</v>
      </c>
      <c r="AS603" s="119" t="s">
        <v>257</v>
      </c>
      <c r="AT603" s="120"/>
      <c r="AU603" s="120"/>
      <c r="AV603" s="120"/>
      <c r="AW603" s="121"/>
      <c r="AX603" s="125">
        <f t="shared" ref="AX603:AX605" si="1106">SUM(AT603:AW603)</f>
        <v>0</v>
      </c>
      <c r="AY603" s="141" t="s">
        <v>257</v>
      </c>
      <c r="AZ603" s="137"/>
      <c r="BA603" s="137"/>
      <c r="BB603" s="134">
        <f t="shared" ref="BB603:BB605" si="1107">AZ603-BA603</f>
        <v>0</v>
      </c>
      <c r="BC603" s="469" t="s">
        <v>258</v>
      </c>
      <c r="BD603" s="470"/>
      <c r="BE603" s="13"/>
      <c r="BF603" s="16"/>
      <c r="BG603" s="13"/>
      <c r="BH603" s="16"/>
      <c r="BI603" s="13"/>
      <c r="BJ603" s="16"/>
      <c r="BK603" s="13"/>
      <c r="BL603" s="16"/>
      <c r="BM603" s="13"/>
      <c r="BN603" s="16"/>
      <c r="BO603" s="13"/>
      <c r="BP603" s="16"/>
      <c r="BQ603" s="106">
        <f t="shared" si="1011"/>
        <v>0</v>
      </c>
      <c r="BR603" s="566"/>
      <c r="BS603" s="569"/>
      <c r="BT603" s="570"/>
      <c r="BU603" s="557"/>
      <c r="BV603" s="560"/>
      <c r="BW603" s="563"/>
      <c r="BX603" s="615"/>
    </row>
    <row r="604" spans="1:76" x14ac:dyDescent="0.25">
      <c r="A604" s="586"/>
      <c r="B604" s="590"/>
      <c r="C604" s="591"/>
      <c r="D604" s="605"/>
      <c r="E604" s="517"/>
      <c r="F604" s="518"/>
      <c r="G604" s="523"/>
      <c r="H604" s="524"/>
      <c r="I604" s="529"/>
      <c r="J604" s="530"/>
      <c r="K604" s="513"/>
      <c r="L604" s="534"/>
      <c r="M604" s="537"/>
      <c r="N604" s="541"/>
      <c r="O604" s="542"/>
      <c r="P604" s="483"/>
      <c r="Q604" s="484"/>
      <c r="R604" s="517"/>
      <c r="S604" s="518"/>
      <c r="T604" s="487"/>
      <c r="U604" s="488"/>
      <c r="V604" s="492"/>
      <c r="W604" s="483"/>
      <c r="X604" s="495"/>
      <c r="Y604" s="484"/>
      <c r="Z604" s="498"/>
      <c r="AA604" s="502"/>
      <c r="AB604" s="503"/>
      <c r="AC604" s="508"/>
      <c r="AD604" s="509"/>
      <c r="AE604" s="509"/>
      <c r="AF604" s="511"/>
      <c r="AG604" s="511"/>
      <c r="AH604" s="511"/>
      <c r="AI604" s="511"/>
      <c r="AJ604" s="511"/>
      <c r="AK604" s="511"/>
      <c r="AL604" s="511"/>
      <c r="AM604" s="511"/>
      <c r="AN604" s="511"/>
      <c r="AO604" s="511"/>
      <c r="AP604" s="511"/>
      <c r="AQ604" s="466"/>
      <c r="AR604" s="468"/>
      <c r="AS604" s="122" t="s">
        <v>259</v>
      </c>
      <c r="AT604" s="123"/>
      <c r="AU604" s="123"/>
      <c r="AV604" s="123"/>
      <c r="AW604" s="124"/>
      <c r="AX604" s="126">
        <f t="shared" si="1106"/>
        <v>0</v>
      </c>
      <c r="AY604" s="142" t="s">
        <v>259</v>
      </c>
      <c r="AZ604" s="138"/>
      <c r="BA604" s="138"/>
      <c r="BB604" s="135">
        <f t="shared" si="1107"/>
        <v>0</v>
      </c>
      <c r="BC604" s="474" t="s">
        <v>260</v>
      </c>
      <c r="BD604" s="475"/>
      <c r="BE604" s="14"/>
      <c r="BF604" s="17"/>
      <c r="BG604" s="14"/>
      <c r="BH604" s="17"/>
      <c r="BI604" s="14"/>
      <c r="BJ604" s="17"/>
      <c r="BK604" s="14"/>
      <c r="BL604" s="17"/>
      <c r="BM604" s="14"/>
      <c r="BN604" s="17"/>
      <c r="BO604" s="14"/>
      <c r="BP604" s="17"/>
      <c r="BQ604" s="107">
        <f t="shared" si="1011"/>
        <v>0</v>
      </c>
      <c r="BR604" s="567"/>
      <c r="BS604" s="571"/>
      <c r="BT604" s="572"/>
      <c r="BU604" s="558"/>
      <c r="BV604" s="561"/>
      <c r="BW604" s="564"/>
      <c r="BX604" s="616"/>
    </row>
    <row r="605" spans="1:76" ht="15.75" thickBot="1" x14ac:dyDescent="0.3">
      <c r="A605" s="586"/>
      <c r="B605" s="590"/>
      <c r="C605" s="591"/>
      <c r="D605" s="605"/>
      <c r="E605" s="517"/>
      <c r="F605" s="518"/>
      <c r="G605" s="523"/>
      <c r="H605" s="524"/>
      <c r="I605" s="529"/>
      <c r="J605" s="530"/>
      <c r="K605" s="513"/>
      <c r="L605" s="534"/>
      <c r="M605" s="537"/>
      <c r="N605" s="541"/>
      <c r="O605" s="542"/>
      <c r="P605" s="483"/>
      <c r="Q605" s="484"/>
      <c r="R605" s="517"/>
      <c r="S605" s="518"/>
      <c r="T605" s="487"/>
      <c r="U605" s="488"/>
      <c r="V605" s="492"/>
      <c r="W605" s="483"/>
      <c r="X605" s="495"/>
      <c r="Y605" s="484"/>
      <c r="Z605" s="498"/>
      <c r="AA605" s="502"/>
      <c r="AB605" s="503"/>
      <c r="AC605" s="471" t="s">
        <v>259</v>
      </c>
      <c r="AD605" s="472"/>
      <c r="AE605" s="473"/>
      <c r="AF605" s="100"/>
      <c r="AG605" s="100"/>
      <c r="AH605" s="100"/>
      <c r="AI605" s="100"/>
      <c r="AJ605" s="100"/>
      <c r="AK605" s="100"/>
      <c r="AL605" s="100"/>
      <c r="AM605" s="100"/>
      <c r="AN605" s="100"/>
      <c r="AO605" s="100"/>
      <c r="AP605" s="100"/>
      <c r="AQ605" s="101"/>
      <c r="AR605" s="104">
        <f t="shared" ref="AR605:AR606" si="1108">SUM(AF605:AQ605)</f>
        <v>0</v>
      </c>
      <c r="AS605" s="128" t="s">
        <v>261</v>
      </c>
      <c r="AT605" s="129"/>
      <c r="AU605" s="129"/>
      <c r="AV605" s="129"/>
      <c r="AW605" s="130"/>
      <c r="AX605" s="126">
        <f t="shared" si="1106"/>
        <v>0</v>
      </c>
      <c r="AY605" s="143" t="s">
        <v>261</v>
      </c>
      <c r="AZ605" s="139"/>
      <c r="BA605" s="139"/>
      <c r="BB605" s="136">
        <f t="shared" si="1107"/>
        <v>0</v>
      </c>
      <c r="BC605" s="474" t="s">
        <v>262</v>
      </c>
      <c r="BD605" s="475"/>
      <c r="BE605" s="14"/>
      <c r="BF605" s="17"/>
      <c r="BG605" s="14"/>
      <c r="BH605" s="17"/>
      <c r="BI605" s="14"/>
      <c r="BJ605" s="17"/>
      <c r="BK605" s="14"/>
      <c r="BL605" s="17"/>
      <c r="BM605" s="14"/>
      <c r="BN605" s="17"/>
      <c r="BO605" s="14"/>
      <c r="BP605" s="17"/>
      <c r="BQ605" s="108">
        <f t="shared" si="1011"/>
        <v>0</v>
      </c>
      <c r="BR605" s="567"/>
      <c r="BS605" s="571"/>
      <c r="BT605" s="572"/>
      <c r="BU605" s="558"/>
      <c r="BV605" s="561"/>
      <c r="BW605" s="564"/>
      <c r="BX605" s="616"/>
    </row>
    <row r="606" spans="1:76" ht="15.75" thickBot="1" x14ac:dyDescent="0.3">
      <c r="A606" s="587"/>
      <c r="B606" s="592"/>
      <c r="C606" s="593"/>
      <c r="D606" s="606"/>
      <c r="E606" s="519"/>
      <c r="F606" s="520"/>
      <c r="G606" s="525"/>
      <c r="H606" s="526"/>
      <c r="I606" s="531"/>
      <c r="J606" s="532"/>
      <c r="K606" s="514"/>
      <c r="L606" s="535"/>
      <c r="M606" s="538"/>
      <c r="N606" s="543"/>
      <c r="O606" s="544"/>
      <c r="P606" s="485"/>
      <c r="Q606" s="486"/>
      <c r="R606" s="519"/>
      <c r="S606" s="520"/>
      <c r="T606" s="489"/>
      <c r="U606" s="490"/>
      <c r="V606" s="493"/>
      <c r="W606" s="485"/>
      <c r="X606" s="496"/>
      <c r="Y606" s="486"/>
      <c r="Z606" s="499"/>
      <c r="AA606" s="504"/>
      <c r="AB606" s="505"/>
      <c r="AC606" s="476" t="s">
        <v>261</v>
      </c>
      <c r="AD606" s="477"/>
      <c r="AE606" s="478"/>
      <c r="AF606" s="102"/>
      <c r="AG606" s="102"/>
      <c r="AH606" s="102"/>
      <c r="AI606" s="102"/>
      <c r="AJ606" s="102"/>
      <c r="AK606" s="102"/>
      <c r="AL606" s="102"/>
      <c r="AM606" s="102"/>
      <c r="AN606" s="102"/>
      <c r="AO606" s="102"/>
      <c r="AP606" s="102"/>
      <c r="AQ606" s="103"/>
      <c r="AR606" s="105">
        <f t="shared" si="1108"/>
        <v>0</v>
      </c>
      <c r="AS606" s="131" t="s">
        <v>161</v>
      </c>
      <c r="AT606" s="132">
        <f t="shared" ref="AT606:AX606" si="1109">SUM(AT603:AT605)</f>
        <v>0</v>
      </c>
      <c r="AU606" s="132">
        <f t="shared" si="1109"/>
        <v>0</v>
      </c>
      <c r="AV606" s="132">
        <f t="shared" si="1109"/>
        <v>0</v>
      </c>
      <c r="AW606" s="133">
        <f t="shared" si="1109"/>
        <v>0</v>
      </c>
      <c r="AX606" s="127">
        <f t="shared" si="1109"/>
        <v>0</v>
      </c>
      <c r="AY606" s="144" t="s">
        <v>161</v>
      </c>
      <c r="AZ606" s="140">
        <f t="shared" ref="AZ606:BB606" si="1110">SUM(AZ603:AZ605)</f>
        <v>0</v>
      </c>
      <c r="BA606" s="140">
        <f t="shared" si="1110"/>
        <v>0</v>
      </c>
      <c r="BB606" s="140">
        <f t="shared" si="1110"/>
        <v>0</v>
      </c>
      <c r="BC606" s="479" t="s">
        <v>263</v>
      </c>
      <c r="BD606" s="480"/>
      <c r="BE606" s="15"/>
      <c r="BF606" s="18"/>
      <c r="BG606" s="15"/>
      <c r="BH606" s="18"/>
      <c r="BI606" s="15"/>
      <c r="BJ606" s="18"/>
      <c r="BK606" s="15"/>
      <c r="BL606" s="18"/>
      <c r="BM606" s="15"/>
      <c r="BN606" s="18"/>
      <c r="BO606" s="15"/>
      <c r="BP606" s="18"/>
      <c r="BQ606" s="109">
        <f t="shared" si="1011"/>
        <v>0</v>
      </c>
      <c r="BR606" s="568"/>
      <c r="BS606" s="573"/>
      <c r="BT606" s="574"/>
      <c r="BU606" s="559"/>
      <c r="BV606" s="562"/>
      <c r="BW606" s="565"/>
      <c r="BX606" s="617"/>
    </row>
    <row r="607" spans="1:76" ht="15.75" thickTop="1" x14ac:dyDescent="0.25">
      <c r="A607" s="585">
        <v>150</v>
      </c>
      <c r="B607" s="588"/>
      <c r="C607" s="589"/>
      <c r="D607" s="604"/>
      <c r="E607" s="515"/>
      <c r="F607" s="516"/>
      <c r="G607" s="521"/>
      <c r="H607" s="522"/>
      <c r="I607" s="527"/>
      <c r="J607" s="528"/>
      <c r="K607" s="512" t="e">
        <f t="shared" ref="K607" si="1111">INT(YEARFRAC(I607,AA607))</f>
        <v>#VALUE!</v>
      </c>
      <c r="L607" s="533">
        <f t="shared" ref="L607" ca="1" si="1112">INT(YEARFRAC(I607,TODAY()))</f>
        <v>121</v>
      </c>
      <c r="M607" s="536"/>
      <c r="N607" s="539"/>
      <c r="O607" s="540"/>
      <c r="P607" s="481"/>
      <c r="Q607" s="482"/>
      <c r="R607" s="515"/>
      <c r="S607" s="516"/>
      <c r="T607" s="487"/>
      <c r="U607" s="488"/>
      <c r="V607" s="491"/>
      <c r="W607" s="481"/>
      <c r="X607" s="494"/>
      <c r="Y607" s="482"/>
      <c r="Z607" s="497"/>
      <c r="AA607" s="500" t="s">
        <v>391</v>
      </c>
      <c r="AB607" s="501"/>
      <c r="AC607" s="506" t="s">
        <v>257</v>
      </c>
      <c r="AD607" s="507"/>
      <c r="AE607" s="507"/>
      <c r="AF607" s="510"/>
      <c r="AG607" s="510"/>
      <c r="AH607" s="510"/>
      <c r="AI607" s="510"/>
      <c r="AJ607" s="510"/>
      <c r="AK607" s="510"/>
      <c r="AL607" s="510"/>
      <c r="AM607" s="510"/>
      <c r="AN607" s="510"/>
      <c r="AO607" s="510"/>
      <c r="AP607" s="510"/>
      <c r="AQ607" s="465"/>
      <c r="AR607" s="467">
        <f t="shared" ref="AR607" si="1113">SUM(AF607:AQ608)</f>
        <v>0</v>
      </c>
      <c r="AS607" s="119" t="s">
        <v>257</v>
      </c>
      <c r="AT607" s="120"/>
      <c r="AU607" s="120"/>
      <c r="AV607" s="120"/>
      <c r="AW607" s="121"/>
      <c r="AX607" s="125">
        <f t="shared" ref="AX607:AX609" si="1114">SUM(AT607:AW607)</f>
        <v>0</v>
      </c>
      <c r="AY607" s="141" t="s">
        <v>257</v>
      </c>
      <c r="AZ607" s="137"/>
      <c r="BA607" s="137"/>
      <c r="BB607" s="134">
        <f t="shared" ref="BB607:BB609" si="1115">AZ607-BA607</f>
        <v>0</v>
      </c>
      <c r="BC607" s="469" t="s">
        <v>258</v>
      </c>
      <c r="BD607" s="470"/>
      <c r="BE607" s="13"/>
      <c r="BF607" s="16"/>
      <c r="BG607" s="13"/>
      <c r="BH607" s="16"/>
      <c r="BI607" s="13"/>
      <c r="BJ607" s="16"/>
      <c r="BK607" s="13"/>
      <c r="BL607" s="16"/>
      <c r="BM607" s="13"/>
      <c r="BN607" s="16"/>
      <c r="BO607" s="13"/>
      <c r="BP607" s="16"/>
      <c r="BQ607" s="106">
        <f t="shared" si="1011"/>
        <v>0</v>
      </c>
      <c r="BR607" s="566"/>
      <c r="BS607" s="569"/>
      <c r="BT607" s="570"/>
      <c r="BU607" s="557"/>
      <c r="BV607" s="560"/>
      <c r="BW607" s="563"/>
      <c r="BX607" s="615"/>
    </row>
    <row r="608" spans="1:76" x14ac:dyDescent="0.25">
      <c r="A608" s="586"/>
      <c r="B608" s="590"/>
      <c r="C608" s="591"/>
      <c r="D608" s="605"/>
      <c r="E608" s="517"/>
      <c r="F608" s="518"/>
      <c r="G608" s="523"/>
      <c r="H608" s="524"/>
      <c r="I608" s="529"/>
      <c r="J608" s="530"/>
      <c r="K608" s="513"/>
      <c r="L608" s="534"/>
      <c r="M608" s="537"/>
      <c r="N608" s="541"/>
      <c r="O608" s="542"/>
      <c r="P608" s="483"/>
      <c r="Q608" s="484"/>
      <c r="R608" s="517"/>
      <c r="S608" s="518"/>
      <c r="T608" s="487"/>
      <c r="U608" s="488"/>
      <c r="V608" s="492"/>
      <c r="W608" s="483"/>
      <c r="X608" s="495"/>
      <c r="Y608" s="484"/>
      <c r="Z608" s="498"/>
      <c r="AA608" s="502"/>
      <c r="AB608" s="503"/>
      <c r="AC608" s="508"/>
      <c r="AD608" s="509"/>
      <c r="AE608" s="509"/>
      <c r="AF608" s="511"/>
      <c r="AG608" s="511"/>
      <c r="AH608" s="511"/>
      <c r="AI608" s="511"/>
      <c r="AJ608" s="511"/>
      <c r="AK608" s="511"/>
      <c r="AL608" s="511"/>
      <c r="AM608" s="511"/>
      <c r="AN608" s="511"/>
      <c r="AO608" s="511"/>
      <c r="AP608" s="511"/>
      <c r="AQ608" s="466"/>
      <c r="AR608" s="468"/>
      <c r="AS608" s="122" t="s">
        <v>259</v>
      </c>
      <c r="AT608" s="123"/>
      <c r="AU608" s="123"/>
      <c r="AV608" s="123"/>
      <c r="AW608" s="124"/>
      <c r="AX608" s="126">
        <f t="shared" si="1114"/>
        <v>0</v>
      </c>
      <c r="AY608" s="142" t="s">
        <v>259</v>
      </c>
      <c r="AZ608" s="138"/>
      <c r="BA608" s="138"/>
      <c r="BB608" s="135">
        <f t="shared" si="1115"/>
        <v>0</v>
      </c>
      <c r="BC608" s="474" t="s">
        <v>260</v>
      </c>
      <c r="BD608" s="475"/>
      <c r="BE608" s="14"/>
      <c r="BF608" s="17"/>
      <c r="BG608" s="14"/>
      <c r="BH608" s="17"/>
      <c r="BI608" s="14"/>
      <c r="BJ608" s="17"/>
      <c r="BK608" s="14"/>
      <c r="BL608" s="17"/>
      <c r="BM608" s="14"/>
      <c r="BN608" s="17"/>
      <c r="BO608" s="14"/>
      <c r="BP608" s="17"/>
      <c r="BQ608" s="107">
        <f t="shared" si="1011"/>
        <v>0</v>
      </c>
      <c r="BR608" s="567"/>
      <c r="BS608" s="571"/>
      <c r="BT608" s="572"/>
      <c r="BU608" s="558"/>
      <c r="BV608" s="561"/>
      <c r="BW608" s="564"/>
      <c r="BX608" s="616"/>
    </row>
    <row r="609" spans="1:76" ht="15.75" thickBot="1" x14ac:dyDescent="0.3">
      <c r="A609" s="586"/>
      <c r="B609" s="590"/>
      <c r="C609" s="591"/>
      <c r="D609" s="605"/>
      <c r="E609" s="517"/>
      <c r="F609" s="518"/>
      <c r="G609" s="523"/>
      <c r="H609" s="524"/>
      <c r="I609" s="529"/>
      <c r="J609" s="530"/>
      <c r="K609" s="513"/>
      <c r="L609" s="534"/>
      <c r="M609" s="537"/>
      <c r="N609" s="541"/>
      <c r="O609" s="542"/>
      <c r="P609" s="483"/>
      <c r="Q609" s="484"/>
      <c r="R609" s="517"/>
      <c r="S609" s="518"/>
      <c r="T609" s="487"/>
      <c r="U609" s="488"/>
      <c r="V609" s="492"/>
      <c r="W609" s="483"/>
      <c r="X609" s="495"/>
      <c r="Y609" s="484"/>
      <c r="Z609" s="498"/>
      <c r="AA609" s="502"/>
      <c r="AB609" s="503"/>
      <c r="AC609" s="471" t="s">
        <v>259</v>
      </c>
      <c r="AD609" s="472"/>
      <c r="AE609" s="473"/>
      <c r="AF609" s="100"/>
      <c r="AG609" s="100"/>
      <c r="AH609" s="100"/>
      <c r="AI609" s="100"/>
      <c r="AJ609" s="100"/>
      <c r="AK609" s="100"/>
      <c r="AL609" s="100"/>
      <c r="AM609" s="100"/>
      <c r="AN609" s="100"/>
      <c r="AO609" s="100"/>
      <c r="AP609" s="100"/>
      <c r="AQ609" s="101"/>
      <c r="AR609" s="104">
        <f t="shared" ref="AR609:AR610" si="1116">SUM(AF609:AQ609)</f>
        <v>0</v>
      </c>
      <c r="AS609" s="128" t="s">
        <v>261</v>
      </c>
      <c r="AT609" s="129"/>
      <c r="AU609" s="129"/>
      <c r="AV609" s="129"/>
      <c r="AW609" s="130"/>
      <c r="AX609" s="126">
        <f t="shared" si="1114"/>
        <v>0</v>
      </c>
      <c r="AY609" s="143" t="s">
        <v>261</v>
      </c>
      <c r="AZ609" s="139"/>
      <c r="BA609" s="139"/>
      <c r="BB609" s="136">
        <f t="shared" si="1115"/>
        <v>0</v>
      </c>
      <c r="BC609" s="474" t="s">
        <v>262</v>
      </c>
      <c r="BD609" s="475"/>
      <c r="BE609" s="14"/>
      <c r="BF609" s="17"/>
      <c r="BG609" s="14"/>
      <c r="BH609" s="17"/>
      <c r="BI609" s="14"/>
      <c r="BJ609" s="17"/>
      <c r="BK609" s="14"/>
      <c r="BL609" s="17"/>
      <c r="BM609" s="14"/>
      <c r="BN609" s="17"/>
      <c r="BO609" s="14"/>
      <c r="BP609" s="17"/>
      <c r="BQ609" s="108">
        <f t="shared" si="1011"/>
        <v>0</v>
      </c>
      <c r="BR609" s="567"/>
      <c r="BS609" s="571"/>
      <c r="BT609" s="572"/>
      <c r="BU609" s="558"/>
      <c r="BV609" s="561"/>
      <c r="BW609" s="564"/>
      <c r="BX609" s="616"/>
    </row>
    <row r="610" spans="1:76" ht="15.75" thickBot="1" x14ac:dyDescent="0.3">
      <c r="A610" s="587"/>
      <c r="B610" s="592"/>
      <c r="C610" s="593"/>
      <c r="D610" s="606"/>
      <c r="E610" s="519"/>
      <c r="F610" s="520"/>
      <c r="G610" s="525"/>
      <c r="H610" s="526"/>
      <c r="I610" s="531"/>
      <c r="J610" s="532"/>
      <c r="K610" s="514"/>
      <c r="L610" s="535"/>
      <c r="M610" s="538"/>
      <c r="N610" s="543"/>
      <c r="O610" s="544"/>
      <c r="P610" s="485"/>
      <c r="Q610" s="486"/>
      <c r="R610" s="519"/>
      <c r="S610" s="520"/>
      <c r="T610" s="489"/>
      <c r="U610" s="490"/>
      <c r="V610" s="493"/>
      <c r="W610" s="485"/>
      <c r="X610" s="496"/>
      <c r="Y610" s="486"/>
      <c r="Z610" s="499"/>
      <c r="AA610" s="504"/>
      <c r="AB610" s="505"/>
      <c r="AC610" s="476" t="s">
        <v>261</v>
      </c>
      <c r="AD610" s="477"/>
      <c r="AE610" s="478"/>
      <c r="AF610" s="102"/>
      <c r="AG610" s="102"/>
      <c r="AH610" s="102"/>
      <c r="AI610" s="102"/>
      <c r="AJ610" s="102"/>
      <c r="AK610" s="102"/>
      <c r="AL610" s="102"/>
      <c r="AM610" s="102"/>
      <c r="AN610" s="102"/>
      <c r="AO610" s="102"/>
      <c r="AP610" s="102"/>
      <c r="AQ610" s="103"/>
      <c r="AR610" s="105">
        <f t="shared" si="1116"/>
        <v>0</v>
      </c>
      <c r="AS610" s="131" t="s">
        <v>161</v>
      </c>
      <c r="AT610" s="132">
        <f t="shared" ref="AT610:AX610" si="1117">SUM(AT607:AT609)</f>
        <v>0</v>
      </c>
      <c r="AU610" s="132">
        <f t="shared" si="1117"/>
        <v>0</v>
      </c>
      <c r="AV610" s="132">
        <f t="shared" si="1117"/>
        <v>0</v>
      </c>
      <c r="AW610" s="133">
        <f t="shared" si="1117"/>
        <v>0</v>
      </c>
      <c r="AX610" s="127">
        <f t="shared" si="1117"/>
        <v>0</v>
      </c>
      <c r="AY610" s="144" t="s">
        <v>161</v>
      </c>
      <c r="AZ610" s="140">
        <f t="shared" ref="AZ610:BB610" si="1118">SUM(AZ607:AZ609)</f>
        <v>0</v>
      </c>
      <c r="BA610" s="140">
        <f t="shared" si="1118"/>
        <v>0</v>
      </c>
      <c r="BB610" s="140">
        <f t="shared" si="1118"/>
        <v>0</v>
      </c>
      <c r="BC610" s="479" t="s">
        <v>263</v>
      </c>
      <c r="BD610" s="480"/>
      <c r="BE610" s="15"/>
      <c r="BF610" s="18"/>
      <c r="BG610" s="15"/>
      <c r="BH610" s="18"/>
      <c r="BI610" s="15"/>
      <c r="BJ610" s="18"/>
      <c r="BK610" s="15"/>
      <c r="BL610" s="18"/>
      <c r="BM610" s="15"/>
      <c r="BN610" s="18"/>
      <c r="BO610" s="15"/>
      <c r="BP610" s="18"/>
      <c r="BQ610" s="109">
        <f t="shared" si="1011"/>
        <v>0</v>
      </c>
      <c r="BR610" s="568"/>
      <c r="BS610" s="573"/>
      <c r="BT610" s="574"/>
      <c r="BU610" s="559"/>
      <c r="BV610" s="562"/>
      <c r="BW610" s="565"/>
      <c r="BX610" s="617"/>
    </row>
    <row r="611" spans="1:76" ht="15.75" thickTop="1" x14ac:dyDescent="0.25">
      <c r="A611" s="585">
        <v>151</v>
      </c>
      <c r="B611" s="588"/>
      <c r="C611" s="589"/>
      <c r="D611" s="604"/>
      <c r="E611" s="515"/>
      <c r="F611" s="516"/>
      <c r="G611" s="521"/>
      <c r="H611" s="522"/>
      <c r="I611" s="527"/>
      <c r="J611" s="528"/>
      <c r="K611" s="512" t="e">
        <f t="shared" ref="K611" si="1119">INT(YEARFRAC(I611,AA611))</f>
        <v>#VALUE!</v>
      </c>
      <c r="L611" s="533">
        <f t="shared" ref="L611" ca="1" si="1120">INT(YEARFRAC(I611,TODAY()))</f>
        <v>121</v>
      </c>
      <c r="M611" s="536"/>
      <c r="N611" s="539"/>
      <c r="O611" s="540"/>
      <c r="P611" s="481"/>
      <c r="Q611" s="482"/>
      <c r="R611" s="515"/>
      <c r="S611" s="516"/>
      <c r="T611" s="487"/>
      <c r="U611" s="488"/>
      <c r="V611" s="491"/>
      <c r="W611" s="481"/>
      <c r="X611" s="494"/>
      <c r="Y611" s="482"/>
      <c r="Z611" s="497"/>
      <c r="AA611" s="500" t="s">
        <v>392</v>
      </c>
      <c r="AB611" s="501"/>
      <c r="AC611" s="506" t="s">
        <v>257</v>
      </c>
      <c r="AD611" s="507"/>
      <c r="AE611" s="507"/>
      <c r="AF611" s="510"/>
      <c r="AG611" s="510"/>
      <c r="AH611" s="510"/>
      <c r="AI611" s="510"/>
      <c r="AJ611" s="510"/>
      <c r="AK611" s="510"/>
      <c r="AL611" s="510"/>
      <c r="AM611" s="510"/>
      <c r="AN611" s="510"/>
      <c r="AO611" s="510"/>
      <c r="AP611" s="510"/>
      <c r="AQ611" s="465"/>
      <c r="AR611" s="467">
        <f t="shared" ref="AR611" si="1121">SUM(AF611:AQ612)</f>
        <v>0</v>
      </c>
      <c r="AS611" s="119" t="s">
        <v>257</v>
      </c>
      <c r="AT611" s="120"/>
      <c r="AU611" s="120"/>
      <c r="AV611" s="120"/>
      <c r="AW611" s="121"/>
      <c r="AX611" s="125">
        <f t="shared" ref="AX611:AX613" si="1122">SUM(AT611:AW611)</f>
        <v>0</v>
      </c>
      <c r="AY611" s="141" t="s">
        <v>257</v>
      </c>
      <c r="AZ611" s="137"/>
      <c r="BA611" s="137"/>
      <c r="BB611" s="134">
        <f t="shared" ref="BB611:BB613" si="1123">AZ611-BA611</f>
        <v>0</v>
      </c>
      <c r="BC611" s="469" t="s">
        <v>258</v>
      </c>
      <c r="BD611" s="470"/>
      <c r="BE611" s="13"/>
      <c r="BF611" s="16"/>
      <c r="BG611" s="13"/>
      <c r="BH611" s="16"/>
      <c r="BI611" s="13"/>
      <c r="BJ611" s="16"/>
      <c r="BK611" s="13"/>
      <c r="BL611" s="16"/>
      <c r="BM611" s="13"/>
      <c r="BN611" s="16"/>
      <c r="BO611" s="13"/>
      <c r="BP611" s="16"/>
      <c r="BQ611" s="106">
        <f t="shared" si="1011"/>
        <v>0</v>
      </c>
      <c r="BR611" s="566"/>
      <c r="BS611" s="569"/>
      <c r="BT611" s="570"/>
      <c r="BU611" s="557"/>
      <c r="BV611" s="560"/>
      <c r="BW611" s="563"/>
      <c r="BX611" s="615"/>
    </row>
    <row r="612" spans="1:76" x14ac:dyDescent="0.25">
      <c r="A612" s="586"/>
      <c r="B612" s="590"/>
      <c r="C612" s="591"/>
      <c r="D612" s="605"/>
      <c r="E612" s="517"/>
      <c r="F612" s="518"/>
      <c r="G612" s="523"/>
      <c r="H612" s="524"/>
      <c r="I612" s="529"/>
      <c r="J612" s="530"/>
      <c r="K612" s="513"/>
      <c r="L612" s="534"/>
      <c r="M612" s="537"/>
      <c r="N612" s="541"/>
      <c r="O612" s="542"/>
      <c r="P612" s="483"/>
      <c r="Q612" s="484"/>
      <c r="R612" s="517"/>
      <c r="S612" s="518"/>
      <c r="T612" s="487"/>
      <c r="U612" s="488"/>
      <c r="V612" s="492"/>
      <c r="W612" s="483"/>
      <c r="X612" s="495"/>
      <c r="Y612" s="484"/>
      <c r="Z612" s="498"/>
      <c r="AA612" s="502"/>
      <c r="AB612" s="503"/>
      <c r="AC612" s="508"/>
      <c r="AD612" s="509"/>
      <c r="AE612" s="509"/>
      <c r="AF612" s="511"/>
      <c r="AG612" s="511"/>
      <c r="AH612" s="511"/>
      <c r="AI612" s="511"/>
      <c r="AJ612" s="511"/>
      <c r="AK612" s="511"/>
      <c r="AL612" s="511"/>
      <c r="AM612" s="511"/>
      <c r="AN612" s="511"/>
      <c r="AO612" s="511"/>
      <c r="AP612" s="511"/>
      <c r="AQ612" s="466"/>
      <c r="AR612" s="468"/>
      <c r="AS612" s="122" t="s">
        <v>259</v>
      </c>
      <c r="AT612" s="123"/>
      <c r="AU612" s="123"/>
      <c r="AV612" s="123"/>
      <c r="AW612" s="124"/>
      <c r="AX612" s="126">
        <f t="shared" si="1122"/>
        <v>0</v>
      </c>
      <c r="AY612" s="142" t="s">
        <v>259</v>
      </c>
      <c r="AZ612" s="138"/>
      <c r="BA612" s="138"/>
      <c r="BB612" s="135">
        <f t="shared" si="1123"/>
        <v>0</v>
      </c>
      <c r="BC612" s="474" t="s">
        <v>260</v>
      </c>
      <c r="BD612" s="475"/>
      <c r="BE612" s="14"/>
      <c r="BF612" s="17"/>
      <c r="BG612" s="14"/>
      <c r="BH612" s="17"/>
      <c r="BI612" s="14"/>
      <c r="BJ612" s="17"/>
      <c r="BK612" s="14"/>
      <c r="BL612" s="17"/>
      <c r="BM612" s="14"/>
      <c r="BN612" s="17"/>
      <c r="BO612" s="14"/>
      <c r="BP612" s="17"/>
      <c r="BQ612" s="107">
        <f t="shared" si="1011"/>
        <v>0</v>
      </c>
      <c r="BR612" s="567"/>
      <c r="BS612" s="571"/>
      <c r="BT612" s="572"/>
      <c r="BU612" s="558"/>
      <c r="BV612" s="561"/>
      <c r="BW612" s="564"/>
      <c r="BX612" s="616"/>
    </row>
    <row r="613" spans="1:76" ht="15.75" thickBot="1" x14ac:dyDescent="0.3">
      <c r="A613" s="586"/>
      <c r="B613" s="590"/>
      <c r="C613" s="591"/>
      <c r="D613" s="605"/>
      <c r="E613" s="517"/>
      <c r="F613" s="518"/>
      <c r="G613" s="523"/>
      <c r="H613" s="524"/>
      <c r="I613" s="529"/>
      <c r="J613" s="530"/>
      <c r="K613" s="513"/>
      <c r="L613" s="534"/>
      <c r="M613" s="537"/>
      <c r="N613" s="541"/>
      <c r="O613" s="542"/>
      <c r="P613" s="483"/>
      <c r="Q613" s="484"/>
      <c r="R613" s="517"/>
      <c r="S613" s="518"/>
      <c r="T613" s="487"/>
      <c r="U613" s="488"/>
      <c r="V613" s="492"/>
      <c r="W613" s="483"/>
      <c r="X613" s="495"/>
      <c r="Y613" s="484"/>
      <c r="Z613" s="498"/>
      <c r="AA613" s="502"/>
      <c r="AB613" s="503"/>
      <c r="AC613" s="471" t="s">
        <v>259</v>
      </c>
      <c r="AD613" s="472"/>
      <c r="AE613" s="473"/>
      <c r="AF613" s="100"/>
      <c r="AG613" s="100"/>
      <c r="AH613" s="100"/>
      <c r="AI613" s="100"/>
      <c r="AJ613" s="100"/>
      <c r="AK613" s="100"/>
      <c r="AL613" s="100"/>
      <c r="AM613" s="100"/>
      <c r="AN613" s="100"/>
      <c r="AO613" s="100"/>
      <c r="AP613" s="100"/>
      <c r="AQ613" s="101"/>
      <c r="AR613" s="104">
        <f t="shared" ref="AR613:AR614" si="1124">SUM(AF613:AQ613)</f>
        <v>0</v>
      </c>
      <c r="AS613" s="128" t="s">
        <v>261</v>
      </c>
      <c r="AT613" s="129"/>
      <c r="AU613" s="129"/>
      <c r="AV613" s="129"/>
      <c r="AW613" s="130"/>
      <c r="AX613" s="126">
        <f t="shared" si="1122"/>
        <v>0</v>
      </c>
      <c r="AY613" s="143" t="s">
        <v>261</v>
      </c>
      <c r="AZ613" s="139"/>
      <c r="BA613" s="139"/>
      <c r="BB613" s="136">
        <f t="shared" si="1123"/>
        <v>0</v>
      </c>
      <c r="BC613" s="474" t="s">
        <v>262</v>
      </c>
      <c r="BD613" s="475"/>
      <c r="BE613" s="14"/>
      <c r="BF613" s="17"/>
      <c r="BG613" s="14"/>
      <c r="BH613" s="17"/>
      <c r="BI613" s="14"/>
      <c r="BJ613" s="17"/>
      <c r="BK613" s="14"/>
      <c r="BL613" s="17"/>
      <c r="BM613" s="14"/>
      <c r="BN613" s="17"/>
      <c r="BO613" s="14"/>
      <c r="BP613" s="17"/>
      <c r="BQ613" s="108">
        <f t="shared" si="1011"/>
        <v>0</v>
      </c>
      <c r="BR613" s="567"/>
      <c r="BS613" s="571"/>
      <c r="BT613" s="572"/>
      <c r="BU613" s="558"/>
      <c r="BV613" s="561"/>
      <c r="BW613" s="564"/>
      <c r="BX613" s="616"/>
    </row>
    <row r="614" spans="1:76" ht="15.75" thickBot="1" x14ac:dyDescent="0.3">
      <c r="A614" s="587"/>
      <c r="B614" s="592"/>
      <c r="C614" s="593"/>
      <c r="D614" s="606"/>
      <c r="E614" s="519"/>
      <c r="F614" s="520"/>
      <c r="G614" s="525"/>
      <c r="H614" s="526"/>
      <c r="I614" s="531"/>
      <c r="J614" s="532"/>
      <c r="K614" s="514"/>
      <c r="L614" s="535"/>
      <c r="M614" s="538"/>
      <c r="N614" s="543"/>
      <c r="O614" s="544"/>
      <c r="P614" s="485"/>
      <c r="Q614" s="486"/>
      <c r="R614" s="519"/>
      <c r="S614" s="520"/>
      <c r="T614" s="489"/>
      <c r="U614" s="490"/>
      <c r="V614" s="493"/>
      <c r="W614" s="485"/>
      <c r="X614" s="496"/>
      <c r="Y614" s="486"/>
      <c r="Z614" s="499"/>
      <c r="AA614" s="504"/>
      <c r="AB614" s="505"/>
      <c r="AC614" s="476" t="s">
        <v>261</v>
      </c>
      <c r="AD614" s="477"/>
      <c r="AE614" s="478"/>
      <c r="AF614" s="102"/>
      <c r="AG614" s="102"/>
      <c r="AH614" s="102"/>
      <c r="AI614" s="102"/>
      <c r="AJ614" s="102"/>
      <c r="AK614" s="102"/>
      <c r="AL614" s="102"/>
      <c r="AM614" s="102"/>
      <c r="AN614" s="102"/>
      <c r="AO614" s="102"/>
      <c r="AP614" s="102"/>
      <c r="AQ614" s="103"/>
      <c r="AR614" s="105">
        <f t="shared" si="1124"/>
        <v>0</v>
      </c>
      <c r="AS614" s="131" t="s">
        <v>161</v>
      </c>
      <c r="AT614" s="132">
        <f t="shared" ref="AT614:AX614" si="1125">SUM(AT611:AT613)</f>
        <v>0</v>
      </c>
      <c r="AU614" s="132">
        <f t="shared" si="1125"/>
        <v>0</v>
      </c>
      <c r="AV614" s="132">
        <f t="shared" si="1125"/>
        <v>0</v>
      </c>
      <c r="AW614" s="133">
        <f t="shared" si="1125"/>
        <v>0</v>
      </c>
      <c r="AX614" s="127">
        <f t="shared" si="1125"/>
        <v>0</v>
      </c>
      <c r="AY614" s="144" t="s">
        <v>161</v>
      </c>
      <c r="AZ614" s="140">
        <f t="shared" ref="AZ614:BB614" si="1126">SUM(AZ611:AZ613)</f>
        <v>0</v>
      </c>
      <c r="BA614" s="140">
        <f t="shared" si="1126"/>
        <v>0</v>
      </c>
      <c r="BB614" s="140">
        <f t="shared" si="1126"/>
        <v>0</v>
      </c>
      <c r="BC614" s="479" t="s">
        <v>263</v>
      </c>
      <c r="BD614" s="480"/>
      <c r="BE614" s="15"/>
      <c r="BF614" s="18"/>
      <c r="BG614" s="15"/>
      <c r="BH614" s="18"/>
      <c r="BI614" s="15"/>
      <c r="BJ614" s="18"/>
      <c r="BK614" s="15"/>
      <c r="BL614" s="18"/>
      <c r="BM614" s="15"/>
      <c r="BN614" s="18"/>
      <c r="BO614" s="15"/>
      <c r="BP614" s="18"/>
      <c r="BQ614" s="109">
        <f t="shared" si="1011"/>
        <v>0</v>
      </c>
      <c r="BR614" s="568"/>
      <c r="BS614" s="573"/>
      <c r="BT614" s="574"/>
      <c r="BU614" s="559"/>
      <c r="BV614" s="562"/>
      <c r="BW614" s="565"/>
      <c r="BX614" s="617"/>
    </row>
    <row r="615" spans="1:76" ht="15.75" thickTop="1" x14ac:dyDescent="0.25">
      <c r="A615" s="585">
        <v>152</v>
      </c>
      <c r="B615" s="588"/>
      <c r="C615" s="589"/>
      <c r="D615" s="604"/>
      <c r="E615" s="515"/>
      <c r="F615" s="516"/>
      <c r="G615" s="521"/>
      <c r="H615" s="522"/>
      <c r="I615" s="527"/>
      <c r="J615" s="528"/>
      <c r="K615" s="512" t="e">
        <f t="shared" ref="K615" si="1127">INT(YEARFRAC(I615,AA615))</f>
        <v>#VALUE!</v>
      </c>
      <c r="L615" s="533">
        <f t="shared" ref="L615" ca="1" si="1128">INT(YEARFRAC(I615,TODAY()))</f>
        <v>121</v>
      </c>
      <c r="M615" s="536"/>
      <c r="N615" s="539"/>
      <c r="O615" s="540"/>
      <c r="P615" s="481"/>
      <c r="Q615" s="482"/>
      <c r="R615" s="515"/>
      <c r="S615" s="516"/>
      <c r="T615" s="487"/>
      <c r="U615" s="488"/>
      <c r="V615" s="491"/>
      <c r="W615" s="481"/>
      <c r="X615" s="494"/>
      <c r="Y615" s="482"/>
      <c r="Z615" s="497"/>
      <c r="AA615" s="500" t="s">
        <v>393</v>
      </c>
      <c r="AB615" s="501"/>
      <c r="AC615" s="506" t="s">
        <v>257</v>
      </c>
      <c r="AD615" s="507"/>
      <c r="AE615" s="507"/>
      <c r="AF615" s="510"/>
      <c r="AG615" s="510"/>
      <c r="AH615" s="510"/>
      <c r="AI615" s="510"/>
      <c r="AJ615" s="510"/>
      <c r="AK615" s="510"/>
      <c r="AL615" s="510"/>
      <c r="AM615" s="510"/>
      <c r="AN615" s="510"/>
      <c r="AO615" s="510"/>
      <c r="AP615" s="510"/>
      <c r="AQ615" s="465"/>
      <c r="AR615" s="467">
        <f t="shared" ref="AR615" si="1129">SUM(AF615:AQ616)</f>
        <v>0</v>
      </c>
      <c r="AS615" s="119" t="s">
        <v>257</v>
      </c>
      <c r="AT615" s="120"/>
      <c r="AU615" s="120"/>
      <c r="AV615" s="120"/>
      <c r="AW615" s="121"/>
      <c r="AX615" s="125">
        <f t="shared" ref="AX615:AX617" si="1130">SUM(AT615:AW615)</f>
        <v>0</v>
      </c>
      <c r="AY615" s="141" t="s">
        <v>257</v>
      </c>
      <c r="AZ615" s="137"/>
      <c r="BA615" s="137"/>
      <c r="BB615" s="134">
        <f t="shared" ref="BB615:BB617" si="1131">AZ615-BA615</f>
        <v>0</v>
      </c>
      <c r="BC615" s="469" t="s">
        <v>258</v>
      </c>
      <c r="BD615" s="470"/>
      <c r="BE615" s="13"/>
      <c r="BF615" s="16"/>
      <c r="BG615" s="13"/>
      <c r="BH615" s="16"/>
      <c r="BI615" s="13"/>
      <c r="BJ615" s="16"/>
      <c r="BK615" s="13"/>
      <c r="BL615" s="16"/>
      <c r="BM615" s="13"/>
      <c r="BN615" s="16"/>
      <c r="BO615" s="13"/>
      <c r="BP615" s="16"/>
      <c r="BQ615" s="106">
        <f t="shared" si="1011"/>
        <v>0</v>
      </c>
      <c r="BR615" s="566"/>
      <c r="BS615" s="569"/>
      <c r="BT615" s="570"/>
      <c r="BU615" s="557"/>
      <c r="BV615" s="560"/>
      <c r="BW615" s="563"/>
      <c r="BX615" s="615"/>
    </row>
    <row r="616" spans="1:76" x14ac:dyDescent="0.25">
      <c r="A616" s="586"/>
      <c r="B616" s="590"/>
      <c r="C616" s="591"/>
      <c r="D616" s="605"/>
      <c r="E616" s="517"/>
      <c r="F616" s="518"/>
      <c r="G616" s="523"/>
      <c r="H616" s="524"/>
      <c r="I616" s="529"/>
      <c r="J616" s="530"/>
      <c r="K616" s="513"/>
      <c r="L616" s="534"/>
      <c r="M616" s="537"/>
      <c r="N616" s="541"/>
      <c r="O616" s="542"/>
      <c r="P616" s="483"/>
      <c r="Q616" s="484"/>
      <c r="R616" s="517"/>
      <c r="S616" s="518"/>
      <c r="T616" s="487"/>
      <c r="U616" s="488"/>
      <c r="V616" s="492"/>
      <c r="W616" s="483"/>
      <c r="X616" s="495"/>
      <c r="Y616" s="484"/>
      <c r="Z616" s="498"/>
      <c r="AA616" s="502"/>
      <c r="AB616" s="503"/>
      <c r="AC616" s="508"/>
      <c r="AD616" s="509"/>
      <c r="AE616" s="509"/>
      <c r="AF616" s="511"/>
      <c r="AG616" s="511"/>
      <c r="AH616" s="511"/>
      <c r="AI616" s="511"/>
      <c r="AJ616" s="511"/>
      <c r="AK616" s="511"/>
      <c r="AL616" s="511"/>
      <c r="AM616" s="511"/>
      <c r="AN616" s="511"/>
      <c r="AO616" s="511"/>
      <c r="AP616" s="511"/>
      <c r="AQ616" s="466"/>
      <c r="AR616" s="468"/>
      <c r="AS616" s="122" t="s">
        <v>259</v>
      </c>
      <c r="AT616" s="123"/>
      <c r="AU616" s="123"/>
      <c r="AV616" s="123"/>
      <c r="AW616" s="124"/>
      <c r="AX616" s="126">
        <f t="shared" si="1130"/>
        <v>0</v>
      </c>
      <c r="AY616" s="142" t="s">
        <v>259</v>
      </c>
      <c r="AZ616" s="138"/>
      <c r="BA616" s="138"/>
      <c r="BB616" s="135">
        <f t="shared" si="1131"/>
        <v>0</v>
      </c>
      <c r="BC616" s="474" t="s">
        <v>260</v>
      </c>
      <c r="BD616" s="475"/>
      <c r="BE616" s="14"/>
      <c r="BF616" s="17"/>
      <c r="BG616" s="14"/>
      <c r="BH616" s="17"/>
      <c r="BI616" s="14"/>
      <c r="BJ616" s="17"/>
      <c r="BK616" s="14"/>
      <c r="BL616" s="17"/>
      <c r="BM616" s="14"/>
      <c r="BN616" s="17"/>
      <c r="BO616" s="14"/>
      <c r="BP616" s="17"/>
      <c r="BQ616" s="107">
        <f t="shared" si="1011"/>
        <v>0</v>
      </c>
      <c r="BR616" s="567"/>
      <c r="BS616" s="571"/>
      <c r="BT616" s="572"/>
      <c r="BU616" s="558"/>
      <c r="BV616" s="561"/>
      <c r="BW616" s="564"/>
      <c r="BX616" s="616"/>
    </row>
    <row r="617" spans="1:76" ht="15.75" thickBot="1" x14ac:dyDescent="0.3">
      <c r="A617" s="586"/>
      <c r="B617" s="590"/>
      <c r="C617" s="591"/>
      <c r="D617" s="605"/>
      <c r="E617" s="517"/>
      <c r="F617" s="518"/>
      <c r="G617" s="523"/>
      <c r="H617" s="524"/>
      <c r="I617" s="529"/>
      <c r="J617" s="530"/>
      <c r="K617" s="513"/>
      <c r="L617" s="534"/>
      <c r="M617" s="537"/>
      <c r="N617" s="541"/>
      <c r="O617" s="542"/>
      <c r="P617" s="483"/>
      <c r="Q617" s="484"/>
      <c r="R617" s="517"/>
      <c r="S617" s="518"/>
      <c r="T617" s="487"/>
      <c r="U617" s="488"/>
      <c r="V617" s="492"/>
      <c r="W617" s="483"/>
      <c r="X617" s="495"/>
      <c r="Y617" s="484"/>
      <c r="Z617" s="498"/>
      <c r="AA617" s="502"/>
      <c r="AB617" s="503"/>
      <c r="AC617" s="471" t="s">
        <v>259</v>
      </c>
      <c r="AD617" s="472"/>
      <c r="AE617" s="473"/>
      <c r="AF617" s="100"/>
      <c r="AG617" s="100"/>
      <c r="AH617" s="100"/>
      <c r="AI617" s="100"/>
      <c r="AJ617" s="100"/>
      <c r="AK617" s="100"/>
      <c r="AL617" s="100"/>
      <c r="AM617" s="100"/>
      <c r="AN617" s="100"/>
      <c r="AO617" s="100"/>
      <c r="AP617" s="100"/>
      <c r="AQ617" s="101"/>
      <c r="AR617" s="104">
        <f t="shared" ref="AR617:AR618" si="1132">SUM(AF617:AQ617)</f>
        <v>0</v>
      </c>
      <c r="AS617" s="128" t="s">
        <v>261</v>
      </c>
      <c r="AT617" s="129"/>
      <c r="AU617" s="129"/>
      <c r="AV617" s="129"/>
      <c r="AW617" s="130"/>
      <c r="AX617" s="126">
        <f t="shared" si="1130"/>
        <v>0</v>
      </c>
      <c r="AY617" s="143" t="s">
        <v>261</v>
      </c>
      <c r="AZ617" s="139"/>
      <c r="BA617" s="139"/>
      <c r="BB617" s="136">
        <f t="shared" si="1131"/>
        <v>0</v>
      </c>
      <c r="BC617" s="474" t="s">
        <v>262</v>
      </c>
      <c r="BD617" s="475"/>
      <c r="BE617" s="14"/>
      <c r="BF617" s="17"/>
      <c r="BG617" s="14"/>
      <c r="BH617" s="17"/>
      <c r="BI617" s="14"/>
      <c r="BJ617" s="17"/>
      <c r="BK617" s="14"/>
      <c r="BL617" s="17"/>
      <c r="BM617" s="14"/>
      <c r="BN617" s="17"/>
      <c r="BO617" s="14"/>
      <c r="BP617" s="17"/>
      <c r="BQ617" s="108">
        <f t="shared" si="1011"/>
        <v>0</v>
      </c>
      <c r="BR617" s="567"/>
      <c r="BS617" s="571"/>
      <c r="BT617" s="572"/>
      <c r="BU617" s="558"/>
      <c r="BV617" s="561"/>
      <c r="BW617" s="564"/>
      <c r="BX617" s="616"/>
    </row>
    <row r="618" spans="1:76" ht="15.75" thickBot="1" x14ac:dyDescent="0.3">
      <c r="A618" s="587"/>
      <c r="B618" s="592"/>
      <c r="C618" s="593"/>
      <c r="D618" s="606"/>
      <c r="E618" s="519"/>
      <c r="F618" s="520"/>
      <c r="G618" s="525"/>
      <c r="H618" s="526"/>
      <c r="I618" s="531"/>
      <c r="J618" s="532"/>
      <c r="K618" s="514"/>
      <c r="L618" s="535"/>
      <c r="M618" s="538"/>
      <c r="N618" s="543"/>
      <c r="O618" s="544"/>
      <c r="P618" s="485"/>
      <c r="Q618" s="486"/>
      <c r="R618" s="519"/>
      <c r="S618" s="520"/>
      <c r="T618" s="489"/>
      <c r="U618" s="490"/>
      <c r="V618" s="493"/>
      <c r="W618" s="485"/>
      <c r="X618" s="496"/>
      <c r="Y618" s="486"/>
      <c r="Z618" s="499"/>
      <c r="AA618" s="504"/>
      <c r="AB618" s="505"/>
      <c r="AC618" s="476" t="s">
        <v>261</v>
      </c>
      <c r="AD618" s="477"/>
      <c r="AE618" s="478"/>
      <c r="AF618" s="102"/>
      <c r="AG618" s="102"/>
      <c r="AH618" s="102"/>
      <c r="AI618" s="102"/>
      <c r="AJ618" s="102"/>
      <c r="AK618" s="102"/>
      <c r="AL618" s="102"/>
      <c r="AM618" s="102"/>
      <c r="AN618" s="102"/>
      <c r="AO618" s="102"/>
      <c r="AP618" s="102"/>
      <c r="AQ618" s="103"/>
      <c r="AR618" s="105">
        <f t="shared" si="1132"/>
        <v>0</v>
      </c>
      <c r="AS618" s="131" t="s">
        <v>161</v>
      </c>
      <c r="AT618" s="132">
        <f t="shared" ref="AT618:AX618" si="1133">SUM(AT615:AT617)</f>
        <v>0</v>
      </c>
      <c r="AU618" s="132">
        <f t="shared" si="1133"/>
        <v>0</v>
      </c>
      <c r="AV618" s="132">
        <f t="shared" si="1133"/>
        <v>0</v>
      </c>
      <c r="AW618" s="133">
        <f t="shared" si="1133"/>
        <v>0</v>
      </c>
      <c r="AX618" s="127">
        <f t="shared" si="1133"/>
        <v>0</v>
      </c>
      <c r="AY618" s="144" t="s">
        <v>161</v>
      </c>
      <c r="AZ618" s="140">
        <f t="shared" ref="AZ618:BB618" si="1134">SUM(AZ615:AZ617)</f>
        <v>0</v>
      </c>
      <c r="BA618" s="140">
        <f t="shared" si="1134"/>
        <v>0</v>
      </c>
      <c r="BB618" s="140">
        <f t="shared" si="1134"/>
        <v>0</v>
      </c>
      <c r="BC618" s="479" t="s">
        <v>263</v>
      </c>
      <c r="BD618" s="480"/>
      <c r="BE618" s="15"/>
      <c r="BF618" s="18"/>
      <c r="BG618" s="15"/>
      <c r="BH618" s="18"/>
      <c r="BI618" s="15"/>
      <c r="BJ618" s="18"/>
      <c r="BK618" s="15"/>
      <c r="BL618" s="18"/>
      <c r="BM618" s="15"/>
      <c r="BN618" s="18"/>
      <c r="BO618" s="15"/>
      <c r="BP618" s="18"/>
      <c r="BQ618" s="109">
        <f t="shared" si="1011"/>
        <v>0</v>
      </c>
      <c r="BR618" s="568"/>
      <c r="BS618" s="573"/>
      <c r="BT618" s="574"/>
      <c r="BU618" s="559"/>
      <c r="BV618" s="562"/>
      <c r="BW618" s="565"/>
      <c r="BX618" s="617"/>
    </row>
    <row r="619" spans="1:76" ht="15.75" thickTop="1" x14ac:dyDescent="0.25">
      <c r="A619" s="585">
        <v>153</v>
      </c>
      <c r="B619" s="588"/>
      <c r="C619" s="589"/>
      <c r="D619" s="604"/>
      <c r="E619" s="515"/>
      <c r="F619" s="516"/>
      <c r="G619" s="521"/>
      <c r="H619" s="522"/>
      <c r="I619" s="527"/>
      <c r="J619" s="528"/>
      <c r="K619" s="512" t="e">
        <f t="shared" ref="K619" si="1135">INT(YEARFRAC(I619,AA619))</f>
        <v>#VALUE!</v>
      </c>
      <c r="L619" s="533">
        <f t="shared" ref="L619" ca="1" si="1136">INT(YEARFRAC(I619,TODAY()))</f>
        <v>121</v>
      </c>
      <c r="M619" s="536"/>
      <c r="N619" s="539"/>
      <c r="O619" s="540"/>
      <c r="P619" s="481"/>
      <c r="Q619" s="482"/>
      <c r="R619" s="515"/>
      <c r="S619" s="516"/>
      <c r="T619" s="487"/>
      <c r="U619" s="488"/>
      <c r="V619" s="491"/>
      <c r="W619" s="481"/>
      <c r="X619" s="494"/>
      <c r="Y619" s="482"/>
      <c r="Z619" s="497"/>
      <c r="AA619" s="500" t="s">
        <v>394</v>
      </c>
      <c r="AB619" s="501"/>
      <c r="AC619" s="506" t="s">
        <v>257</v>
      </c>
      <c r="AD619" s="507"/>
      <c r="AE619" s="507"/>
      <c r="AF619" s="510"/>
      <c r="AG619" s="510"/>
      <c r="AH619" s="510"/>
      <c r="AI619" s="510"/>
      <c r="AJ619" s="510"/>
      <c r="AK619" s="510"/>
      <c r="AL619" s="510"/>
      <c r="AM619" s="510"/>
      <c r="AN619" s="510"/>
      <c r="AO619" s="510"/>
      <c r="AP619" s="510"/>
      <c r="AQ619" s="465"/>
      <c r="AR619" s="467">
        <f t="shared" ref="AR619" si="1137">SUM(AF619:AQ620)</f>
        <v>0</v>
      </c>
      <c r="AS619" s="119" t="s">
        <v>257</v>
      </c>
      <c r="AT619" s="120"/>
      <c r="AU619" s="120"/>
      <c r="AV619" s="120"/>
      <c r="AW619" s="121"/>
      <c r="AX619" s="125">
        <f t="shared" ref="AX619:AX621" si="1138">SUM(AT619:AW619)</f>
        <v>0</v>
      </c>
      <c r="AY619" s="141" t="s">
        <v>257</v>
      </c>
      <c r="AZ619" s="137"/>
      <c r="BA619" s="137"/>
      <c r="BB619" s="134">
        <f t="shared" ref="BB619:BB621" si="1139">AZ619-BA619</f>
        <v>0</v>
      </c>
      <c r="BC619" s="469" t="s">
        <v>258</v>
      </c>
      <c r="BD619" s="470"/>
      <c r="BE619" s="13"/>
      <c r="BF619" s="16"/>
      <c r="BG619" s="13"/>
      <c r="BH619" s="16"/>
      <c r="BI619" s="13"/>
      <c r="BJ619" s="16"/>
      <c r="BK619" s="13"/>
      <c r="BL619" s="16"/>
      <c r="BM619" s="13"/>
      <c r="BN619" s="16"/>
      <c r="BO619" s="13"/>
      <c r="BP619" s="16"/>
      <c r="BQ619" s="106">
        <f t="shared" ref="BQ619:BQ682" si="1140">SUM(BE619:BP619)</f>
        <v>0</v>
      </c>
      <c r="BR619" s="566"/>
      <c r="BS619" s="569"/>
      <c r="BT619" s="570"/>
      <c r="BU619" s="557"/>
      <c r="BV619" s="560"/>
      <c r="BW619" s="563"/>
      <c r="BX619" s="615"/>
    </row>
    <row r="620" spans="1:76" x14ac:dyDescent="0.25">
      <c r="A620" s="586"/>
      <c r="B620" s="590"/>
      <c r="C620" s="591"/>
      <c r="D620" s="605"/>
      <c r="E620" s="517"/>
      <c r="F620" s="518"/>
      <c r="G620" s="523"/>
      <c r="H620" s="524"/>
      <c r="I620" s="529"/>
      <c r="J620" s="530"/>
      <c r="K620" s="513"/>
      <c r="L620" s="534"/>
      <c r="M620" s="537"/>
      <c r="N620" s="541"/>
      <c r="O620" s="542"/>
      <c r="P620" s="483"/>
      <c r="Q620" s="484"/>
      <c r="R620" s="517"/>
      <c r="S620" s="518"/>
      <c r="T620" s="487"/>
      <c r="U620" s="488"/>
      <c r="V620" s="492"/>
      <c r="W620" s="483"/>
      <c r="X620" s="495"/>
      <c r="Y620" s="484"/>
      <c r="Z620" s="498"/>
      <c r="AA620" s="502"/>
      <c r="AB620" s="503"/>
      <c r="AC620" s="508"/>
      <c r="AD620" s="509"/>
      <c r="AE620" s="509"/>
      <c r="AF620" s="511"/>
      <c r="AG620" s="511"/>
      <c r="AH620" s="511"/>
      <c r="AI620" s="511"/>
      <c r="AJ620" s="511"/>
      <c r="AK620" s="511"/>
      <c r="AL620" s="511"/>
      <c r="AM620" s="511"/>
      <c r="AN620" s="511"/>
      <c r="AO620" s="511"/>
      <c r="AP620" s="511"/>
      <c r="AQ620" s="466"/>
      <c r="AR620" s="468"/>
      <c r="AS620" s="122" t="s">
        <v>259</v>
      </c>
      <c r="AT620" s="123"/>
      <c r="AU620" s="123"/>
      <c r="AV620" s="123"/>
      <c r="AW620" s="124"/>
      <c r="AX620" s="126">
        <f t="shared" si="1138"/>
        <v>0</v>
      </c>
      <c r="AY620" s="142" t="s">
        <v>259</v>
      </c>
      <c r="AZ620" s="138"/>
      <c r="BA620" s="138"/>
      <c r="BB620" s="135">
        <f t="shared" si="1139"/>
        <v>0</v>
      </c>
      <c r="BC620" s="474" t="s">
        <v>260</v>
      </c>
      <c r="BD620" s="475"/>
      <c r="BE620" s="14"/>
      <c r="BF620" s="17"/>
      <c r="BG620" s="14"/>
      <c r="BH620" s="17"/>
      <c r="BI620" s="14"/>
      <c r="BJ620" s="17"/>
      <c r="BK620" s="14"/>
      <c r="BL620" s="17"/>
      <c r="BM620" s="14"/>
      <c r="BN620" s="17"/>
      <c r="BO620" s="14"/>
      <c r="BP620" s="17"/>
      <c r="BQ620" s="107">
        <f t="shared" si="1140"/>
        <v>0</v>
      </c>
      <c r="BR620" s="567"/>
      <c r="BS620" s="571"/>
      <c r="BT620" s="572"/>
      <c r="BU620" s="558"/>
      <c r="BV620" s="561"/>
      <c r="BW620" s="564"/>
      <c r="BX620" s="616"/>
    </row>
    <row r="621" spans="1:76" ht="15.75" thickBot="1" x14ac:dyDescent="0.3">
      <c r="A621" s="586"/>
      <c r="B621" s="590"/>
      <c r="C621" s="591"/>
      <c r="D621" s="605"/>
      <c r="E621" s="517"/>
      <c r="F621" s="518"/>
      <c r="G621" s="523"/>
      <c r="H621" s="524"/>
      <c r="I621" s="529"/>
      <c r="J621" s="530"/>
      <c r="K621" s="513"/>
      <c r="L621" s="534"/>
      <c r="M621" s="537"/>
      <c r="N621" s="541"/>
      <c r="O621" s="542"/>
      <c r="P621" s="483"/>
      <c r="Q621" s="484"/>
      <c r="R621" s="517"/>
      <c r="S621" s="518"/>
      <c r="T621" s="487"/>
      <c r="U621" s="488"/>
      <c r="V621" s="492"/>
      <c r="W621" s="483"/>
      <c r="X621" s="495"/>
      <c r="Y621" s="484"/>
      <c r="Z621" s="498"/>
      <c r="AA621" s="502"/>
      <c r="AB621" s="503"/>
      <c r="AC621" s="471" t="s">
        <v>259</v>
      </c>
      <c r="AD621" s="472"/>
      <c r="AE621" s="473"/>
      <c r="AF621" s="100"/>
      <c r="AG621" s="100"/>
      <c r="AH621" s="100"/>
      <c r="AI621" s="100"/>
      <c r="AJ621" s="100"/>
      <c r="AK621" s="100"/>
      <c r="AL621" s="100"/>
      <c r="AM621" s="100"/>
      <c r="AN621" s="100"/>
      <c r="AO621" s="100"/>
      <c r="AP621" s="100"/>
      <c r="AQ621" s="101"/>
      <c r="AR621" s="104">
        <f t="shared" ref="AR621:AR622" si="1141">SUM(AF621:AQ621)</f>
        <v>0</v>
      </c>
      <c r="AS621" s="128" t="s">
        <v>261</v>
      </c>
      <c r="AT621" s="129"/>
      <c r="AU621" s="129"/>
      <c r="AV621" s="129"/>
      <c r="AW621" s="130"/>
      <c r="AX621" s="126">
        <f t="shared" si="1138"/>
        <v>0</v>
      </c>
      <c r="AY621" s="143" t="s">
        <v>261</v>
      </c>
      <c r="AZ621" s="139"/>
      <c r="BA621" s="139"/>
      <c r="BB621" s="136">
        <f t="shared" si="1139"/>
        <v>0</v>
      </c>
      <c r="BC621" s="474" t="s">
        <v>262</v>
      </c>
      <c r="BD621" s="475"/>
      <c r="BE621" s="14"/>
      <c r="BF621" s="17"/>
      <c r="BG621" s="14"/>
      <c r="BH621" s="17"/>
      <c r="BI621" s="14"/>
      <c r="BJ621" s="17"/>
      <c r="BK621" s="14"/>
      <c r="BL621" s="17"/>
      <c r="BM621" s="14"/>
      <c r="BN621" s="17"/>
      <c r="BO621" s="14"/>
      <c r="BP621" s="17"/>
      <c r="BQ621" s="108">
        <f t="shared" si="1140"/>
        <v>0</v>
      </c>
      <c r="BR621" s="567"/>
      <c r="BS621" s="571"/>
      <c r="BT621" s="572"/>
      <c r="BU621" s="558"/>
      <c r="BV621" s="561"/>
      <c r="BW621" s="564"/>
      <c r="BX621" s="616"/>
    </row>
    <row r="622" spans="1:76" ht="15.75" thickBot="1" x14ac:dyDescent="0.3">
      <c r="A622" s="587"/>
      <c r="B622" s="592"/>
      <c r="C622" s="593"/>
      <c r="D622" s="606"/>
      <c r="E622" s="519"/>
      <c r="F622" s="520"/>
      <c r="G622" s="525"/>
      <c r="H622" s="526"/>
      <c r="I622" s="531"/>
      <c r="J622" s="532"/>
      <c r="K622" s="514"/>
      <c r="L622" s="535"/>
      <c r="M622" s="538"/>
      <c r="N622" s="543"/>
      <c r="O622" s="544"/>
      <c r="P622" s="485"/>
      <c r="Q622" s="486"/>
      <c r="R622" s="519"/>
      <c r="S622" s="520"/>
      <c r="T622" s="489"/>
      <c r="U622" s="490"/>
      <c r="V622" s="493"/>
      <c r="W622" s="485"/>
      <c r="X622" s="496"/>
      <c r="Y622" s="486"/>
      <c r="Z622" s="499"/>
      <c r="AA622" s="504"/>
      <c r="AB622" s="505"/>
      <c r="AC622" s="476" t="s">
        <v>261</v>
      </c>
      <c r="AD622" s="477"/>
      <c r="AE622" s="478"/>
      <c r="AF622" s="102"/>
      <c r="AG622" s="102"/>
      <c r="AH622" s="102"/>
      <c r="AI622" s="102"/>
      <c r="AJ622" s="102"/>
      <c r="AK622" s="102"/>
      <c r="AL622" s="102"/>
      <c r="AM622" s="102"/>
      <c r="AN622" s="102"/>
      <c r="AO622" s="102"/>
      <c r="AP622" s="102"/>
      <c r="AQ622" s="103"/>
      <c r="AR622" s="105">
        <f t="shared" si="1141"/>
        <v>0</v>
      </c>
      <c r="AS622" s="131" t="s">
        <v>161</v>
      </c>
      <c r="AT622" s="132">
        <f t="shared" ref="AT622:AX622" si="1142">SUM(AT619:AT621)</f>
        <v>0</v>
      </c>
      <c r="AU622" s="132">
        <f t="shared" si="1142"/>
        <v>0</v>
      </c>
      <c r="AV622" s="132">
        <f t="shared" si="1142"/>
        <v>0</v>
      </c>
      <c r="AW622" s="133">
        <f t="shared" si="1142"/>
        <v>0</v>
      </c>
      <c r="AX622" s="127">
        <f t="shared" si="1142"/>
        <v>0</v>
      </c>
      <c r="AY622" s="144" t="s">
        <v>161</v>
      </c>
      <c r="AZ622" s="140">
        <f t="shared" ref="AZ622:BB622" si="1143">SUM(AZ619:AZ621)</f>
        <v>0</v>
      </c>
      <c r="BA622" s="140">
        <f t="shared" si="1143"/>
        <v>0</v>
      </c>
      <c r="BB622" s="140">
        <f t="shared" si="1143"/>
        <v>0</v>
      </c>
      <c r="BC622" s="479" t="s">
        <v>263</v>
      </c>
      <c r="BD622" s="480"/>
      <c r="BE622" s="15"/>
      <c r="BF622" s="18"/>
      <c r="BG622" s="15"/>
      <c r="BH622" s="18"/>
      <c r="BI622" s="15"/>
      <c r="BJ622" s="18"/>
      <c r="BK622" s="15"/>
      <c r="BL622" s="18"/>
      <c r="BM622" s="15"/>
      <c r="BN622" s="18"/>
      <c r="BO622" s="15"/>
      <c r="BP622" s="18"/>
      <c r="BQ622" s="109">
        <f t="shared" si="1140"/>
        <v>0</v>
      </c>
      <c r="BR622" s="568"/>
      <c r="BS622" s="573"/>
      <c r="BT622" s="574"/>
      <c r="BU622" s="559"/>
      <c r="BV622" s="562"/>
      <c r="BW622" s="565"/>
      <c r="BX622" s="617"/>
    </row>
    <row r="623" spans="1:76" ht="15.75" thickTop="1" x14ac:dyDescent="0.25">
      <c r="A623" s="585">
        <v>154</v>
      </c>
      <c r="B623" s="588"/>
      <c r="C623" s="589"/>
      <c r="D623" s="604"/>
      <c r="E623" s="515"/>
      <c r="F623" s="516"/>
      <c r="G623" s="521"/>
      <c r="H623" s="522"/>
      <c r="I623" s="527"/>
      <c r="J623" s="528"/>
      <c r="K623" s="512" t="e">
        <f t="shared" ref="K623" si="1144">INT(YEARFRAC(I623,AA623))</f>
        <v>#VALUE!</v>
      </c>
      <c r="L623" s="533">
        <f t="shared" ref="L623" ca="1" si="1145">INT(YEARFRAC(I623,TODAY()))</f>
        <v>121</v>
      </c>
      <c r="M623" s="536"/>
      <c r="N623" s="539"/>
      <c r="O623" s="540"/>
      <c r="P623" s="481"/>
      <c r="Q623" s="482"/>
      <c r="R623" s="515"/>
      <c r="S623" s="516"/>
      <c r="T623" s="487"/>
      <c r="U623" s="488"/>
      <c r="V623" s="491"/>
      <c r="W623" s="481"/>
      <c r="X623" s="494"/>
      <c r="Y623" s="482"/>
      <c r="Z623" s="497"/>
      <c r="AA623" s="500" t="s">
        <v>395</v>
      </c>
      <c r="AB623" s="501"/>
      <c r="AC623" s="506" t="s">
        <v>257</v>
      </c>
      <c r="AD623" s="507"/>
      <c r="AE623" s="507"/>
      <c r="AF623" s="510"/>
      <c r="AG623" s="510"/>
      <c r="AH623" s="510"/>
      <c r="AI623" s="510"/>
      <c r="AJ623" s="510"/>
      <c r="AK623" s="510"/>
      <c r="AL623" s="510"/>
      <c r="AM623" s="510"/>
      <c r="AN623" s="510"/>
      <c r="AO623" s="510"/>
      <c r="AP623" s="510"/>
      <c r="AQ623" s="465"/>
      <c r="AR623" s="467">
        <f t="shared" ref="AR623" si="1146">SUM(AF623:AQ624)</f>
        <v>0</v>
      </c>
      <c r="AS623" s="119" t="s">
        <v>257</v>
      </c>
      <c r="AT623" s="120"/>
      <c r="AU623" s="120"/>
      <c r="AV623" s="120"/>
      <c r="AW623" s="121"/>
      <c r="AX623" s="125">
        <f t="shared" ref="AX623:AX625" si="1147">SUM(AT623:AW623)</f>
        <v>0</v>
      </c>
      <c r="AY623" s="141" t="s">
        <v>257</v>
      </c>
      <c r="AZ623" s="137"/>
      <c r="BA623" s="137"/>
      <c r="BB623" s="134">
        <f t="shared" ref="BB623:BB625" si="1148">AZ623-BA623</f>
        <v>0</v>
      </c>
      <c r="BC623" s="469" t="s">
        <v>258</v>
      </c>
      <c r="BD623" s="470"/>
      <c r="BE623" s="13"/>
      <c r="BF623" s="16"/>
      <c r="BG623" s="13"/>
      <c r="BH623" s="16"/>
      <c r="BI623" s="13"/>
      <c r="BJ623" s="16"/>
      <c r="BK623" s="13"/>
      <c r="BL623" s="16"/>
      <c r="BM623" s="13"/>
      <c r="BN623" s="16"/>
      <c r="BO623" s="13"/>
      <c r="BP623" s="16"/>
      <c r="BQ623" s="106">
        <f t="shared" si="1140"/>
        <v>0</v>
      </c>
      <c r="BR623" s="566"/>
      <c r="BS623" s="569"/>
      <c r="BT623" s="570"/>
      <c r="BU623" s="557"/>
      <c r="BV623" s="560"/>
      <c r="BW623" s="563"/>
      <c r="BX623" s="615"/>
    </row>
    <row r="624" spans="1:76" x14ac:dyDescent="0.25">
      <c r="A624" s="586"/>
      <c r="B624" s="590"/>
      <c r="C624" s="591"/>
      <c r="D624" s="605"/>
      <c r="E624" s="517"/>
      <c r="F624" s="518"/>
      <c r="G624" s="523"/>
      <c r="H624" s="524"/>
      <c r="I624" s="529"/>
      <c r="J624" s="530"/>
      <c r="K624" s="513"/>
      <c r="L624" s="534"/>
      <c r="M624" s="537"/>
      <c r="N624" s="541"/>
      <c r="O624" s="542"/>
      <c r="P624" s="483"/>
      <c r="Q624" s="484"/>
      <c r="R624" s="517"/>
      <c r="S624" s="518"/>
      <c r="T624" s="487"/>
      <c r="U624" s="488"/>
      <c r="V624" s="492"/>
      <c r="W624" s="483"/>
      <c r="X624" s="495"/>
      <c r="Y624" s="484"/>
      <c r="Z624" s="498"/>
      <c r="AA624" s="502"/>
      <c r="AB624" s="503"/>
      <c r="AC624" s="508"/>
      <c r="AD624" s="509"/>
      <c r="AE624" s="509"/>
      <c r="AF624" s="511"/>
      <c r="AG624" s="511"/>
      <c r="AH624" s="511"/>
      <c r="AI624" s="511"/>
      <c r="AJ624" s="511"/>
      <c r="AK624" s="511"/>
      <c r="AL624" s="511"/>
      <c r="AM624" s="511"/>
      <c r="AN624" s="511"/>
      <c r="AO624" s="511"/>
      <c r="AP624" s="511"/>
      <c r="AQ624" s="466"/>
      <c r="AR624" s="468"/>
      <c r="AS624" s="122" t="s">
        <v>259</v>
      </c>
      <c r="AT624" s="123"/>
      <c r="AU624" s="123"/>
      <c r="AV624" s="123"/>
      <c r="AW624" s="124"/>
      <c r="AX624" s="126">
        <f t="shared" si="1147"/>
        <v>0</v>
      </c>
      <c r="AY624" s="142" t="s">
        <v>259</v>
      </c>
      <c r="AZ624" s="138"/>
      <c r="BA624" s="138"/>
      <c r="BB624" s="135">
        <f t="shared" si="1148"/>
        <v>0</v>
      </c>
      <c r="BC624" s="474" t="s">
        <v>260</v>
      </c>
      <c r="BD624" s="475"/>
      <c r="BE624" s="14"/>
      <c r="BF624" s="17"/>
      <c r="BG624" s="14"/>
      <c r="BH624" s="17"/>
      <c r="BI624" s="14"/>
      <c r="BJ624" s="17"/>
      <c r="BK624" s="14"/>
      <c r="BL624" s="17"/>
      <c r="BM624" s="14"/>
      <c r="BN624" s="17"/>
      <c r="BO624" s="14"/>
      <c r="BP624" s="17"/>
      <c r="BQ624" s="107">
        <f t="shared" si="1140"/>
        <v>0</v>
      </c>
      <c r="BR624" s="567"/>
      <c r="BS624" s="571"/>
      <c r="BT624" s="572"/>
      <c r="BU624" s="558"/>
      <c r="BV624" s="561"/>
      <c r="BW624" s="564"/>
      <c r="BX624" s="616"/>
    </row>
    <row r="625" spans="1:76" ht="15.75" thickBot="1" x14ac:dyDescent="0.3">
      <c r="A625" s="586"/>
      <c r="B625" s="590"/>
      <c r="C625" s="591"/>
      <c r="D625" s="605"/>
      <c r="E625" s="517"/>
      <c r="F625" s="518"/>
      <c r="G625" s="523"/>
      <c r="H625" s="524"/>
      <c r="I625" s="529"/>
      <c r="J625" s="530"/>
      <c r="K625" s="513"/>
      <c r="L625" s="534"/>
      <c r="M625" s="537"/>
      <c r="N625" s="541"/>
      <c r="O625" s="542"/>
      <c r="P625" s="483"/>
      <c r="Q625" s="484"/>
      <c r="R625" s="517"/>
      <c r="S625" s="518"/>
      <c r="T625" s="487"/>
      <c r="U625" s="488"/>
      <c r="V625" s="492"/>
      <c r="W625" s="483"/>
      <c r="X625" s="495"/>
      <c r="Y625" s="484"/>
      <c r="Z625" s="498"/>
      <c r="AA625" s="502"/>
      <c r="AB625" s="503"/>
      <c r="AC625" s="471" t="s">
        <v>259</v>
      </c>
      <c r="AD625" s="472"/>
      <c r="AE625" s="473"/>
      <c r="AF625" s="100"/>
      <c r="AG625" s="100"/>
      <c r="AH625" s="100"/>
      <c r="AI625" s="100"/>
      <c r="AJ625" s="100"/>
      <c r="AK625" s="100"/>
      <c r="AL625" s="100"/>
      <c r="AM625" s="100"/>
      <c r="AN625" s="100"/>
      <c r="AO625" s="100"/>
      <c r="AP625" s="100"/>
      <c r="AQ625" s="101"/>
      <c r="AR625" s="104">
        <f t="shared" ref="AR625:AR626" si="1149">SUM(AF625:AQ625)</f>
        <v>0</v>
      </c>
      <c r="AS625" s="128" t="s">
        <v>261</v>
      </c>
      <c r="AT625" s="129"/>
      <c r="AU625" s="129"/>
      <c r="AV625" s="129"/>
      <c r="AW625" s="130"/>
      <c r="AX625" s="126">
        <f t="shared" si="1147"/>
        <v>0</v>
      </c>
      <c r="AY625" s="143" t="s">
        <v>261</v>
      </c>
      <c r="AZ625" s="139"/>
      <c r="BA625" s="139"/>
      <c r="BB625" s="136">
        <f t="shared" si="1148"/>
        <v>0</v>
      </c>
      <c r="BC625" s="474" t="s">
        <v>262</v>
      </c>
      <c r="BD625" s="475"/>
      <c r="BE625" s="14"/>
      <c r="BF625" s="17"/>
      <c r="BG625" s="14"/>
      <c r="BH625" s="17"/>
      <c r="BI625" s="14"/>
      <c r="BJ625" s="17"/>
      <c r="BK625" s="14"/>
      <c r="BL625" s="17"/>
      <c r="BM625" s="14"/>
      <c r="BN625" s="17"/>
      <c r="BO625" s="14"/>
      <c r="BP625" s="17"/>
      <c r="BQ625" s="108">
        <f t="shared" si="1140"/>
        <v>0</v>
      </c>
      <c r="BR625" s="567"/>
      <c r="BS625" s="571"/>
      <c r="BT625" s="572"/>
      <c r="BU625" s="558"/>
      <c r="BV625" s="561"/>
      <c r="BW625" s="564"/>
      <c r="BX625" s="616"/>
    </row>
    <row r="626" spans="1:76" ht="15.75" thickBot="1" x14ac:dyDescent="0.3">
      <c r="A626" s="587"/>
      <c r="B626" s="592"/>
      <c r="C626" s="593"/>
      <c r="D626" s="606"/>
      <c r="E626" s="519"/>
      <c r="F626" s="520"/>
      <c r="G626" s="525"/>
      <c r="H626" s="526"/>
      <c r="I626" s="531"/>
      <c r="J626" s="532"/>
      <c r="K626" s="514"/>
      <c r="L626" s="535"/>
      <c r="M626" s="538"/>
      <c r="N626" s="543"/>
      <c r="O626" s="544"/>
      <c r="P626" s="485"/>
      <c r="Q626" s="486"/>
      <c r="R626" s="519"/>
      <c r="S626" s="520"/>
      <c r="T626" s="489"/>
      <c r="U626" s="490"/>
      <c r="V626" s="493"/>
      <c r="W626" s="485"/>
      <c r="X626" s="496"/>
      <c r="Y626" s="486"/>
      <c r="Z626" s="499"/>
      <c r="AA626" s="504"/>
      <c r="AB626" s="505"/>
      <c r="AC626" s="476" t="s">
        <v>261</v>
      </c>
      <c r="AD626" s="477"/>
      <c r="AE626" s="478"/>
      <c r="AF626" s="102"/>
      <c r="AG626" s="102"/>
      <c r="AH626" s="102"/>
      <c r="AI626" s="102"/>
      <c r="AJ626" s="102"/>
      <c r="AK626" s="102"/>
      <c r="AL626" s="102"/>
      <c r="AM626" s="102"/>
      <c r="AN626" s="102"/>
      <c r="AO626" s="102"/>
      <c r="AP626" s="102"/>
      <c r="AQ626" s="103"/>
      <c r="AR626" s="105">
        <f t="shared" si="1149"/>
        <v>0</v>
      </c>
      <c r="AS626" s="131" t="s">
        <v>161</v>
      </c>
      <c r="AT626" s="132">
        <f t="shared" ref="AT626:AX626" si="1150">SUM(AT623:AT625)</f>
        <v>0</v>
      </c>
      <c r="AU626" s="132">
        <f t="shared" si="1150"/>
        <v>0</v>
      </c>
      <c r="AV626" s="132">
        <f t="shared" si="1150"/>
        <v>0</v>
      </c>
      <c r="AW626" s="133">
        <f t="shared" si="1150"/>
        <v>0</v>
      </c>
      <c r="AX626" s="127">
        <f t="shared" si="1150"/>
        <v>0</v>
      </c>
      <c r="AY626" s="144" t="s">
        <v>161</v>
      </c>
      <c r="AZ626" s="140">
        <f t="shared" ref="AZ626:BB626" si="1151">SUM(AZ623:AZ625)</f>
        <v>0</v>
      </c>
      <c r="BA626" s="140">
        <f t="shared" si="1151"/>
        <v>0</v>
      </c>
      <c r="BB626" s="140">
        <f t="shared" si="1151"/>
        <v>0</v>
      </c>
      <c r="BC626" s="479" t="s">
        <v>263</v>
      </c>
      <c r="BD626" s="480"/>
      <c r="BE626" s="15"/>
      <c r="BF626" s="18"/>
      <c r="BG626" s="15"/>
      <c r="BH626" s="18"/>
      <c r="BI626" s="15"/>
      <c r="BJ626" s="18"/>
      <c r="BK626" s="15"/>
      <c r="BL626" s="18"/>
      <c r="BM626" s="15"/>
      <c r="BN626" s="18"/>
      <c r="BO626" s="15"/>
      <c r="BP626" s="18"/>
      <c r="BQ626" s="109">
        <f t="shared" si="1140"/>
        <v>0</v>
      </c>
      <c r="BR626" s="568"/>
      <c r="BS626" s="573"/>
      <c r="BT626" s="574"/>
      <c r="BU626" s="559"/>
      <c r="BV626" s="562"/>
      <c r="BW626" s="565"/>
      <c r="BX626" s="617"/>
    </row>
    <row r="627" spans="1:76" ht="15.75" thickTop="1" x14ac:dyDescent="0.25">
      <c r="A627" s="585">
        <v>155</v>
      </c>
      <c r="B627" s="588"/>
      <c r="C627" s="589"/>
      <c r="D627" s="604"/>
      <c r="E627" s="515"/>
      <c r="F627" s="516"/>
      <c r="G627" s="521"/>
      <c r="H627" s="522"/>
      <c r="I627" s="527"/>
      <c r="J627" s="528"/>
      <c r="K627" s="512" t="e">
        <f t="shared" ref="K627" si="1152">INT(YEARFRAC(I627,AA627))</f>
        <v>#VALUE!</v>
      </c>
      <c r="L627" s="533">
        <f t="shared" ref="L627" ca="1" si="1153">INT(YEARFRAC(I627,TODAY()))</f>
        <v>121</v>
      </c>
      <c r="M627" s="536"/>
      <c r="N627" s="539"/>
      <c r="O627" s="540"/>
      <c r="P627" s="481"/>
      <c r="Q627" s="482"/>
      <c r="R627" s="515"/>
      <c r="S627" s="516"/>
      <c r="T627" s="487"/>
      <c r="U627" s="488"/>
      <c r="V627" s="491"/>
      <c r="W627" s="481"/>
      <c r="X627" s="494"/>
      <c r="Y627" s="482"/>
      <c r="Z627" s="497"/>
      <c r="AA627" s="500" t="s">
        <v>396</v>
      </c>
      <c r="AB627" s="501"/>
      <c r="AC627" s="506" t="s">
        <v>257</v>
      </c>
      <c r="AD627" s="507"/>
      <c r="AE627" s="507"/>
      <c r="AF627" s="510"/>
      <c r="AG627" s="510"/>
      <c r="AH627" s="510"/>
      <c r="AI627" s="510"/>
      <c r="AJ627" s="510"/>
      <c r="AK627" s="510"/>
      <c r="AL627" s="510"/>
      <c r="AM627" s="510"/>
      <c r="AN627" s="510"/>
      <c r="AO627" s="510"/>
      <c r="AP627" s="510"/>
      <c r="AQ627" s="465"/>
      <c r="AR627" s="467">
        <f t="shared" ref="AR627" si="1154">SUM(AF627:AQ628)</f>
        <v>0</v>
      </c>
      <c r="AS627" s="119" t="s">
        <v>257</v>
      </c>
      <c r="AT627" s="120"/>
      <c r="AU627" s="120"/>
      <c r="AV627" s="120"/>
      <c r="AW627" s="121"/>
      <c r="AX627" s="125">
        <f t="shared" ref="AX627:AX629" si="1155">SUM(AT627:AW627)</f>
        <v>0</v>
      </c>
      <c r="AY627" s="141" t="s">
        <v>257</v>
      </c>
      <c r="AZ627" s="137"/>
      <c r="BA627" s="137"/>
      <c r="BB627" s="134">
        <f t="shared" ref="BB627:BB629" si="1156">AZ627-BA627</f>
        <v>0</v>
      </c>
      <c r="BC627" s="469" t="s">
        <v>258</v>
      </c>
      <c r="BD627" s="470"/>
      <c r="BE627" s="13"/>
      <c r="BF627" s="16"/>
      <c r="BG627" s="13"/>
      <c r="BH627" s="16"/>
      <c r="BI627" s="13"/>
      <c r="BJ627" s="16"/>
      <c r="BK627" s="13"/>
      <c r="BL627" s="16"/>
      <c r="BM627" s="13"/>
      <c r="BN627" s="16"/>
      <c r="BO627" s="13"/>
      <c r="BP627" s="16"/>
      <c r="BQ627" s="106">
        <f t="shared" si="1140"/>
        <v>0</v>
      </c>
      <c r="BR627" s="566"/>
      <c r="BS627" s="569"/>
      <c r="BT627" s="570"/>
      <c r="BU627" s="557"/>
      <c r="BV627" s="560"/>
      <c r="BW627" s="563"/>
      <c r="BX627" s="615"/>
    </row>
    <row r="628" spans="1:76" x14ac:dyDescent="0.25">
      <c r="A628" s="586"/>
      <c r="B628" s="590"/>
      <c r="C628" s="591"/>
      <c r="D628" s="605"/>
      <c r="E628" s="517"/>
      <c r="F628" s="518"/>
      <c r="G628" s="523"/>
      <c r="H628" s="524"/>
      <c r="I628" s="529"/>
      <c r="J628" s="530"/>
      <c r="K628" s="513"/>
      <c r="L628" s="534"/>
      <c r="M628" s="537"/>
      <c r="N628" s="541"/>
      <c r="O628" s="542"/>
      <c r="P628" s="483"/>
      <c r="Q628" s="484"/>
      <c r="R628" s="517"/>
      <c r="S628" s="518"/>
      <c r="T628" s="487"/>
      <c r="U628" s="488"/>
      <c r="V628" s="492"/>
      <c r="W628" s="483"/>
      <c r="X628" s="495"/>
      <c r="Y628" s="484"/>
      <c r="Z628" s="498"/>
      <c r="AA628" s="502"/>
      <c r="AB628" s="503"/>
      <c r="AC628" s="508"/>
      <c r="AD628" s="509"/>
      <c r="AE628" s="509"/>
      <c r="AF628" s="511"/>
      <c r="AG628" s="511"/>
      <c r="AH628" s="511"/>
      <c r="AI628" s="511"/>
      <c r="AJ628" s="511"/>
      <c r="AK628" s="511"/>
      <c r="AL628" s="511"/>
      <c r="AM628" s="511"/>
      <c r="AN628" s="511"/>
      <c r="AO628" s="511"/>
      <c r="AP628" s="511"/>
      <c r="AQ628" s="466"/>
      <c r="AR628" s="468"/>
      <c r="AS628" s="122" t="s">
        <v>259</v>
      </c>
      <c r="AT628" s="123"/>
      <c r="AU628" s="123"/>
      <c r="AV628" s="123"/>
      <c r="AW628" s="124"/>
      <c r="AX628" s="126">
        <f t="shared" si="1155"/>
        <v>0</v>
      </c>
      <c r="AY628" s="142" t="s">
        <v>259</v>
      </c>
      <c r="AZ628" s="138"/>
      <c r="BA628" s="138"/>
      <c r="BB628" s="135">
        <f t="shared" si="1156"/>
        <v>0</v>
      </c>
      <c r="BC628" s="474" t="s">
        <v>260</v>
      </c>
      <c r="BD628" s="475"/>
      <c r="BE628" s="14"/>
      <c r="BF628" s="17"/>
      <c r="BG628" s="14"/>
      <c r="BH628" s="17"/>
      <c r="BI628" s="14"/>
      <c r="BJ628" s="17"/>
      <c r="BK628" s="14"/>
      <c r="BL628" s="17"/>
      <c r="BM628" s="14"/>
      <c r="BN628" s="17"/>
      <c r="BO628" s="14"/>
      <c r="BP628" s="17"/>
      <c r="BQ628" s="107">
        <f t="shared" si="1140"/>
        <v>0</v>
      </c>
      <c r="BR628" s="567"/>
      <c r="BS628" s="571"/>
      <c r="BT628" s="572"/>
      <c r="BU628" s="558"/>
      <c r="BV628" s="561"/>
      <c r="BW628" s="564"/>
      <c r="BX628" s="616"/>
    </row>
    <row r="629" spans="1:76" ht="15.75" thickBot="1" x14ac:dyDescent="0.3">
      <c r="A629" s="586"/>
      <c r="B629" s="590"/>
      <c r="C629" s="591"/>
      <c r="D629" s="605"/>
      <c r="E629" s="517"/>
      <c r="F629" s="518"/>
      <c r="G629" s="523"/>
      <c r="H629" s="524"/>
      <c r="I629" s="529"/>
      <c r="J629" s="530"/>
      <c r="K629" s="513"/>
      <c r="L629" s="534"/>
      <c r="M629" s="537"/>
      <c r="N629" s="541"/>
      <c r="O629" s="542"/>
      <c r="P629" s="483"/>
      <c r="Q629" s="484"/>
      <c r="R629" s="517"/>
      <c r="S629" s="518"/>
      <c r="T629" s="487"/>
      <c r="U629" s="488"/>
      <c r="V629" s="492"/>
      <c r="W629" s="483"/>
      <c r="X629" s="495"/>
      <c r="Y629" s="484"/>
      <c r="Z629" s="498"/>
      <c r="AA629" s="502"/>
      <c r="AB629" s="503"/>
      <c r="AC629" s="471" t="s">
        <v>259</v>
      </c>
      <c r="AD629" s="472"/>
      <c r="AE629" s="473"/>
      <c r="AF629" s="100"/>
      <c r="AG629" s="100"/>
      <c r="AH629" s="100"/>
      <c r="AI629" s="100"/>
      <c r="AJ629" s="100"/>
      <c r="AK629" s="100"/>
      <c r="AL629" s="100"/>
      <c r="AM629" s="100"/>
      <c r="AN629" s="100"/>
      <c r="AO629" s="100"/>
      <c r="AP629" s="100"/>
      <c r="AQ629" s="101"/>
      <c r="AR629" s="104">
        <f t="shared" ref="AR629:AR630" si="1157">SUM(AF629:AQ629)</f>
        <v>0</v>
      </c>
      <c r="AS629" s="128" t="s">
        <v>261</v>
      </c>
      <c r="AT629" s="129"/>
      <c r="AU629" s="129"/>
      <c r="AV629" s="129"/>
      <c r="AW629" s="130"/>
      <c r="AX629" s="126">
        <f t="shared" si="1155"/>
        <v>0</v>
      </c>
      <c r="AY629" s="143" t="s">
        <v>261</v>
      </c>
      <c r="AZ629" s="139"/>
      <c r="BA629" s="139"/>
      <c r="BB629" s="136">
        <f t="shared" si="1156"/>
        <v>0</v>
      </c>
      <c r="BC629" s="474" t="s">
        <v>262</v>
      </c>
      <c r="BD629" s="475"/>
      <c r="BE629" s="14"/>
      <c r="BF629" s="17"/>
      <c r="BG629" s="14"/>
      <c r="BH629" s="17"/>
      <c r="BI629" s="14"/>
      <c r="BJ629" s="17"/>
      <c r="BK629" s="14"/>
      <c r="BL629" s="17"/>
      <c r="BM629" s="14"/>
      <c r="BN629" s="17"/>
      <c r="BO629" s="14"/>
      <c r="BP629" s="17"/>
      <c r="BQ629" s="108">
        <f t="shared" si="1140"/>
        <v>0</v>
      </c>
      <c r="BR629" s="567"/>
      <c r="BS629" s="571"/>
      <c r="BT629" s="572"/>
      <c r="BU629" s="558"/>
      <c r="BV629" s="561"/>
      <c r="BW629" s="564"/>
      <c r="BX629" s="616"/>
    </row>
    <row r="630" spans="1:76" ht="15.75" thickBot="1" x14ac:dyDescent="0.3">
      <c r="A630" s="587"/>
      <c r="B630" s="592"/>
      <c r="C630" s="593"/>
      <c r="D630" s="606"/>
      <c r="E630" s="519"/>
      <c r="F630" s="520"/>
      <c r="G630" s="525"/>
      <c r="H630" s="526"/>
      <c r="I630" s="531"/>
      <c r="J630" s="532"/>
      <c r="K630" s="514"/>
      <c r="L630" s="535"/>
      <c r="M630" s="538"/>
      <c r="N630" s="543"/>
      <c r="O630" s="544"/>
      <c r="P630" s="485"/>
      <c r="Q630" s="486"/>
      <c r="R630" s="519"/>
      <c r="S630" s="520"/>
      <c r="T630" s="489"/>
      <c r="U630" s="490"/>
      <c r="V630" s="493"/>
      <c r="W630" s="485"/>
      <c r="X630" s="496"/>
      <c r="Y630" s="486"/>
      <c r="Z630" s="499"/>
      <c r="AA630" s="504"/>
      <c r="AB630" s="505"/>
      <c r="AC630" s="476" t="s">
        <v>261</v>
      </c>
      <c r="AD630" s="477"/>
      <c r="AE630" s="478"/>
      <c r="AF630" s="102"/>
      <c r="AG630" s="102"/>
      <c r="AH630" s="102"/>
      <c r="AI630" s="102"/>
      <c r="AJ630" s="102"/>
      <c r="AK630" s="102"/>
      <c r="AL630" s="102"/>
      <c r="AM630" s="102"/>
      <c r="AN630" s="102"/>
      <c r="AO630" s="102"/>
      <c r="AP630" s="102"/>
      <c r="AQ630" s="103"/>
      <c r="AR630" s="105">
        <f t="shared" si="1157"/>
        <v>0</v>
      </c>
      <c r="AS630" s="131" t="s">
        <v>161</v>
      </c>
      <c r="AT630" s="132">
        <f t="shared" ref="AT630:AX630" si="1158">SUM(AT627:AT629)</f>
        <v>0</v>
      </c>
      <c r="AU630" s="132">
        <f t="shared" si="1158"/>
        <v>0</v>
      </c>
      <c r="AV630" s="132">
        <f t="shared" si="1158"/>
        <v>0</v>
      </c>
      <c r="AW630" s="133">
        <f t="shared" si="1158"/>
        <v>0</v>
      </c>
      <c r="AX630" s="127">
        <f t="shared" si="1158"/>
        <v>0</v>
      </c>
      <c r="AY630" s="144" t="s">
        <v>161</v>
      </c>
      <c r="AZ630" s="140">
        <f t="shared" ref="AZ630:BB630" si="1159">SUM(AZ627:AZ629)</f>
        <v>0</v>
      </c>
      <c r="BA630" s="140">
        <f t="shared" si="1159"/>
        <v>0</v>
      </c>
      <c r="BB630" s="140">
        <f t="shared" si="1159"/>
        <v>0</v>
      </c>
      <c r="BC630" s="479" t="s">
        <v>263</v>
      </c>
      <c r="BD630" s="480"/>
      <c r="BE630" s="15"/>
      <c r="BF630" s="18"/>
      <c r="BG630" s="15"/>
      <c r="BH630" s="18"/>
      <c r="BI630" s="15"/>
      <c r="BJ630" s="18"/>
      <c r="BK630" s="15"/>
      <c r="BL630" s="18"/>
      <c r="BM630" s="15"/>
      <c r="BN630" s="18"/>
      <c r="BO630" s="15"/>
      <c r="BP630" s="18"/>
      <c r="BQ630" s="109">
        <f t="shared" si="1140"/>
        <v>0</v>
      </c>
      <c r="BR630" s="568"/>
      <c r="BS630" s="573"/>
      <c r="BT630" s="574"/>
      <c r="BU630" s="559"/>
      <c r="BV630" s="562"/>
      <c r="BW630" s="565"/>
      <c r="BX630" s="617"/>
    </row>
    <row r="631" spans="1:76" ht="15.75" thickTop="1" x14ac:dyDescent="0.25">
      <c r="A631" s="585">
        <v>156</v>
      </c>
      <c r="B631" s="588"/>
      <c r="C631" s="589"/>
      <c r="D631" s="604"/>
      <c r="E631" s="515"/>
      <c r="F631" s="516"/>
      <c r="G631" s="521"/>
      <c r="H631" s="522"/>
      <c r="I631" s="527"/>
      <c r="J631" s="528"/>
      <c r="K631" s="512" t="e">
        <f t="shared" ref="K631" si="1160">INT(YEARFRAC(I631,AA631))</f>
        <v>#VALUE!</v>
      </c>
      <c r="L631" s="533">
        <f t="shared" ref="L631" ca="1" si="1161">INT(YEARFRAC(I631,TODAY()))</f>
        <v>121</v>
      </c>
      <c r="M631" s="536"/>
      <c r="N631" s="539"/>
      <c r="O631" s="540"/>
      <c r="P631" s="481"/>
      <c r="Q631" s="482"/>
      <c r="R631" s="515"/>
      <c r="S631" s="516"/>
      <c r="T631" s="487"/>
      <c r="U631" s="488"/>
      <c r="V631" s="491"/>
      <c r="W631" s="481"/>
      <c r="X631" s="494"/>
      <c r="Y631" s="482"/>
      <c r="Z631" s="497"/>
      <c r="AA631" s="500" t="s">
        <v>397</v>
      </c>
      <c r="AB631" s="501"/>
      <c r="AC631" s="506" t="s">
        <v>257</v>
      </c>
      <c r="AD631" s="507"/>
      <c r="AE631" s="507"/>
      <c r="AF631" s="510"/>
      <c r="AG631" s="510"/>
      <c r="AH631" s="510"/>
      <c r="AI631" s="510"/>
      <c r="AJ631" s="510"/>
      <c r="AK631" s="510"/>
      <c r="AL631" s="510"/>
      <c r="AM631" s="510"/>
      <c r="AN631" s="510"/>
      <c r="AO631" s="510"/>
      <c r="AP631" s="510"/>
      <c r="AQ631" s="465"/>
      <c r="AR631" s="467">
        <f t="shared" ref="AR631" si="1162">SUM(AF631:AQ632)</f>
        <v>0</v>
      </c>
      <c r="AS631" s="119" t="s">
        <v>257</v>
      </c>
      <c r="AT631" s="120"/>
      <c r="AU631" s="120"/>
      <c r="AV631" s="120"/>
      <c r="AW631" s="121"/>
      <c r="AX631" s="125">
        <f t="shared" ref="AX631:AX633" si="1163">SUM(AT631:AW631)</f>
        <v>0</v>
      </c>
      <c r="AY631" s="141" t="s">
        <v>257</v>
      </c>
      <c r="AZ631" s="137"/>
      <c r="BA631" s="137"/>
      <c r="BB631" s="134">
        <f t="shared" ref="BB631:BB633" si="1164">AZ631-BA631</f>
        <v>0</v>
      </c>
      <c r="BC631" s="469" t="s">
        <v>258</v>
      </c>
      <c r="BD631" s="470"/>
      <c r="BE631" s="13"/>
      <c r="BF631" s="16"/>
      <c r="BG631" s="13"/>
      <c r="BH631" s="16"/>
      <c r="BI631" s="13"/>
      <c r="BJ631" s="16"/>
      <c r="BK631" s="13"/>
      <c r="BL631" s="16"/>
      <c r="BM631" s="13"/>
      <c r="BN631" s="16"/>
      <c r="BO631" s="13"/>
      <c r="BP631" s="16"/>
      <c r="BQ631" s="106">
        <f t="shared" si="1140"/>
        <v>0</v>
      </c>
      <c r="BR631" s="566"/>
      <c r="BS631" s="569"/>
      <c r="BT631" s="570"/>
      <c r="BU631" s="557"/>
      <c r="BV631" s="560"/>
      <c r="BW631" s="563"/>
      <c r="BX631" s="615"/>
    </row>
    <row r="632" spans="1:76" x14ac:dyDescent="0.25">
      <c r="A632" s="586"/>
      <c r="B632" s="590"/>
      <c r="C632" s="591"/>
      <c r="D632" s="605"/>
      <c r="E632" s="517"/>
      <c r="F632" s="518"/>
      <c r="G632" s="523"/>
      <c r="H632" s="524"/>
      <c r="I632" s="529"/>
      <c r="J632" s="530"/>
      <c r="K632" s="513"/>
      <c r="L632" s="534"/>
      <c r="M632" s="537"/>
      <c r="N632" s="541"/>
      <c r="O632" s="542"/>
      <c r="P632" s="483"/>
      <c r="Q632" s="484"/>
      <c r="R632" s="517"/>
      <c r="S632" s="518"/>
      <c r="T632" s="487"/>
      <c r="U632" s="488"/>
      <c r="V632" s="492"/>
      <c r="W632" s="483"/>
      <c r="X632" s="495"/>
      <c r="Y632" s="484"/>
      <c r="Z632" s="498"/>
      <c r="AA632" s="502"/>
      <c r="AB632" s="503"/>
      <c r="AC632" s="508"/>
      <c r="AD632" s="509"/>
      <c r="AE632" s="509"/>
      <c r="AF632" s="511"/>
      <c r="AG632" s="511"/>
      <c r="AH632" s="511"/>
      <c r="AI632" s="511"/>
      <c r="AJ632" s="511"/>
      <c r="AK632" s="511"/>
      <c r="AL632" s="511"/>
      <c r="AM632" s="511"/>
      <c r="AN632" s="511"/>
      <c r="AO632" s="511"/>
      <c r="AP632" s="511"/>
      <c r="AQ632" s="466"/>
      <c r="AR632" s="468"/>
      <c r="AS632" s="122" t="s">
        <v>259</v>
      </c>
      <c r="AT632" s="123"/>
      <c r="AU632" s="123"/>
      <c r="AV632" s="123"/>
      <c r="AW632" s="124"/>
      <c r="AX632" s="126">
        <f t="shared" si="1163"/>
        <v>0</v>
      </c>
      <c r="AY632" s="142" t="s">
        <v>259</v>
      </c>
      <c r="AZ632" s="138"/>
      <c r="BA632" s="138"/>
      <c r="BB632" s="135">
        <f t="shared" si="1164"/>
        <v>0</v>
      </c>
      <c r="BC632" s="474" t="s">
        <v>260</v>
      </c>
      <c r="BD632" s="475"/>
      <c r="BE632" s="14"/>
      <c r="BF632" s="17"/>
      <c r="BG632" s="14"/>
      <c r="BH632" s="17"/>
      <c r="BI632" s="14"/>
      <c r="BJ632" s="17"/>
      <c r="BK632" s="14"/>
      <c r="BL632" s="17"/>
      <c r="BM632" s="14"/>
      <c r="BN632" s="17"/>
      <c r="BO632" s="14"/>
      <c r="BP632" s="17"/>
      <c r="BQ632" s="107">
        <f t="shared" si="1140"/>
        <v>0</v>
      </c>
      <c r="BR632" s="567"/>
      <c r="BS632" s="571"/>
      <c r="BT632" s="572"/>
      <c r="BU632" s="558"/>
      <c r="BV632" s="561"/>
      <c r="BW632" s="564"/>
      <c r="BX632" s="616"/>
    </row>
    <row r="633" spans="1:76" ht="15.75" thickBot="1" x14ac:dyDescent="0.3">
      <c r="A633" s="586"/>
      <c r="B633" s="590"/>
      <c r="C633" s="591"/>
      <c r="D633" s="605"/>
      <c r="E633" s="517"/>
      <c r="F633" s="518"/>
      <c r="G633" s="523"/>
      <c r="H633" s="524"/>
      <c r="I633" s="529"/>
      <c r="J633" s="530"/>
      <c r="K633" s="513"/>
      <c r="L633" s="534"/>
      <c r="M633" s="537"/>
      <c r="N633" s="541"/>
      <c r="O633" s="542"/>
      <c r="P633" s="483"/>
      <c r="Q633" s="484"/>
      <c r="R633" s="517"/>
      <c r="S633" s="518"/>
      <c r="T633" s="487"/>
      <c r="U633" s="488"/>
      <c r="V633" s="492"/>
      <c r="W633" s="483"/>
      <c r="X633" s="495"/>
      <c r="Y633" s="484"/>
      <c r="Z633" s="498"/>
      <c r="AA633" s="502"/>
      <c r="AB633" s="503"/>
      <c r="AC633" s="471" t="s">
        <v>259</v>
      </c>
      <c r="AD633" s="472"/>
      <c r="AE633" s="473"/>
      <c r="AF633" s="100"/>
      <c r="AG633" s="100"/>
      <c r="AH633" s="100"/>
      <c r="AI633" s="100"/>
      <c r="AJ633" s="100"/>
      <c r="AK633" s="100"/>
      <c r="AL633" s="100"/>
      <c r="AM633" s="100"/>
      <c r="AN633" s="100"/>
      <c r="AO633" s="100"/>
      <c r="AP633" s="100"/>
      <c r="AQ633" s="101"/>
      <c r="AR633" s="104">
        <f t="shared" ref="AR633:AR634" si="1165">SUM(AF633:AQ633)</f>
        <v>0</v>
      </c>
      <c r="AS633" s="128" t="s">
        <v>261</v>
      </c>
      <c r="AT633" s="129"/>
      <c r="AU633" s="129"/>
      <c r="AV633" s="129"/>
      <c r="AW633" s="130"/>
      <c r="AX633" s="126">
        <f t="shared" si="1163"/>
        <v>0</v>
      </c>
      <c r="AY633" s="143" t="s">
        <v>261</v>
      </c>
      <c r="AZ633" s="139"/>
      <c r="BA633" s="139"/>
      <c r="BB633" s="136">
        <f t="shared" si="1164"/>
        <v>0</v>
      </c>
      <c r="BC633" s="474" t="s">
        <v>262</v>
      </c>
      <c r="BD633" s="475"/>
      <c r="BE633" s="14"/>
      <c r="BF633" s="17"/>
      <c r="BG633" s="14"/>
      <c r="BH633" s="17"/>
      <c r="BI633" s="14"/>
      <c r="BJ633" s="17"/>
      <c r="BK633" s="14"/>
      <c r="BL633" s="17"/>
      <c r="BM633" s="14"/>
      <c r="BN633" s="17"/>
      <c r="BO633" s="14"/>
      <c r="BP633" s="17"/>
      <c r="BQ633" s="108">
        <f t="shared" si="1140"/>
        <v>0</v>
      </c>
      <c r="BR633" s="567"/>
      <c r="BS633" s="571"/>
      <c r="BT633" s="572"/>
      <c r="BU633" s="558"/>
      <c r="BV633" s="561"/>
      <c r="BW633" s="564"/>
      <c r="BX633" s="616"/>
    </row>
    <row r="634" spans="1:76" ht="15.75" thickBot="1" x14ac:dyDescent="0.3">
      <c r="A634" s="587"/>
      <c r="B634" s="592"/>
      <c r="C634" s="593"/>
      <c r="D634" s="606"/>
      <c r="E634" s="519"/>
      <c r="F634" s="520"/>
      <c r="G634" s="525"/>
      <c r="H634" s="526"/>
      <c r="I634" s="531"/>
      <c r="J634" s="532"/>
      <c r="K634" s="514"/>
      <c r="L634" s="535"/>
      <c r="M634" s="538"/>
      <c r="N634" s="543"/>
      <c r="O634" s="544"/>
      <c r="P634" s="485"/>
      <c r="Q634" s="486"/>
      <c r="R634" s="519"/>
      <c r="S634" s="520"/>
      <c r="T634" s="489"/>
      <c r="U634" s="490"/>
      <c r="V634" s="493"/>
      <c r="W634" s="485"/>
      <c r="X634" s="496"/>
      <c r="Y634" s="486"/>
      <c r="Z634" s="499"/>
      <c r="AA634" s="504"/>
      <c r="AB634" s="505"/>
      <c r="AC634" s="476" t="s">
        <v>261</v>
      </c>
      <c r="AD634" s="477"/>
      <c r="AE634" s="478"/>
      <c r="AF634" s="102"/>
      <c r="AG634" s="102"/>
      <c r="AH634" s="102"/>
      <c r="AI634" s="102"/>
      <c r="AJ634" s="102"/>
      <c r="AK634" s="102"/>
      <c r="AL634" s="102"/>
      <c r="AM634" s="102"/>
      <c r="AN634" s="102"/>
      <c r="AO634" s="102"/>
      <c r="AP634" s="102"/>
      <c r="AQ634" s="103"/>
      <c r="AR634" s="105">
        <f t="shared" si="1165"/>
        <v>0</v>
      </c>
      <c r="AS634" s="131" t="s">
        <v>161</v>
      </c>
      <c r="AT634" s="132">
        <f t="shared" ref="AT634:AX634" si="1166">SUM(AT631:AT633)</f>
        <v>0</v>
      </c>
      <c r="AU634" s="132">
        <f t="shared" si="1166"/>
        <v>0</v>
      </c>
      <c r="AV634" s="132">
        <f t="shared" si="1166"/>
        <v>0</v>
      </c>
      <c r="AW634" s="133">
        <f t="shared" si="1166"/>
        <v>0</v>
      </c>
      <c r="AX634" s="127">
        <f t="shared" si="1166"/>
        <v>0</v>
      </c>
      <c r="AY634" s="144" t="s">
        <v>161</v>
      </c>
      <c r="AZ634" s="140">
        <f t="shared" ref="AZ634:BB634" si="1167">SUM(AZ631:AZ633)</f>
        <v>0</v>
      </c>
      <c r="BA634" s="140">
        <f t="shared" si="1167"/>
        <v>0</v>
      </c>
      <c r="BB634" s="140">
        <f t="shared" si="1167"/>
        <v>0</v>
      </c>
      <c r="BC634" s="479" t="s">
        <v>263</v>
      </c>
      <c r="BD634" s="480"/>
      <c r="BE634" s="15"/>
      <c r="BF634" s="18"/>
      <c r="BG634" s="15"/>
      <c r="BH634" s="18"/>
      <c r="BI634" s="15"/>
      <c r="BJ634" s="18"/>
      <c r="BK634" s="15"/>
      <c r="BL634" s="18"/>
      <c r="BM634" s="15"/>
      <c r="BN634" s="18"/>
      <c r="BO634" s="15"/>
      <c r="BP634" s="18"/>
      <c r="BQ634" s="109">
        <f t="shared" si="1140"/>
        <v>0</v>
      </c>
      <c r="BR634" s="568"/>
      <c r="BS634" s="573"/>
      <c r="BT634" s="574"/>
      <c r="BU634" s="559"/>
      <c r="BV634" s="562"/>
      <c r="BW634" s="565"/>
      <c r="BX634" s="617"/>
    </row>
    <row r="635" spans="1:76" ht="15.75" thickTop="1" x14ac:dyDescent="0.25">
      <c r="A635" s="585">
        <v>157</v>
      </c>
      <c r="B635" s="588"/>
      <c r="C635" s="589"/>
      <c r="D635" s="604"/>
      <c r="E635" s="515"/>
      <c r="F635" s="516"/>
      <c r="G635" s="521"/>
      <c r="H635" s="522"/>
      <c r="I635" s="527"/>
      <c r="J635" s="528"/>
      <c r="K635" s="512" t="e">
        <f t="shared" ref="K635" si="1168">INT(YEARFRAC(I635,AA635))</f>
        <v>#VALUE!</v>
      </c>
      <c r="L635" s="533">
        <f t="shared" ref="L635" ca="1" si="1169">INT(YEARFRAC(I635,TODAY()))</f>
        <v>121</v>
      </c>
      <c r="M635" s="536"/>
      <c r="N635" s="539"/>
      <c r="O635" s="540"/>
      <c r="P635" s="481"/>
      <c r="Q635" s="482"/>
      <c r="R635" s="515"/>
      <c r="S635" s="516"/>
      <c r="T635" s="487"/>
      <c r="U635" s="488"/>
      <c r="V635" s="491"/>
      <c r="W635" s="481"/>
      <c r="X635" s="494"/>
      <c r="Y635" s="482"/>
      <c r="Z635" s="497"/>
      <c r="AA635" s="500" t="s">
        <v>398</v>
      </c>
      <c r="AB635" s="501"/>
      <c r="AC635" s="506" t="s">
        <v>257</v>
      </c>
      <c r="AD635" s="507"/>
      <c r="AE635" s="507"/>
      <c r="AF635" s="510"/>
      <c r="AG635" s="510"/>
      <c r="AH635" s="510"/>
      <c r="AI635" s="510"/>
      <c r="AJ635" s="510"/>
      <c r="AK635" s="510"/>
      <c r="AL635" s="510"/>
      <c r="AM635" s="510"/>
      <c r="AN635" s="510"/>
      <c r="AO635" s="510"/>
      <c r="AP635" s="510"/>
      <c r="AQ635" s="465"/>
      <c r="AR635" s="467">
        <f t="shared" ref="AR635" si="1170">SUM(AF635:AQ636)</f>
        <v>0</v>
      </c>
      <c r="AS635" s="119" t="s">
        <v>257</v>
      </c>
      <c r="AT635" s="120"/>
      <c r="AU635" s="120"/>
      <c r="AV635" s="120"/>
      <c r="AW635" s="121"/>
      <c r="AX635" s="125">
        <f t="shared" ref="AX635:AX637" si="1171">SUM(AT635:AW635)</f>
        <v>0</v>
      </c>
      <c r="AY635" s="141" t="s">
        <v>257</v>
      </c>
      <c r="AZ635" s="137"/>
      <c r="BA635" s="137"/>
      <c r="BB635" s="134">
        <f t="shared" ref="BB635:BB637" si="1172">AZ635-BA635</f>
        <v>0</v>
      </c>
      <c r="BC635" s="469" t="s">
        <v>258</v>
      </c>
      <c r="BD635" s="470"/>
      <c r="BE635" s="13"/>
      <c r="BF635" s="16"/>
      <c r="BG635" s="13"/>
      <c r="BH635" s="16"/>
      <c r="BI635" s="13"/>
      <c r="BJ635" s="16"/>
      <c r="BK635" s="13"/>
      <c r="BL635" s="16"/>
      <c r="BM635" s="13"/>
      <c r="BN635" s="16"/>
      <c r="BO635" s="13"/>
      <c r="BP635" s="16"/>
      <c r="BQ635" s="106">
        <f t="shared" si="1140"/>
        <v>0</v>
      </c>
      <c r="BR635" s="566"/>
      <c r="BS635" s="569"/>
      <c r="BT635" s="570"/>
      <c r="BU635" s="557"/>
      <c r="BV635" s="560"/>
      <c r="BW635" s="563"/>
      <c r="BX635" s="615"/>
    </row>
    <row r="636" spans="1:76" x14ac:dyDescent="0.25">
      <c r="A636" s="586"/>
      <c r="B636" s="590"/>
      <c r="C636" s="591"/>
      <c r="D636" s="605"/>
      <c r="E636" s="517"/>
      <c r="F636" s="518"/>
      <c r="G636" s="523"/>
      <c r="H636" s="524"/>
      <c r="I636" s="529"/>
      <c r="J636" s="530"/>
      <c r="K636" s="513"/>
      <c r="L636" s="534"/>
      <c r="M636" s="537"/>
      <c r="N636" s="541"/>
      <c r="O636" s="542"/>
      <c r="P636" s="483"/>
      <c r="Q636" s="484"/>
      <c r="R636" s="517"/>
      <c r="S636" s="518"/>
      <c r="T636" s="487"/>
      <c r="U636" s="488"/>
      <c r="V636" s="492"/>
      <c r="W636" s="483"/>
      <c r="X636" s="495"/>
      <c r="Y636" s="484"/>
      <c r="Z636" s="498"/>
      <c r="AA636" s="502"/>
      <c r="AB636" s="503"/>
      <c r="AC636" s="508"/>
      <c r="AD636" s="509"/>
      <c r="AE636" s="509"/>
      <c r="AF636" s="511"/>
      <c r="AG636" s="511"/>
      <c r="AH636" s="511"/>
      <c r="AI636" s="511"/>
      <c r="AJ636" s="511"/>
      <c r="AK636" s="511"/>
      <c r="AL636" s="511"/>
      <c r="AM636" s="511"/>
      <c r="AN636" s="511"/>
      <c r="AO636" s="511"/>
      <c r="AP636" s="511"/>
      <c r="AQ636" s="466"/>
      <c r="AR636" s="468"/>
      <c r="AS636" s="122" t="s">
        <v>259</v>
      </c>
      <c r="AT636" s="123"/>
      <c r="AU636" s="123"/>
      <c r="AV636" s="123"/>
      <c r="AW636" s="124"/>
      <c r="AX636" s="126">
        <f t="shared" si="1171"/>
        <v>0</v>
      </c>
      <c r="AY636" s="142" t="s">
        <v>259</v>
      </c>
      <c r="AZ636" s="138"/>
      <c r="BA636" s="138"/>
      <c r="BB636" s="135">
        <f t="shared" si="1172"/>
        <v>0</v>
      </c>
      <c r="BC636" s="474" t="s">
        <v>260</v>
      </c>
      <c r="BD636" s="475"/>
      <c r="BE636" s="14"/>
      <c r="BF636" s="17"/>
      <c r="BG636" s="14"/>
      <c r="BH636" s="17"/>
      <c r="BI636" s="14"/>
      <c r="BJ636" s="17"/>
      <c r="BK636" s="14"/>
      <c r="BL636" s="17"/>
      <c r="BM636" s="14"/>
      <c r="BN636" s="17"/>
      <c r="BO636" s="14"/>
      <c r="BP636" s="17"/>
      <c r="BQ636" s="107">
        <f t="shared" si="1140"/>
        <v>0</v>
      </c>
      <c r="BR636" s="567"/>
      <c r="BS636" s="571"/>
      <c r="BT636" s="572"/>
      <c r="BU636" s="558"/>
      <c r="BV636" s="561"/>
      <c r="BW636" s="564"/>
      <c r="BX636" s="616"/>
    </row>
    <row r="637" spans="1:76" ht="15.75" thickBot="1" x14ac:dyDescent="0.3">
      <c r="A637" s="586"/>
      <c r="B637" s="590"/>
      <c r="C637" s="591"/>
      <c r="D637" s="605"/>
      <c r="E637" s="517"/>
      <c r="F637" s="518"/>
      <c r="G637" s="523"/>
      <c r="H637" s="524"/>
      <c r="I637" s="529"/>
      <c r="J637" s="530"/>
      <c r="K637" s="513"/>
      <c r="L637" s="534"/>
      <c r="M637" s="537"/>
      <c r="N637" s="541"/>
      <c r="O637" s="542"/>
      <c r="P637" s="483"/>
      <c r="Q637" s="484"/>
      <c r="R637" s="517"/>
      <c r="S637" s="518"/>
      <c r="T637" s="487"/>
      <c r="U637" s="488"/>
      <c r="V637" s="492"/>
      <c r="W637" s="483"/>
      <c r="X637" s="495"/>
      <c r="Y637" s="484"/>
      <c r="Z637" s="498"/>
      <c r="AA637" s="502"/>
      <c r="AB637" s="503"/>
      <c r="AC637" s="471" t="s">
        <v>259</v>
      </c>
      <c r="AD637" s="472"/>
      <c r="AE637" s="473"/>
      <c r="AF637" s="100"/>
      <c r="AG637" s="100"/>
      <c r="AH637" s="100"/>
      <c r="AI637" s="100"/>
      <c r="AJ637" s="100"/>
      <c r="AK637" s="100"/>
      <c r="AL637" s="100"/>
      <c r="AM637" s="100"/>
      <c r="AN637" s="100"/>
      <c r="AO637" s="100"/>
      <c r="AP637" s="100"/>
      <c r="AQ637" s="101"/>
      <c r="AR637" s="104">
        <f t="shared" ref="AR637:AR638" si="1173">SUM(AF637:AQ637)</f>
        <v>0</v>
      </c>
      <c r="AS637" s="128" t="s">
        <v>261</v>
      </c>
      <c r="AT637" s="129"/>
      <c r="AU637" s="129"/>
      <c r="AV637" s="129"/>
      <c r="AW637" s="130"/>
      <c r="AX637" s="126">
        <f t="shared" si="1171"/>
        <v>0</v>
      </c>
      <c r="AY637" s="143" t="s">
        <v>261</v>
      </c>
      <c r="AZ637" s="139"/>
      <c r="BA637" s="139"/>
      <c r="BB637" s="136">
        <f t="shared" si="1172"/>
        <v>0</v>
      </c>
      <c r="BC637" s="474" t="s">
        <v>262</v>
      </c>
      <c r="BD637" s="475"/>
      <c r="BE637" s="14"/>
      <c r="BF637" s="17"/>
      <c r="BG637" s="14"/>
      <c r="BH637" s="17"/>
      <c r="BI637" s="14"/>
      <c r="BJ637" s="17"/>
      <c r="BK637" s="14"/>
      <c r="BL637" s="17"/>
      <c r="BM637" s="14"/>
      <c r="BN637" s="17"/>
      <c r="BO637" s="14"/>
      <c r="BP637" s="17"/>
      <c r="BQ637" s="108">
        <f t="shared" si="1140"/>
        <v>0</v>
      </c>
      <c r="BR637" s="567"/>
      <c r="BS637" s="571"/>
      <c r="BT637" s="572"/>
      <c r="BU637" s="558"/>
      <c r="BV637" s="561"/>
      <c r="BW637" s="564"/>
      <c r="BX637" s="616"/>
    </row>
    <row r="638" spans="1:76" ht="15.75" thickBot="1" x14ac:dyDescent="0.3">
      <c r="A638" s="587"/>
      <c r="B638" s="592"/>
      <c r="C638" s="593"/>
      <c r="D638" s="606"/>
      <c r="E638" s="519"/>
      <c r="F638" s="520"/>
      <c r="G638" s="525"/>
      <c r="H638" s="526"/>
      <c r="I638" s="531"/>
      <c r="J638" s="532"/>
      <c r="K638" s="514"/>
      <c r="L638" s="535"/>
      <c r="M638" s="538"/>
      <c r="N638" s="543"/>
      <c r="O638" s="544"/>
      <c r="P638" s="485"/>
      <c r="Q638" s="486"/>
      <c r="R638" s="519"/>
      <c r="S638" s="520"/>
      <c r="T638" s="489"/>
      <c r="U638" s="490"/>
      <c r="V638" s="493"/>
      <c r="W638" s="485"/>
      <c r="X638" s="496"/>
      <c r="Y638" s="486"/>
      <c r="Z638" s="499"/>
      <c r="AA638" s="504"/>
      <c r="AB638" s="505"/>
      <c r="AC638" s="476" t="s">
        <v>261</v>
      </c>
      <c r="AD638" s="477"/>
      <c r="AE638" s="478"/>
      <c r="AF638" s="102"/>
      <c r="AG638" s="102"/>
      <c r="AH638" s="102"/>
      <c r="AI638" s="102"/>
      <c r="AJ638" s="102"/>
      <c r="AK638" s="102"/>
      <c r="AL638" s="102"/>
      <c r="AM638" s="102"/>
      <c r="AN638" s="102"/>
      <c r="AO638" s="102"/>
      <c r="AP638" s="102"/>
      <c r="AQ638" s="103"/>
      <c r="AR638" s="105">
        <f t="shared" si="1173"/>
        <v>0</v>
      </c>
      <c r="AS638" s="131" t="s">
        <v>161</v>
      </c>
      <c r="AT638" s="132">
        <f t="shared" ref="AT638:AX638" si="1174">SUM(AT635:AT637)</f>
        <v>0</v>
      </c>
      <c r="AU638" s="132">
        <f t="shared" si="1174"/>
        <v>0</v>
      </c>
      <c r="AV638" s="132">
        <f t="shared" si="1174"/>
        <v>0</v>
      </c>
      <c r="AW638" s="133">
        <f t="shared" si="1174"/>
        <v>0</v>
      </c>
      <c r="AX638" s="127">
        <f t="shared" si="1174"/>
        <v>0</v>
      </c>
      <c r="AY638" s="144" t="s">
        <v>161</v>
      </c>
      <c r="AZ638" s="140">
        <f t="shared" ref="AZ638:BB638" si="1175">SUM(AZ635:AZ637)</f>
        <v>0</v>
      </c>
      <c r="BA638" s="140">
        <f t="shared" si="1175"/>
        <v>0</v>
      </c>
      <c r="BB638" s="140">
        <f t="shared" si="1175"/>
        <v>0</v>
      </c>
      <c r="BC638" s="479" t="s">
        <v>263</v>
      </c>
      <c r="BD638" s="480"/>
      <c r="BE638" s="15"/>
      <c r="BF638" s="18"/>
      <c r="BG638" s="15"/>
      <c r="BH638" s="18"/>
      <c r="BI638" s="15"/>
      <c r="BJ638" s="18"/>
      <c r="BK638" s="15"/>
      <c r="BL638" s="18"/>
      <c r="BM638" s="15"/>
      <c r="BN638" s="18"/>
      <c r="BO638" s="15"/>
      <c r="BP638" s="18"/>
      <c r="BQ638" s="109">
        <f t="shared" si="1140"/>
        <v>0</v>
      </c>
      <c r="BR638" s="568"/>
      <c r="BS638" s="573"/>
      <c r="BT638" s="574"/>
      <c r="BU638" s="559"/>
      <c r="BV638" s="562"/>
      <c r="BW638" s="565"/>
      <c r="BX638" s="617"/>
    </row>
    <row r="639" spans="1:76" ht="15.75" thickTop="1" x14ac:dyDescent="0.25">
      <c r="A639" s="585">
        <v>158</v>
      </c>
      <c r="B639" s="588"/>
      <c r="C639" s="589"/>
      <c r="D639" s="604"/>
      <c r="E639" s="515"/>
      <c r="F639" s="516"/>
      <c r="G639" s="521"/>
      <c r="H639" s="522"/>
      <c r="I639" s="527"/>
      <c r="J639" s="528"/>
      <c r="K639" s="512" t="e">
        <f t="shared" ref="K639" si="1176">INT(YEARFRAC(I639,AA639))</f>
        <v>#VALUE!</v>
      </c>
      <c r="L639" s="533">
        <f t="shared" ref="L639" ca="1" si="1177">INT(YEARFRAC(I639,TODAY()))</f>
        <v>121</v>
      </c>
      <c r="M639" s="536"/>
      <c r="N639" s="539"/>
      <c r="O639" s="540"/>
      <c r="P639" s="481"/>
      <c r="Q639" s="482"/>
      <c r="R639" s="515"/>
      <c r="S639" s="516"/>
      <c r="T639" s="487"/>
      <c r="U639" s="488"/>
      <c r="V639" s="491"/>
      <c r="W639" s="481"/>
      <c r="X639" s="494"/>
      <c r="Y639" s="482"/>
      <c r="Z639" s="497"/>
      <c r="AA639" s="500" t="s">
        <v>399</v>
      </c>
      <c r="AB639" s="501"/>
      <c r="AC639" s="506" t="s">
        <v>257</v>
      </c>
      <c r="AD639" s="507"/>
      <c r="AE639" s="507"/>
      <c r="AF639" s="510"/>
      <c r="AG639" s="510"/>
      <c r="AH639" s="510"/>
      <c r="AI639" s="510"/>
      <c r="AJ639" s="510"/>
      <c r="AK639" s="510"/>
      <c r="AL639" s="510"/>
      <c r="AM639" s="510"/>
      <c r="AN639" s="510"/>
      <c r="AO639" s="510"/>
      <c r="AP639" s="510"/>
      <c r="AQ639" s="465"/>
      <c r="AR639" s="467">
        <f t="shared" ref="AR639" si="1178">SUM(AF639:AQ640)</f>
        <v>0</v>
      </c>
      <c r="AS639" s="119" t="s">
        <v>257</v>
      </c>
      <c r="AT639" s="120"/>
      <c r="AU639" s="120"/>
      <c r="AV639" s="120"/>
      <c r="AW639" s="121"/>
      <c r="AX639" s="125">
        <f t="shared" ref="AX639:AX641" si="1179">SUM(AT639:AW639)</f>
        <v>0</v>
      </c>
      <c r="AY639" s="141" t="s">
        <v>257</v>
      </c>
      <c r="AZ639" s="137"/>
      <c r="BA639" s="137"/>
      <c r="BB639" s="134">
        <f t="shared" ref="BB639:BB641" si="1180">AZ639-BA639</f>
        <v>0</v>
      </c>
      <c r="BC639" s="469" t="s">
        <v>258</v>
      </c>
      <c r="BD639" s="470"/>
      <c r="BE639" s="13"/>
      <c r="BF639" s="16"/>
      <c r="BG639" s="13"/>
      <c r="BH639" s="16"/>
      <c r="BI639" s="13"/>
      <c r="BJ639" s="16"/>
      <c r="BK639" s="13"/>
      <c r="BL639" s="16"/>
      <c r="BM639" s="13"/>
      <c r="BN639" s="16"/>
      <c r="BO639" s="13"/>
      <c r="BP639" s="16"/>
      <c r="BQ639" s="106">
        <f t="shared" si="1140"/>
        <v>0</v>
      </c>
      <c r="BR639" s="566"/>
      <c r="BS639" s="569"/>
      <c r="BT639" s="570"/>
      <c r="BU639" s="557"/>
      <c r="BV639" s="560"/>
      <c r="BW639" s="563"/>
      <c r="BX639" s="615"/>
    </row>
    <row r="640" spans="1:76" x14ac:dyDescent="0.25">
      <c r="A640" s="586"/>
      <c r="B640" s="590"/>
      <c r="C640" s="591"/>
      <c r="D640" s="605"/>
      <c r="E640" s="517"/>
      <c r="F640" s="518"/>
      <c r="G640" s="523"/>
      <c r="H640" s="524"/>
      <c r="I640" s="529"/>
      <c r="J640" s="530"/>
      <c r="K640" s="513"/>
      <c r="L640" s="534"/>
      <c r="M640" s="537"/>
      <c r="N640" s="541"/>
      <c r="O640" s="542"/>
      <c r="P640" s="483"/>
      <c r="Q640" s="484"/>
      <c r="R640" s="517"/>
      <c r="S640" s="518"/>
      <c r="T640" s="487"/>
      <c r="U640" s="488"/>
      <c r="V640" s="492"/>
      <c r="W640" s="483"/>
      <c r="X640" s="495"/>
      <c r="Y640" s="484"/>
      <c r="Z640" s="498"/>
      <c r="AA640" s="502"/>
      <c r="AB640" s="503"/>
      <c r="AC640" s="508"/>
      <c r="AD640" s="509"/>
      <c r="AE640" s="509"/>
      <c r="AF640" s="511"/>
      <c r="AG640" s="511"/>
      <c r="AH640" s="511"/>
      <c r="AI640" s="511"/>
      <c r="AJ640" s="511"/>
      <c r="AK640" s="511"/>
      <c r="AL640" s="511"/>
      <c r="AM640" s="511"/>
      <c r="AN640" s="511"/>
      <c r="AO640" s="511"/>
      <c r="AP640" s="511"/>
      <c r="AQ640" s="466"/>
      <c r="AR640" s="468"/>
      <c r="AS640" s="122" t="s">
        <v>259</v>
      </c>
      <c r="AT640" s="123"/>
      <c r="AU640" s="123"/>
      <c r="AV640" s="123"/>
      <c r="AW640" s="124"/>
      <c r="AX640" s="126">
        <f t="shared" si="1179"/>
        <v>0</v>
      </c>
      <c r="AY640" s="142" t="s">
        <v>259</v>
      </c>
      <c r="AZ640" s="138"/>
      <c r="BA640" s="138"/>
      <c r="BB640" s="135">
        <f t="shared" si="1180"/>
        <v>0</v>
      </c>
      <c r="BC640" s="474" t="s">
        <v>260</v>
      </c>
      <c r="BD640" s="475"/>
      <c r="BE640" s="14"/>
      <c r="BF640" s="17"/>
      <c r="BG640" s="14"/>
      <c r="BH640" s="17"/>
      <c r="BI640" s="14"/>
      <c r="BJ640" s="17"/>
      <c r="BK640" s="14"/>
      <c r="BL640" s="17"/>
      <c r="BM640" s="14"/>
      <c r="BN640" s="17"/>
      <c r="BO640" s="14"/>
      <c r="BP640" s="17"/>
      <c r="BQ640" s="107">
        <f t="shared" si="1140"/>
        <v>0</v>
      </c>
      <c r="BR640" s="567"/>
      <c r="BS640" s="571"/>
      <c r="BT640" s="572"/>
      <c r="BU640" s="558"/>
      <c r="BV640" s="561"/>
      <c r="BW640" s="564"/>
      <c r="BX640" s="616"/>
    </row>
    <row r="641" spans="1:76" ht="15.75" thickBot="1" x14ac:dyDescent="0.3">
      <c r="A641" s="586"/>
      <c r="B641" s="590"/>
      <c r="C641" s="591"/>
      <c r="D641" s="605"/>
      <c r="E641" s="517"/>
      <c r="F641" s="518"/>
      <c r="G641" s="523"/>
      <c r="H641" s="524"/>
      <c r="I641" s="529"/>
      <c r="J641" s="530"/>
      <c r="K641" s="513"/>
      <c r="L641" s="534"/>
      <c r="M641" s="537"/>
      <c r="N641" s="541"/>
      <c r="O641" s="542"/>
      <c r="P641" s="483"/>
      <c r="Q641" s="484"/>
      <c r="R641" s="517"/>
      <c r="S641" s="518"/>
      <c r="T641" s="487"/>
      <c r="U641" s="488"/>
      <c r="V641" s="492"/>
      <c r="W641" s="483"/>
      <c r="X641" s="495"/>
      <c r="Y641" s="484"/>
      <c r="Z641" s="498"/>
      <c r="AA641" s="502"/>
      <c r="AB641" s="503"/>
      <c r="AC641" s="471" t="s">
        <v>259</v>
      </c>
      <c r="AD641" s="472"/>
      <c r="AE641" s="473"/>
      <c r="AF641" s="100"/>
      <c r="AG641" s="100"/>
      <c r="AH641" s="100"/>
      <c r="AI641" s="100"/>
      <c r="AJ641" s="100"/>
      <c r="AK641" s="100"/>
      <c r="AL641" s="100"/>
      <c r="AM641" s="100"/>
      <c r="AN641" s="100"/>
      <c r="AO641" s="100"/>
      <c r="AP641" s="100"/>
      <c r="AQ641" s="101"/>
      <c r="AR641" s="104">
        <f t="shared" ref="AR641:AR642" si="1181">SUM(AF641:AQ641)</f>
        <v>0</v>
      </c>
      <c r="AS641" s="128" t="s">
        <v>261</v>
      </c>
      <c r="AT641" s="129"/>
      <c r="AU641" s="129"/>
      <c r="AV641" s="129"/>
      <c r="AW641" s="130"/>
      <c r="AX641" s="126">
        <f t="shared" si="1179"/>
        <v>0</v>
      </c>
      <c r="AY641" s="143" t="s">
        <v>261</v>
      </c>
      <c r="AZ641" s="139"/>
      <c r="BA641" s="139"/>
      <c r="BB641" s="136">
        <f t="shared" si="1180"/>
        <v>0</v>
      </c>
      <c r="BC641" s="474" t="s">
        <v>262</v>
      </c>
      <c r="BD641" s="475"/>
      <c r="BE641" s="14"/>
      <c r="BF641" s="17"/>
      <c r="BG641" s="14"/>
      <c r="BH641" s="17"/>
      <c r="BI641" s="14"/>
      <c r="BJ641" s="17"/>
      <c r="BK641" s="14"/>
      <c r="BL641" s="17"/>
      <c r="BM641" s="14"/>
      <c r="BN641" s="17"/>
      <c r="BO641" s="14"/>
      <c r="BP641" s="17"/>
      <c r="BQ641" s="108">
        <f t="shared" si="1140"/>
        <v>0</v>
      </c>
      <c r="BR641" s="567"/>
      <c r="BS641" s="571"/>
      <c r="BT641" s="572"/>
      <c r="BU641" s="558"/>
      <c r="BV641" s="561"/>
      <c r="BW641" s="564"/>
      <c r="BX641" s="616"/>
    </row>
    <row r="642" spans="1:76" ht="15.75" thickBot="1" x14ac:dyDescent="0.3">
      <c r="A642" s="587"/>
      <c r="B642" s="592"/>
      <c r="C642" s="593"/>
      <c r="D642" s="606"/>
      <c r="E642" s="519"/>
      <c r="F642" s="520"/>
      <c r="G642" s="525"/>
      <c r="H642" s="526"/>
      <c r="I642" s="531"/>
      <c r="J642" s="532"/>
      <c r="K642" s="514"/>
      <c r="L642" s="535"/>
      <c r="M642" s="538"/>
      <c r="N642" s="543"/>
      <c r="O642" s="544"/>
      <c r="P642" s="485"/>
      <c r="Q642" s="486"/>
      <c r="R642" s="519"/>
      <c r="S642" s="520"/>
      <c r="T642" s="489"/>
      <c r="U642" s="490"/>
      <c r="V642" s="493"/>
      <c r="W642" s="485"/>
      <c r="X642" s="496"/>
      <c r="Y642" s="486"/>
      <c r="Z642" s="499"/>
      <c r="AA642" s="504"/>
      <c r="AB642" s="505"/>
      <c r="AC642" s="476" t="s">
        <v>261</v>
      </c>
      <c r="AD642" s="477"/>
      <c r="AE642" s="478"/>
      <c r="AF642" s="102"/>
      <c r="AG642" s="102"/>
      <c r="AH642" s="102"/>
      <c r="AI642" s="102"/>
      <c r="AJ642" s="102"/>
      <c r="AK642" s="102"/>
      <c r="AL642" s="102"/>
      <c r="AM642" s="102"/>
      <c r="AN642" s="102"/>
      <c r="AO642" s="102"/>
      <c r="AP642" s="102"/>
      <c r="AQ642" s="103"/>
      <c r="AR642" s="105">
        <f t="shared" si="1181"/>
        <v>0</v>
      </c>
      <c r="AS642" s="131" t="s">
        <v>161</v>
      </c>
      <c r="AT642" s="132">
        <f t="shared" ref="AT642:AX642" si="1182">SUM(AT639:AT641)</f>
        <v>0</v>
      </c>
      <c r="AU642" s="132">
        <f t="shared" si="1182"/>
        <v>0</v>
      </c>
      <c r="AV642" s="132">
        <f t="shared" si="1182"/>
        <v>0</v>
      </c>
      <c r="AW642" s="133">
        <f t="shared" si="1182"/>
        <v>0</v>
      </c>
      <c r="AX642" s="127">
        <f t="shared" si="1182"/>
        <v>0</v>
      </c>
      <c r="AY642" s="144" t="s">
        <v>161</v>
      </c>
      <c r="AZ642" s="140">
        <f t="shared" ref="AZ642:BB642" si="1183">SUM(AZ639:AZ641)</f>
        <v>0</v>
      </c>
      <c r="BA642" s="140">
        <f t="shared" si="1183"/>
        <v>0</v>
      </c>
      <c r="BB642" s="140">
        <f t="shared" si="1183"/>
        <v>0</v>
      </c>
      <c r="BC642" s="479" t="s">
        <v>263</v>
      </c>
      <c r="BD642" s="480"/>
      <c r="BE642" s="15"/>
      <c r="BF642" s="18"/>
      <c r="BG642" s="15"/>
      <c r="BH642" s="18"/>
      <c r="BI642" s="15"/>
      <c r="BJ642" s="18"/>
      <c r="BK642" s="15"/>
      <c r="BL642" s="18"/>
      <c r="BM642" s="15"/>
      <c r="BN642" s="18"/>
      <c r="BO642" s="15"/>
      <c r="BP642" s="18"/>
      <c r="BQ642" s="109">
        <f t="shared" si="1140"/>
        <v>0</v>
      </c>
      <c r="BR642" s="568"/>
      <c r="BS642" s="573"/>
      <c r="BT642" s="574"/>
      <c r="BU642" s="559"/>
      <c r="BV642" s="562"/>
      <c r="BW642" s="565"/>
      <c r="BX642" s="617"/>
    </row>
    <row r="643" spans="1:76" ht="15.75" thickTop="1" x14ac:dyDescent="0.25">
      <c r="A643" s="585">
        <v>159</v>
      </c>
      <c r="B643" s="588"/>
      <c r="C643" s="589"/>
      <c r="D643" s="604"/>
      <c r="E643" s="515"/>
      <c r="F643" s="516"/>
      <c r="G643" s="521"/>
      <c r="H643" s="522"/>
      <c r="I643" s="527"/>
      <c r="J643" s="528"/>
      <c r="K643" s="512" t="e">
        <f t="shared" ref="K643" si="1184">INT(YEARFRAC(I643,AA643))</f>
        <v>#VALUE!</v>
      </c>
      <c r="L643" s="533">
        <f t="shared" ref="L643" ca="1" si="1185">INT(YEARFRAC(I643,TODAY()))</f>
        <v>121</v>
      </c>
      <c r="M643" s="536"/>
      <c r="N643" s="539"/>
      <c r="O643" s="540"/>
      <c r="P643" s="481"/>
      <c r="Q643" s="482"/>
      <c r="R643" s="515"/>
      <c r="S643" s="516"/>
      <c r="T643" s="487"/>
      <c r="U643" s="488"/>
      <c r="V643" s="491"/>
      <c r="W643" s="481"/>
      <c r="X643" s="494"/>
      <c r="Y643" s="482"/>
      <c r="Z643" s="497"/>
      <c r="AA643" s="500" t="s">
        <v>400</v>
      </c>
      <c r="AB643" s="501"/>
      <c r="AC643" s="506" t="s">
        <v>257</v>
      </c>
      <c r="AD643" s="507"/>
      <c r="AE643" s="507"/>
      <c r="AF643" s="510"/>
      <c r="AG643" s="510"/>
      <c r="AH643" s="510"/>
      <c r="AI643" s="510"/>
      <c r="AJ643" s="510"/>
      <c r="AK643" s="510"/>
      <c r="AL643" s="510"/>
      <c r="AM643" s="510"/>
      <c r="AN643" s="510"/>
      <c r="AO643" s="510"/>
      <c r="AP643" s="510"/>
      <c r="AQ643" s="465"/>
      <c r="AR643" s="467">
        <f t="shared" ref="AR643" si="1186">SUM(AF643:AQ644)</f>
        <v>0</v>
      </c>
      <c r="AS643" s="119" t="s">
        <v>257</v>
      </c>
      <c r="AT643" s="120"/>
      <c r="AU643" s="120"/>
      <c r="AV643" s="120"/>
      <c r="AW643" s="121"/>
      <c r="AX643" s="125">
        <f t="shared" ref="AX643:AX645" si="1187">SUM(AT643:AW643)</f>
        <v>0</v>
      </c>
      <c r="AY643" s="141" t="s">
        <v>257</v>
      </c>
      <c r="AZ643" s="137"/>
      <c r="BA643" s="137"/>
      <c r="BB643" s="134">
        <f t="shared" ref="BB643:BB645" si="1188">AZ643-BA643</f>
        <v>0</v>
      </c>
      <c r="BC643" s="469" t="s">
        <v>258</v>
      </c>
      <c r="BD643" s="470"/>
      <c r="BE643" s="13"/>
      <c r="BF643" s="16"/>
      <c r="BG643" s="13"/>
      <c r="BH643" s="16"/>
      <c r="BI643" s="13"/>
      <c r="BJ643" s="16"/>
      <c r="BK643" s="13"/>
      <c r="BL643" s="16"/>
      <c r="BM643" s="13"/>
      <c r="BN643" s="16"/>
      <c r="BO643" s="13"/>
      <c r="BP643" s="16"/>
      <c r="BQ643" s="106">
        <f t="shared" si="1140"/>
        <v>0</v>
      </c>
      <c r="BR643" s="566"/>
      <c r="BS643" s="569"/>
      <c r="BT643" s="570"/>
      <c r="BU643" s="557"/>
      <c r="BV643" s="560"/>
      <c r="BW643" s="563"/>
      <c r="BX643" s="615"/>
    </row>
    <row r="644" spans="1:76" x14ac:dyDescent="0.25">
      <c r="A644" s="586"/>
      <c r="B644" s="590"/>
      <c r="C644" s="591"/>
      <c r="D644" s="605"/>
      <c r="E644" s="517"/>
      <c r="F644" s="518"/>
      <c r="G644" s="523"/>
      <c r="H644" s="524"/>
      <c r="I644" s="529"/>
      <c r="J644" s="530"/>
      <c r="K644" s="513"/>
      <c r="L644" s="534"/>
      <c r="M644" s="537"/>
      <c r="N644" s="541"/>
      <c r="O644" s="542"/>
      <c r="P644" s="483"/>
      <c r="Q644" s="484"/>
      <c r="R644" s="517"/>
      <c r="S644" s="518"/>
      <c r="T644" s="487"/>
      <c r="U644" s="488"/>
      <c r="V644" s="492"/>
      <c r="W644" s="483"/>
      <c r="X644" s="495"/>
      <c r="Y644" s="484"/>
      <c r="Z644" s="498"/>
      <c r="AA644" s="502"/>
      <c r="AB644" s="503"/>
      <c r="AC644" s="508"/>
      <c r="AD644" s="509"/>
      <c r="AE644" s="509"/>
      <c r="AF644" s="511"/>
      <c r="AG644" s="511"/>
      <c r="AH644" s="511"/>
      <c r="AI644" s="511"/>
      <c r="AJ644" s="511"/>
      <c r="AK644" s="511"/>
      <c r="AL644" s="511"/>
      <c r="AM644" s="511"/>
      <c r="AN644" s="511"/>
      <c r="AO644" s="511"/>
      <c r="AP644" s="511"/>
      <c r="AQ644" s="466"/>
      <c r="AR644" s="468"/>
      <c r="AS644" s="122" t="s">
        <v>259</v>
      </c>
      <c r="AT644" s="123"/>
      <c r="AU644" s="123"/>
      <c r="AV644" s="123"/>
      <c r="AW644" s="124"/>
      <c r="AX644" s="126">
        <f t="shared" si="1187"/>
        <v>0</v>
      </c>
      <c r="AY644" s="142" t="s">
        <v>259</v>
      </c>
      <c r="AZ644" s="138"/>
      <c r="BA644" s="138"/>
      <c r="BB644" s="135">
        <f t="shared" si="1188"/>
        <v>0</v>
      </c>
      <c r="BC644" s="474" t="s">
        <v>260</v>
      </c>
      <c r="BD644" s="475"/>
      <c r="BE644" s="14"/>
      <c r="BF644" s="17"/>
      <c r="BG644" s="14"/>
      <c r="BH644" s="17"/>
      <c r="BI644" s="14"/>
      <c r="BJ644" s="17"/>
      <c r="BK644" s="14"/>
      <c r="BL644" s="17"/>
      <c r="BM644" s="14"/>
      <c r="BN644" s="17"/>
      <c r="BO644" s="14"/>
      <c r="BP644" s="17"/>
      <c r="BQ644" s="107">
        <f t="shared" si="1140"/>
        <v>0</v>
      </c>
      <c r="BR644" s="567"/>
      <c r="BS644" s="571"/>
      <c r="BT644" s="572"/>
      <c r="BU644" s="558"/>
      <c r="BV644" s="561"/>
      <c r="BW644" s="564"/>
      <c r="BX644" s="616"/>
    </row>
    <row r="645" spans="1:76" ht="15.75" thickBot="1" x14ac:dyDescent="0.3">
      <c r="A645" s="586"/>
      <c r="B645" s="590"/>
      <c r="C645" s="591"/>
      <c r="D645" s="605"/>
      <c r="E645" s="517"/>
      <c r="F645" s="518"/>
      <c r="G645" s="523"/>
      <c r="H645" s="524"/>
      <c r="I645" s="529"/>
      <c r="J645" s="530"/>
      <c r="K645" s="513"/>
      <c r="L645" s="534"/>
      <c r="M645" s="537"/>
      <c r="N645" s="541"/>
      <c r="O645" s="542"/>
      <c r="P645" s="483"/>
      <c r="Q645" s="484"/>
      <c r="R645" s="517"/>
      <c r="S645" s="518"/>
      <c r="T645" s="487"/>
      <c r="U645" s="488"/>
      <c r="V645" s="492"/>
      <c r="W645" s="483"/>
      <c r="X645" s="495"/>
      <c r="Y645" s="484"/>
      <c r="Z645" s="498"/>
      <c r="AA645" s="502"/>
      <c r="AB645" s="503"/>
      <c r="AC645" s="471" t="s">
        <v>259</v>
      </c>
      <c r="AD645" s="472"/>
      <c r="AE645" s="473"/>
      <c r="AF645" s="100"/>
      <c r="AG645" s="100"/>
      <c r="AH645" s="100"/>
      <c r="AI645" s="100"/>
      <c r="AJ645" s="100"/>
      <c r="AK645" s="100"/>
      <c r="AL645" s="100"/>
      <c r="AM645" s="100"/>
      <c r="AN645" s="100"/>
      <c r="AO645" s="100"/>
      <c r="AP645" s="100"/>
      <c r="AQ645" s="101"/>
      <c r="AR645" s="104">
        <f t="shared" ref="AR645:AR646" si="1189">SUM(AF645:AQ645)</f>
        <v>0</v>
      </c>
      <c r="AS645" s="128" t="s">
        <v>261</v>
      </c>
      <c r="AT645" s="129"/>
      <c r="AU645" s="129"/>
      <c r="AV645" s="129"/>
      <c r="AW645" s="130"/>
      <c r="AX645" s="126">
        <f t="shared" si="1187"/>
        <v>0</v>
      </c>
      <c r="AY645" s="143" t="s">
        <v>261</v>
      </c>
      <c r="AZ645" s="139"/>
      <c r="BA645" s="139"/>
      <c r="BB645" s="136">
        <f t="shared" si="1188"/>
        <v>0</v>
      </c>
      <c r="BC645" s="474" t="s">
        <v>262</v>
      </c>
      <c r="BD645" s="475"/>
      <c r="BE645" s="14"/>
      <c r="BF645" s="17"/>
      <c r="BG645" s="14"/>
      <c r="BH645" s="17"/>
      <c r="BI645" s="14"/>
      <c r="BJ645" s="17"/>
      <c r="BK645" s="14"/>
      <c r="BL645" s="17"/>
      <c r="BM645" s="14"/>
      <c r="BN645" s="17"/>
      <c r="BO645" s="14"/>
      <c r="BP645" s="17"/>
      <c r="BQ645" s="108">
        <f t="shared" si="1140"/>
        <v>0</v>
      </c>
      <c r="BR645" s="567"/>
      <c r="BS645" s="571"/>
      <c r="BT645" s="572"/>
      <c r="BU645" s="558"/>
      <c r="BV645" s="561"/>
      <c r="BW645" s="564"/>
      <c r="BX645" s="616"/>
    </row>
    <row r="646" spans="1:76" ht="15.75" thickBot="1" x14ac:dyDescent="0.3">
      <c r="A646" s="587"/>
      <c r="B646" s="592"/>
      <c r="C646" s="593"/>
      <c r="D646" s="606"/>
      <c r="E646" s="519"/>
      <c r="F646" s="520"/>
      <c r="G646" s="525"/>
      <c r="H646" s="526"/>
      <c r="I646" s="531"/>
      <c r="J646" s="532"/>
      <c r="K646" s="514"/>
      <c r="L646" s="535"/>
      <c r="M646" s="538"/>
      <c r="N646" s="543"/>
      <c r="O646" s="544"/>
      <c r="P646" s="485"/>
      <c r="Q646" s="486"/>
      <c r="R646" s="519"/>
      <c r="S646" s="520"/>
      <c r="T646" s="489"/>
      <c r="U646" s="490"/>
      <c r="V646" s="493"/>
      <c r="W646" s="485"/>
      <c r="X646" s="496"/>
      <c r="Y646" s="486"/>
      <c r="Z646" s="499"/>
      <c r="AA646" s="504"/>
      <c r="AB646" s="505"/>
      <c r="AC646" s="476" t="s">
        <v>261</v>
      </c>
      <c r="AD646" s="477"/>
      <c r="AE646" s="478"/>
      <c r="AF646" s="102"/>
      <c r="AG646" s="102"/>
      <c r="AH646" s="102"/>
      <c r="AI646" s="102"/>
      <c r="AJ646" s="102"/>
      <c r="AK646" s="102"/>
      <c r="AL646" s="102"/>
      <c r="AM646" s="102"/>
      <c r="AN646" s="102"/>
      <c r="AO646" s="102"/>
      <c r="AP646" s="102"/>
      <c r="AQ646" s="103"/>
      <c r="AR646" s="105">
        <f t="shared" si="1189"/>
        <v>0</v>
      </c>
      <c r="AS646" s="131" t="s">
        <v>161</v>
      </c>
      <c r="AT646" s="132">
        <f t="shared" ref="AT646:AX646" si="1190">SUM(AT643:AT645)</f>
        <v>0</v>
      </c>
      <c r="AU646" s="132">
        <f t="shared" si="1190"/>
        <v>0</v>
      </c>
      <c r="AV646" s="132">
        <f t="shared" si="1190"/>
        <v>0</v>
      </c>
      <c r="AW646" s="133">
        <f t="shared" si="1190"/>
        <v>0</v>
      </c>
      <c r="AX646" s="127">
        <f t="shared" si="1190"/>
        <v>0</v>
      </c>
      <c r="AY646" s="144" t="s">
        <v>161</v>
      </c>
      <c r="AZ646" s="140">
        <f t="shared" ref="AZ646:BB646" si="1191">SUM(AZ643:AZ645)</f>
        <v>0</v>
      </c>
      <c r="BA646" s="140">
        <f t="shared" si="1191"/>
        <v>0</v>
      </c>
      <c r="BB646" s="140">
        <f t="shared" si="1191"/>
        <v>0</v>
      </c>
      <c r="BC646" s="479" t="s">
        <v>263</v>
      </c>
      <c r="BD646" s="480"/>
      <c r="BE646" s="15"/>
      <c r="BF646" s="18"/>
      <c r="BG646" s="15"/>
      <c r="BH646" s="18"/>
      <c r="BI646" s="15"/>
      <c r="BJ646" s="18"/>
      <c r="BK646" s="15"/>
      <c r="BL646" s="18"/>
      <c r="BM646" s="15"/>
      <c r="BN646" s="18"/>
      <c r="BO646" s="15"/>
      <c r="BP646" s="18"/>
      <c r="BQ646" s="109">
        <f t="shared" si="1140"/>
        <v>0</v>
      </c>
      <c r="BR646" s="568"/>
      <c r="BS646" s="573"/>
      <c r="BT646" s="574"/>
      <c r="BU646" s="559"/>
      <c r="BV646" s="562"/>
      <c r="BW646" s="565"/>
      <c r="BX646" s="617"/>
    </row>
    <row r="647" spans="1:76" ht="15.75" thickTop="1" x14ac:dyDescent="0.25">
      <c r="A647" s="585">
        <v>160</v>
      </c>
      <c r="B647" s="588"/>
      <c r="C647" s="589"/>
      <c r="D647" s="604"/>
      <c r="E647" s="515"/>
      <c r="F647" s="516"/>
      <c r="G647" s="521"/>
      <c r="H647" s="522"/>
      <c r="I647" s="527"/>
      <c r="J647" s="528"/>
      <c r="K647" s="512" t="e">
        <f t="shared" ref="K647" si="1192">INT(YEARFRAC(I647,AA647))</f>
        <v>#VALUE!</v>
      </c>
      <c r="L647" s="533">
        <f t="shared" ref="L647" ca="1" si="1193">INT(YEARFRAC(I647,TODAY()))</f>
        <v>121</v>
      </c>
      <c r="M647" s="536"/>
      <c r="N647" s="539"/>
      <c r="O647" s="540"/>
      <c r="P647" s="481"/>
      <c r="Q647" s="482"/>
      <c r="R647" s="515"/>
      <c r="S647" s="516"/>
      <c r="T647" s="487"/>
      <c r="U647" s="488"/>
      <c r="V647" s="491"/>
      <c r="W647" s="481"/>
      <c r="X647" s="494"/>
      <c r="Y647" s="482"/>
      <c r="Z647" s="497"/>
      <c r="AA647" s="500" t="s">
        <v>401</v>
      </c>
      <c r="AB647" s="501"/>
      <c r="AC647" s="506" t="s">
        <v>257</v>
      </c>
      <c r="AD647" s="507"/>
      <c r="AE647" s="507"/>
      <c r="AF647" s="510"/>
      <c r="AG647" s="510"/>
      <c r="AH647" s="510"/>
      <c r="AI647" s="510"/>
      <c r="AJ647" s="510"/>
      <c r="AK647" s="510"/>
      <c r="AL647" s="510"/>
      <c r="AM647" s="510"/>
      <c r="AN647" s="510"/>
      <c r="AO647" s="510"/>
      <c r="AP647" s="510"/>
      <c r="AQ647" s="465"/>
      <c r="AR647" s="467">
        <f t="shared" ref="AR647" si="1194">SUM(AF647:AQ648)</f>
        <v>0</v>
      </c>
      <c r="AS647" s="119" t="s">
        <v>257</v>
      </c>
      <c r="AT647" s="120"/>
      <c r="AU647" s="120"/>
      <c r="AV647" s="120"/>
      <c r="AW647" s="121"/>
      <c r="AX647" s="125">
        <f t="shared" ref="AX647:AX649" si="1195">SUM(AT647:AW647)</f>
        <v>0</v>
      </c>
      <c r="AY647" s="141" t="s">
        <v>257</v>
      </c>
      <c r="AZ647" s="137"/>
      <c r="BA647" s="137"/>
      <c r="BB647" s="134">
        <f t="shared" ref="BB647:BB649" si="1196">AZ647-BA647</f>
        <v>0</v>
      </c>
      <c r="BC647" s="469" t="s">
        <v>258</v>
      </c>
      <c r="BD647" s="470"/>
      <c r="BE647" s="13"/>
      <c r="BF647" s="16"/>
      <c r="BG647" s="13"/>
      <c r="BH647" s="16"/>
      <c r="BI647" s="13"/>
      <c r="BJ647" s="16"/>
      <c r="BK647" s="13"/>
      <c r="BL647" s="16"/>
      <c r="BM647" s="13"/>
      <c r="BN647" s="16"/>
      <c r="BO647" s="13"/>
      <c r="BP647" s="16"/>
      <c r="BQ647" s="106">
        <f t="shared" si="1140"/>
        <v>0</v>
      </c>
      <c r="BR647" s="566"/>
      <c r="BS647" s="569"/>
      <c r="BT647" s="570"/>
      <c r="BU647" s="557"/>
      <c r="BV647" s="560"/>
      <c r="BW647" s="563"/>
      <c r="BX647" s="615"/>
    </row>
    <row r="648" spans="1:76" x14ac:dyDescent="0.25">
      <c r="A648" s="586"/>
      <c r="B648" s="590"/>
      <c r="C648" s="591"/>
      <c r="D648" s="605"/>
      <c r="E648" s="517"/>
      <c r="F648" s="518"/>
      <c r="G648" s="523"/>
      <c r="H648" s="524"/>
      <c r="I648" s="529"/>
      <c r="J648" s="530"/>
      <c r="K648" s="513"/>
      <c r="L648" s="534"/>
      <c r="M648" s="537"/>
      <c r="N648" s="541"/>
      <c r="O648" s="542"/>
      <c r="P648" s="483"/>
      <c r="Q648" s="484"/>
      <c r="R648" s="517"/>
      <c r="S648" s="518"/>
      <c r="T648" s="487"/>
      <c r="U648" s="488"/>
      <c r="V648" s="492"/>
      <c r="W648" s="483"/>
      <c r="X648" s="495"/>
      <c r="Y648" s="484"/>
      <c r="Z648" s="498"/>
      <c r="AA648" s="502"/>
      <c r="AB648" s="503"/>
      <c r="AC648" s="508"/>
      <c r="AD648" s="509"/>
      <c r="AE648" s="509"/>
      <c r="AF648" s="511"/>
      <c r="AG648" s="511"/>
      <c r="AH648" s="511"/>
      <c r="AI648" s="511"/>
      <c r="AJ648" s="511"/>
      <c r="AK648" s="511"/>
      <c r="AL648" s="511"/>
      <c r="AM648" s="511"/>
      <c r="AN648" s="511"/>
      <c r="AO648" s="511"/>
      <c r="AP648" s="511"/>
      <c r="AQ648" s="466"/>
      <c r="AR648" s="468"/>
      <c r="AS648" s="122" t="s">
        <v>259</v>
      </c>
      <c r="AT648" s="123"/>
      <c r="AU648" s="123"/>
      <c r="AV648" s="123"/>
      <c r="AW648" s="124"/>
      <c r="AX648" s="126">
        <f t="shared" si="1195"/>
        <v>0</v>
      </c>
      <c r="AY648" s="142" t="s">
        <v>259</v>
      </c>
      <c r="AZ648" s="138"/>
      <c r="BA648" s="138"/>
      <c r="BB648" s="135">
        <f t="shared" si="1196"/>
        <v>0</v>
      </c>
      <c r="BC648" s="474" t="s">
        <v>260</v>
      </c>
      <c r="BD648" s="475"/>
      <c r="BE648" s="14"/>
      <c r="BF648" s="17"/>
      <c r="BG648" s="14"/>
      <c r="BH648" s="17"/>
      <c r="BI648" s="14"/>
      <c r="BJ648" s="17"/>
      <c r="BK648" s="14"/>
      <c r="BL648" s="17"/>
      <c r="BM648" s="14"/>
      <c r="BN648" s="17"/>
      <c r="BO648" s="14"/>
      <c r="BP648" s="17"/>
      <c r="BQ648" s="107">
        <f t="shared" si="1140"/>
        <v>0</v>
      </c>
      <c r="BR648" s="567"/>
      <c r="BS648" s="571"/>
      <c r="BT648" s="572"/>
      <c r="BU648" s="558"/>
      <c r="BV648" s="561"/>
      <c r="BW648" s="564"/>
      <c r="BX648" s="616"/>
    </row>
    <row r="649" spans="1:76" ht="15.75" thickBot="1" x14ac:dyDescent="0.3">
      <c r="A649" s="586"/>
      <c r="B649" s="590"/>
      <c r="C649" s="591"/>
      <c r="D649" s="605"/>
      <c r="E649" s="517"/>
      <c r="F649" s="518"/>
      <c r="G649" s="523"/>
      <c r="H649" s="524"/>
      <c r="I649" s="529"/>
      <c r="J649" s="530"/>
      <c r="K649" s="513"/>
      <c r="L649" s="534"/>
      <c r="M649" s="537"/>
      <c r="N649" s="541"/>
      <c r="O649" s="542"/>
      <c r="P649" s="483"/>
      <c r="Q649" s="484"/>
      <c r="R649" s="517"/>
      <c r="S649" s="518"/>
      <c r="T649" s="487"/>
      <c r="U649" s="488"/>
      <c r="V649" s="492"/>
      <c r="W649" s="483"/>
      <c r="X649" s="495"/>
      <c r="Y649" s="484"/>
      <c r="Z649" s="498"/>
      <c r="AA649" s="502"/>
      <c r="AB649" s="503"/>
      <c r="AC649" s="471" t="s">
        <v>259</v>
      </c>
      <c r="AD649" s="472"/>
      <c r="AE649" s="473"/>
      <c r="AF649" s="100"/>
      <c r="AG649" s="100"/>
      <c r="AH649" s="100"/>
      <c r="AI649" s="100"/>
      <c r="AJ649" s="100"/>
      <c r="AK649" s="100"/>
      <c r="AL649" s="100"/>
      <c r="AM649" s="100"/>
      <c r="AN649" s="100"/>
      <c r="AO649" s="100"/>
      <c r="AP649" s="100"/>
      <c r="AQ649" s="101"/>
      <c r="AR649" s="104">
        <f t="shared" ref="AR649:AR650" si="1197">SUM(AF649:AQ649)</f>
        <v>0</v>
      </c>
      <c r="AS649" s="128" t="s">
        <v>261</v>
      </c>
      <c r="AT649" s="129"/>
      <c r="AU649" s="129"/>
      <c r="AV649" s="129"/>
      <c r="AW649" s="130"/>
      <c r="AX649" s="126">
        <f t="shared" si="1195"/>
        <v>0</v>
      </c>
      <c r="AY649" s="143" t="s">
        <v>261</v>
      </c>
      <c r="AZ649" s="139"/>
      <c r="BA649" s="139"/>
      <c r="BB649" s="136">
        <f t="shared" si="1196"/>
        <v>0</v>
      </c>
      <c r="BC649" s="474" t="s">
        <v>262</v>
      </c>
      <c r="BD649" s="475"/>
      <c r="BE649" s="14"/>
      <c r="BF649" s="17"/>
      <c r="BG649" s="14"/>
      <c r="BH649" s="17"/>
      <c r="BI649" s="14"/>
      <c r="BJ649" s="17"/>
      <c r="BK649" s="14"/>
      <c r="BL649" s="17"/>
      <c r="BM649" s="14"/>
      <c r="BN649" s="17"/>
      <c r="BO649" s="14"/>
      <c r="BP649" s="17"/>
      <c r="BQ649" s="108">
        <f t="shared" si="1140"/>
        <v>0</v>
      </c>
      <c r="BR649" s="567"/>
      <c r="BS649" s="571"/>
      <c r="BT649" s="572"/>
      <c r="BU649" s="558"/>
      <c r="BV649" s="561"/>
      <c r="BW649" s="564"/>
      <c r="BX649" s="616"/>
    </row>
    <row r="650" spans="1:76" ht="15.75" thickBot="1" x14ac:dyDescent="0.3">
      <c r="A650" s="587"/>
      <c r="B650" s="592"/>
      <c r="C650" s="593"/>
      <c r="D650" s="606"/>
      <c r="E650" s="519"/>
      <c r="F650" s="520"/>
      <c r="G650" s="525"/>
      <c r="H650" s="526"/>
      <c r="I650" s="531"/>
      <c r="J650" s="532"/>
      <c r="K650" s="514"/>
      <c r="L650" s="535"/>
      <c r="M650" s="538"/>
      <c r="N650" s="543"/>
      <c r="O650" s="544"/>
      <c r="P650" s="485"/>
      <c r="Q650" s="486"/>
      <c r="R650" s="519"/>
      <c r="S650" s="520"/>
      <c r="T650" s="489"/>
      <c r="U650" s="490"/>
      <c r="V650" s="493"/>
      <c r="W650" s="485"/>
      <c r="X650" s="496"/>
      <c r="Y650" s="486"/>
      <c r="Z650" s="499"/>
      <c r="AA650" s="504"/>
      <c r="AB650" s="505"/>
      <c r="AC650" s="476" t="s">
        <v>261</v>
      </c>
      <c r="AD650" s="477"/>
      <c r="AE650" s="478"/>
      <c r="AF650" s="102"/>
      <c r="AG650" s="102"/>
      <c r="AH650" s="102"/>
      <c r="AI650" s="102"/>
      <c r="AJ650" s="102"/>
      <c r="AK650" s="102"/>
      <c r="AL650" s="102"/>
      <c r="AM650" s="102"/>
      <c r="AN650" s="102"/>
      <c r="AO650" s="102"/>
      <c r="AP650" s="102"/>
      <c r="AQ650" s="103"/>
      <c r="AR650" s="105">
        <f t="shared" si="1197"/>
        <v>0</v>
      </c>
      <c r="AS650" s="131" t="s">
        <v>161</v>
      </c>
      <c r="AT650" s="132">
        <f t="shared" ref="AT650:AX650" si="1198">SUM(AT647:AT649)</f>
        <v>0</v>
      </c>
      <c r="AU650" s="132">
        <f t="shared" si="1198"/>
        <v>0</v>
      </c>
      <c r="AV650" s="132">
        <f t="shared" si="1198"/>
        <v>0</v>
      </c>
      <c r="AW650" s="133">
        <f t="shared" si="1198"/>
        <v>0</v>
      </c>
      <c r="AX650" s="127">
        <f t="shared" si="1198"/>
        <v>0</v>
      </c>
      <c r="AY650" s="144" t="s">
        <v>161</v>
      </c>
      <c r="AZ650" s="140">
        <f t="shared" ref="AZ650:BB650" si="1199">SUM(AZ647:AZ649)</f>
        <v>0</v>
      </c>
      <c r="BA650" s="140">
        <f t="shared" si="1199"/>
        <v>0</v>
      </c>
      <c r="BB650" s="140">
        <f t="shared" si="1199"/>
        <v>0</v>
      </c>
      <c r="BC650" s="479" t="s">
        <v>263</v>
      </c>
      <c r="BD650" s="480"/>
      <c r="BE650" s="15"/>
      <c r="BF650" s="18"/>
      <c r="BG650" s="15"/>
      <c r="BH650" s="18"/>
      <c r="BI650" s="15"/>
      <c r="BJ650" s="18"/>
      <c r="BK650" s="15"/>
      <c r="BL650" s="18"/>
      <c r="BM650" s="15"/>
      <c r="BN650" s="18"/>
      <c r="BO650" s="15"/>
      <c r="BP650" s="18"/>
      <c r="BQ650" s="109">
        <f t="shared" si="1140"/>
        <v>0</v>
      </c>
      <c r="BR650" s="568"/>
      <c r="BS650" s="573"/>
      <c r="BT650" s="574"/>
      <c r="BU650" s="559"/>
      <c r="BV650" s="562"/>
      <c r="BW650" s="565"/>
      <c r="BX650" s="617"/>
    </row>
    <row r="651" spans="1:76" ht="15.75" thickTop="1" x14ac:dyDescent="0.25">
      <c r="A651" s="585">
        <v>161</v>
      </c>
      <c r="B651" s="588"/>
      <c r="C651" s="589"/>
      <c r="D651" s="604"/>
      <c r="E651" s="515"/>
      <c r="F651" s="516"/>
      <c r="G651" s="521"/>
      <c r="H651" s="522"/>
      <c r="I651" s="527"/>
      <c r="J651" s="528"/>
      <c r="K651" s="512" t="e">
        <f t="shared" ref="K651" si="1200">INT(YEARFRAC(I651,AA651))</f>
        <v>#VALUE!</v>
      </c>
      <c r="L651" s="533">
        <f t="shared" ref="L651" ca="1" si="1201">INT(YEARFRAC(I651,TODAY()))</f>
        <v>121</v>
      </c>
      <c r="M651" s="536"/>
      <c r="N651" s="539"/>
      <c r="O651" s="540"/>
      <c r="P651" s="481"/>
      <c r="Q651" s="482"/>
      <c r="R651" s="515"/>
      <c r="S651" s="516"/>
      <c r="T651" s="487"/>
      <c r="U651" s="488"/>
      <c r="V651" s="491"/>
      <c r="W651" s="481"/>
      <c r="X651" s="494"/>
      <c r="Y651" s="482"/>
      <c r="Z651" s="497"/>
      <c r="AA651" s="500" t="s">
        <v>402</v>
      </c>
      <c r="AB651" s="501"/>
      <c r="AC651" s="506" t="s">
        <v>257</v>
      </c>
      <c r="AD651" s="507"/>
      <c r="AE651" s="507"/>
      <c r="AF651" s="510"/>
      <c r="AG651" s="510"/>
      <c r="AH651" s="510"/>
      <c r="AI651" s="510"/>
      <c r="AJ651" s="510"/>
      <c r="AK651" s="510"/>
      <c r="AL651" s="510"/>
      <c r="AM651" s="510"/>
      <c r="AN651" s="510"/>
      <c r="AO651" s="510"/>
      <c r="AP651" s="510"/>
      <c r="AQ651" s="465"/>
      <c r="AR651" s="467">
        <f t="shared" ref="AR651" si="1202">SUM(AF651:AQ652)</f>
        <v>0</v>
      </c>
      <c r="AS651" s="119" t="s">
        <v>257</v>
      </c>
      <c r="AT651" s="120"/>
      <c r="AU651" s="120"/>
      <c r="AV651" s="120"/>
      <c r="AW651" s="121"/>
      <c r="AX651" s="125">
        <f t="shared" ref="AX651:AX653" si="1203">SUM(AT651:AW651)</f>
        <v>0</v>
      </c>
      <c r="AY651" s="141" t="s">
        <v>257</v>
      </c>
      <c r="AZ651" s="137"/>
      <c r="BA651" s="137"/>
      <c r="BB651" s="134">
        <f t="shared" ref="BB651:BB653" si="1204">AZ651-BA651</f>
        <v>0</v>
      </c>
      <c r="BC651" s="469" t="s">
        <v>258</v>
      </c>
      <c r="BD651" s="470"/>
      <c r="BE651" s="13"/>
      <c r="BF651" s="16"/>
      <c r="BG651" s="13"/>
      <c r="BH651" s="16"/>
      <c r="BI651" s="13"/>
      <c r="BJ651" s="16"/>
      <c r="BK651" s="13"/>
      <c r="BL651" s="16"/>
      <c r="BM651" s="13"/>
      <c r="BN651" s="16"/>
      <c r="BO651" s="13"/>
      <c r="BP651" s="16"/>
      <c r="BQ651" s="106">
        <f t="shared" si="1140"/>
        <v>0</v>
      </c>
      <c r="BR651" s="566"/>
      <c r="BS651" s="569"/>
      <c r="BT651" s="570"/>
      <c r="BU651" s="557"/>
      <c r="BV651" s="560"/>
      <c r="BW651" s="563"/>
      <c r="BX651" s="615"/>
    </row>
    <row r="652" spans="1:76" x14ac:dyDescent="0.25">
      <c r="A652" s="586"/>
      <c r="B652" s="590"/>
      <c r="C652" s="591"/>
      <c r="D652" s="605"/>
      <c r="E652" s="517"/>
      <c r="F652" s="518"/>
      <c r="G652" s="523"/>
      <c r="H652" s="524"/>
      <c r="I652" s="529"/>
      <c r="J652" s="530"/>
      <c r="K652" s="513"/>
      <c r="L652" s="534"/>
      <c r="M652" s="537"/>
      <c r="N652" s="541"/>
      <c r="O652" s="542"/>
      <c r="P652" s="483"/>
      <c r="Q652" s="484"/>
      <c r="R652" s="517"/>
      <c r="S652" s="518"/>
      <c r="T652" s="487"/>
      <c r="U652" s="488"/>
      <c r="V652" s="492"/>
      <c r="W652" s="483"/>
      <c r="X652" s="495"/>
      <c r="Y652" s="484"/>
      <c r="Z652" s="498"/>
      <c r="AA652" s="502"/>
      <c r="AB652" s="503"/>
      <c r="AC652" s="508"/>
      <c r="AD652" s="509"/>
      <c r="AE652" s="509"/>
      <c r="AF652" s="511"/>
      <c r="AG652" s="511"/>
      <c r="AH652" s="511"/>
      <c r="AI652" s="511"/>
      <c r="AJ652" s="511"/>
      <c r="AK652" s="511"/>
      <c r="AL652" s="511"/>
      <c r="AM652" s="511"/>
      <c r="AN652" s="511"/>
      <c r="AO652" s="511"/>
      <c r="AP652" s="511"/>
      <c r="AQ652" s="466"/>
      <c r="AR652" s="468"/>
      <c r="AS652" s="122" t="s">
        <v>259</v>
      </c>
      <c r="AT652" s="123"/>
      <c r="AU652" s="123"/>
      <c r="AV652" s="123"/>
      <c r="AW652" s="124"/>
      <c r="AX652" s="126">
        <f t="shared" si="1203"/>
        <v>0</v>
      </c>
      <c r="AY652" s="142" t="s">
        <v>259</v>
      </c>
      <c r="AZ652" s="138"/>
      <c r="BA652" s="138"/>
      <c r="BB652" s="135">
        <f t="shared" si="1204"/>
        <v>0</v>
      </c>
      <c r="BC652" s="474" t="s">
        <v>260</v>
      </c>
      <c r="BD652" s="475"/>
      <c r="BE652" s="14"/>
      <c r="BF652" s="17"/>
      <c r="BG652" s="14"/>
      <c r="BH652" s="17"/>
      <c r="BI652" s="14"/>
      <c r="BJ652" s="17"/>
      <c r="BK652" s="14"/>
      <c r="BL652" s="17"/>
      <c r="BM652" s="14"/>
      <c r="BN652" s="17"/>
      <c r="BO652" s="14"/>
      <c r="BP652" s="17"/>
      <c r="BQ652" s="107">
        <f t="shared" si="1140"/>
        <v>0</v>
      </c>
      <c r="BR652" s="567"/>
      <c r="BS652" s="571"/>
      <c r="BT652" s="572"/>
      <c r="BU652" s="558"/>
      <c r="BV652" s="561"/>
      <c r="BW652" s="564"/>
      <c r="BX652" s="616"/>
    </row>
    <row r="653" spans="1:76" ht="15.75" thickBot="1" x14ac:dyDescent="0.3">
      <c r="A653" s="586"/>
      <c r="B653" s="590"/>
      <c r="C653" s="591"/>
      <c r="D653" s="605"/>
      <c r="E653" s="517"/>
      <c r="F653" s="518"/>
      <c r="G653" s="523"/>
      <c r="H653" s="524"/>
      <c r="I653" s="529"/>
      <c r="J653" s="530"/>
      <c r="K653" s="513"/>
      <c r="L653" s="534"/>
      <c r="M653" s="537"/>
      <c r="N653" s="541"/>
      <c r="O653" s="542"/>
      <c r="P653" s="483"/>
      <c r="Q653" s="484"/>
      <c r="R653" s="517"/>
      <c r="S653" s="518"/>
      <c r="T653" s="487"/>
      <c r="U653" s="488"/>
      <c r="V653" s="492"/>
      <c r="W653" s="483"/>
      <c r="X653" s="495"/>
      <c r="Y653" s="484"/>
      <c r="Z653" s="498"/>
      <c r="AA653" s="502"/>
      <c r="AB653" s="503"/>
      <c r="AC653" s="471" t="s">
        <v>259</v>
      </c>
      <c r="AD653" s="472"/>
      <c r="AE653" s="473"/>
      <c r="AF653" s="100"/>
      <c r="AG653" s="100"/>
      <c r="AH653" s="100"/>
      <c r="AI653" s="100"/>
      <c r="AJ653" s="100"/>
      <c r="AK653" s="100"/>
      <c r="AL653" s="100"/>
      <c r="AM653" s="100"/>
      <c r="AN653" s="100"/>
      <c r="AO653" s="100"/>
      <c r="AP653" s="100"/>
      <c r="AQ653" s="101"/>
      <c r="AR653" s="104">
        <f t="shared" ref="AR653:AR654" si="1205">SUM(AF653:AQ653)</f>
        <v>0</v>
      </c>
      <c r="AS653" s="128" t="s">
        <v>261</v>
      </c>
      <c r="AT653" s="129"/>
      <c r="AU653" s="129"/>
      <c r="AV653" s="129"/>
      <c r="AW653" s="130"/>
      <c r="AX653" s="126">
        <f t="shared" si="1203"/>
        <v>0</v>
      </c>
      <c r="AY653" s="143" t="s">
        <v>261</v>
      </c>
      <c r="AZ653" s="139"/>
      <c r="BA653" s="139"/>
      <c r="BB653" s="136">
        <f t="shared" si="1204"/>
        <v>0</v>
      </c>
      <c r="BC653" s="474" t="s">
        <v>262</v>
      </c>
      <c r="BD653" s="475"/>
      <c r="BE653" s="14"/>
      <c r="BF653" s="17"/>
      <c r="BG653" s="14"/>
      <c r="BH653" s="17"/>
      <c r="BI653" s="14"/>
      <c r="BJ653" s="17"/>
      <c r="BK653" s="14"/>
      <c r="BL653" s="17"/>
      <c r="BM653" s="14"/>
      <c r="BN653" s="17"/>
      <c r="BO653" s="14"/>
      <c r="BP653" s="17"/>
      <c r="BQ653" s="108">
        <f t="shared" si="1140"/>
        <v>0</v>
      </c>
      <c r="BR653" s="567"/>
      <c r="BS653" s="571"/>
      <c r="BT653" s="572"/>
      <c r="BU653" s="558"/>
      <c r="BV653" s="561"/>
      <c r="BW653" s="564"/>
      <c r="BX653" s="616"/>
    </row>
    <row r="654" spans="1:76" ht="15.75" thickBot="1" x14ac:dyDescent="0.3">
      <c r="A654" s="587"/>
      <c r="B654" s="592"/>
      <c r="C654" s="593"/>
      <c r="D654" s="606"/>
      <c r="E654" s="519"/>
      <c r="F654" s="520"/>
      <c r="G654" s="525"/>
      <c r="H654" s="526"/>
      <c r="I654" s="531"/>
      <c r="J654" s="532"/>
      <c r="K654" s="514"/>
      <c r="L654" s="535"/>
      <c r="M654" s="538"/>
      <c r="N654" s="543"/>
      <c r="O654" s="544"/>
      <c r="P654" s="485"/>
      <c r="Q654" s="486"/>
      <c r="R654" s="519"/>
      <c r="S654" s="520"/>
      <c r="T654" s="489"/>
      <c r="U654" s="490"/>
      <c r="V654" s="493"/>
      <c r="W654" s="485"/>
      <c r="X654" s="496"/>
      <c r="Y654" s="486"/>
      <c r="Z654" s="499"/>
      <c r="AA654" s="504"/>
      <c r="AB654" s="505"/>
      <c r="AC654" s="476" t="s">
        <v>261</v>
      </c>
      <c r="AD654" s="477"/>
      <c r="AE654" s="478"/>
      <c r="AF654" s="102"/>
      <c r="AG654" s="102"/>
      <c r="AH654" s="102"/>
      <c r="AI654" s="102"/>
      <c r="AJ654" s="102"/>
      <c r="AK654" s="102"/>
      <c r="AL654" s="102"/>
      <c r="AM654" s="102"/>
      <c r="AN654" s="102"/>
      <c r="AO654" s="102"/>
      <c r="AP654" s="102"/>
      <c r="AQ654" s="103"/>
      <c r="AR654" s="105">
        <f t="shared" si="1205"/>
        <v>0</v>
      </c>
      <c r="AS654" s="131" t="s">
        <v>161</v>
      </c>
      <c r="AT654" s="132">
        <f t="shared" ref="AT654:AX654" si="1206">SUM(AT651:AT653)</f>
        <v>0</v>
      </c>
      <c r="AU654" s="132">
        <f t="shared" si="1206"/>
        <v>0</v>
      </c>
      <c r="AV654" s="132">
        <f t="shared" si="1206"/>
        <v>0</v>
      </c>
      <c r="AW654" s="133">
        <f t="shared" si="1206"/>
        <v>0</v>
      </c>
      <c r="AX654" s="127">
        <f t="shared" si="1206"/>
        <v>0</v>
      </c>
      <c r="AY654" s="144" t="s">
        <v>161</v>
      </c>
      <c r="AZ654" s="140">
        <f t="shared" ref="AZ654:BB654" si="1207">SUM(AZ651:AZ653)</f>
        <v>0</v>
      </c>
      <c r="BA654" s="140">
        <f t="shared" si="1207"/>
        <v>0</v>
      </c>
      <c r="BB654" s="140">
        <f t="shared" si="1207"/>
        <v>0</v>
      </c>
      <c r="BC654" s="479" t="s">
        <v>263</v>
      </c>
      <c r="BD654" s="480"/>
      <c r="BE654" s="15"/>
      <c r="BF654" s="18"/>
      <c r="BG654" s="15"/>
      <c r="BH654" s="18"/>
      <c r="BI654" s="15"/>
      <c r="BJ654" s="18"/>
      <c r="BK654" s="15"/>
      <c r="BL654" s="18"/>
      <c r="BM654" s="15"/>
      <c r="BN654" s="18"/>
      <c r="BO654" s="15"/>
      <c r="BP654" s="18"/>
      <c r="BQ654" s="109">
        <f t="shared" si="1140"/>
        <v>0</v>
      </c>
      <c r="BR654" s="568"/>
      <c r="BS654" s="573"/>
      <c r="BT654" s="574"/>
      <c r="BU654" s="559"/>
      <c r="BV654" s="562"/>
      <c r="BW654" s="565"/>
      <c r="BX654" s="617"/>
    </row>
    <row r="655" spans="1:76" ht="15.75" thickTop="1" x14ac:dyDescent="0.25">
      <c r="A655" s="585">
        <v>162</v>
      </c>
      <c r="B655" s="588"/>
      <c r="C655" s="589"/>
      <c r="D655" s="604"/>
      <c r="E655" s="515"/>
      <c r="F655" s="516"/>
      <c r="G655" s="521"/>
      <c r="H655" s="522"/>
      <c r="I655" s="527"/>
      <c r="J655" s="528"/>
      <c r="K655" s="512" t="e">
        <f t="shared" ref="K655" si="1208">INT(YEARFRAC(I655,AA655))</f>
        <v>#VALUE!</v>
      </c>
      <c r="L655" s="533">
        <f t="shared" ref="L655" ca="1" si="1209">INT(YEARFRAC(I655,TODAY()))</f>
        <v>121</v>
      </c>
      <c r="M655" s="536"/>
      <c r="N655" s="539"/>
      <c r="O655" s="540"/>
      <c r="P655" s="481"/>
      <c r="Q655" s="482"/>
      <c r="R655" s="515"/>
      <c r="S655" s="516"/>
      <c r="T655" s="487"/>
      <c r="U655" s="488"/>
      <c r="V655" s="491"/>
      <c r="W655" s="481"/>
      <c r="X655" s="494"/>
      <c r="Y655" s="482"/>
      <c r="Z655" s="497"/>
      <c r="AA655" s="500" t="s">
        <v>403</v>
      </c>
      <c r="AB655" s="501"/>
      <c r="AC655" s="506" t="s">
        <v>257</v>
      </c>
      <c r="AD655" s="507"/>
      <c r="AE655" s="507"/>
      <c r="AF655" s="510"/>
      <c r="AG655" s="510"/>
      <c r="AH655" s="510"/>
      <c r="AI655" s="510"/>
      <c r="AJ655" s="510"/>
      <c r="AK655" s="510"/>
      <c r="AL655" s="510"/>
      <c r="AM655" s="510"/>
      <c r="AN655" s="510"/>
      <c r="AO655" s="510"/>
      <c r="AP655" s="510"/>
      <c r="AQ655" s="465"/>
      <c r="AR655" s="467">
        <f t="shared" ref="AR655" si="1210">SUM(AF655:AQ656)</f>
        <v>0</v>
      </c>
      <c r="AS655" s="119" t="s">
        <v>257</v>
      </c>
      <c r="AT655" s="120"/>
      <c r="AU655" s="120"/>
      <c r="AV655" s="120"/>
      <c r="AW655" s="121"/>
      <c r="AX655" s="125">
        <f t="shared" ref="AX655:AX657" si="1211">SUM(AT655:AW655)</f>
        <v>0</v>
      </c>
      <c r="AY655" s="141" t="s">
        <v>257</v>
      </c>
      <c r="AZ655" s="137"/>
      <c r="BA655" s="137"/>
      <c r="BB655" s="134">
        <f t="shared" ref="BB655:BB657" si="1212">AZ655-BA655</f>
        <v>0</v>
      </c>
      <c r="BC655" s="469" t="s">
        <v>258</v>
      </c>
      <c r="BD655" s="470"/>
      <c r="BE655" s="13"/>
      <c r="BF655" s="16"/>
      <c r="BG655" s="13"/>
      <c r="BH655" s="16"/>
      <c r="BI655" s="13"/>
      <c r="BJ655" s="16"/>
      <c r="BK655" s="13"/>
      <c r="BL655" s="16"/>
      <c r="BM655" s="13"/>
      <c r="BN655" s="16"/>
      <c r="BO655" s="13"/>
      <c r="BP655" s="16"/>
      <c r="BQ655" s="106">
        <f t="shared" si="1140"/>
        <v>0</v>
      </c>
      <c r="BR655" s="566"/>
      <c r="BS655" s="569"/>
      <c r="BT655" s="570"/>
      <c r="BU655" s="557"/>
      <c r="BV655" s="560"/>
      <c r="BW655" s="563"/>
      <c r="BX655" s="615"/>
    </row>
    <row r="656" spans="1:76" x14ac:dyDescent="0.25">
      <c r="A656" s="586"/>
      <c r="B656" s="590"/>
      <c r="C656" s="591"/>
      <c r="D656" s="605"/>
      <c r="E656" s="517"/>
      <c r="F656" s="518"/>
      <c r="G656" s="523"/>
      <c r="H656" s="524"/>
      <c r="I656" s="529"/>
      <c r="J656" s="530"/>
      <c r="K656" s="513"/>
      <c r="L656" s="534"/>
      <c r="M656" s="537"/>
      <c r="N656" s="541"/>
      <c r="O656" s="542"/>
      <c r="P656" s="483"/>
      <c r="Q656" s="484"/>
      <c r="R656" s="517"/>
      <c r="S656" s="518"/>
      <c r="T656" s="487"/>
      <c r="U656" s="488"/>
      <c r="V656" s="492"/>
      <c r="W656" s="483"/>
      <c r="X656" s="495"/>
      <c r="Y656" s="484"/>
      <c r="Z656" s="498"/>
      <c r="AA656" s="502"/>
      <c r="AB656" s="503"/>
      <c r="AC656" s="508"/>
      <c r="AD656" s="509"/>
      <c r="AE656" s="509"/>
      <c r="AF656" s="511"/>
      <c r="AG656" s="511"/>
      <c r="AH656" s="511"/>
      <c r="AI656" s="511"/>
      <c r="AJ656" s="511"/>
      <c r="AK656" s="511"/>
      <c r="AL656" s="511"/>
      <c r="AM656" s="511"/>
      <c r="AN656" s="511"/>
      <c r="AO656" s="511"/>
      <c r="AP656" s="511"/>
      <c r="AQ656" s="466"/>
      <c r="AR656" s="468"/>
      <c r="AS656" s="122" t="s">
        <v>259</v>
      </c>
      <c r="AT656" s="123"/>
      <c r="AU656" s="123"/>
      <c r="AV656" s="123"/>
      <c r="AW656" s="124"/>
      <c r="AX656" s="126">
        <f t="shared" si="1211"/>
        <v>0</v>
      </c>
      <c r="AY656" s="142" t="s">
        <v>259</v>
      </c>
      <c r="AZ656" s="138"/>
      <c r="BA656" s="138"/>
      <c r="BB656" s="135">
        <f t="shared" si="1212"/>
        <v>0</v>
      </c>
      <c r="BC656" s="474" t="s">
        <v>260</v>
      </c>
      <c r="BD656" s="475"/>
      <c r="BE656" s="14"/>
      <c r="BF656" s="17"/>
      <c r="BG656" s="14"/>
      <c r="BH656" s="17"/>
      <c r="BI656" s="14"/>
      <c r="BJ656" s="17"/>
      <c r="BK656" s="14"/>
      <c r="BL656" s="17"/>
      <c r="BM656" s="14"/>
      <c r="BN656" s="17"/>
      <c r="BO656" s="14"/>
      <c r="BP656" s="17"/>
      <c r="BQ656" s="107">
        <f t="shared" si="1140"/>
        <v>0</v>
      </c>
      <c r="BR656" s="567"/>
      <c r="BS656" s="571"/>
      <c r="BT656" s="572"/>
      <c r="BU656" s="558"/>
      <c r="BV656" s="561"/>
      <c r="BW656" s="564"/>
      <c r="BX656" s="616"/>
    </row>
    <row r="657" spans="1:76" ht="15.75" thickBot="1" x14ac:dyDescent="0.3">
      <c r="A657" s="586"/>
      <c r="B657" s="590"/>
      <c r="C657" s="591"/>
      <c r="D657" s="605"/>
      <c r="E657" s="517"/>
      <c r="F657" s="518"/>
      <c r="G657" s="523"/>
      <c r="H657" s="524"/>
      <c r="I657" s="529"/>
      <c r="J657" s="530"/>
      <c r="K657" s="513"/>
      <c r="L657" s="534"/>
      <c r="M657" s="537"/>
      <c r="N657" s="541"/>
      <c r="O657" s="542"/>
      <c r="P657" s="483"/>
      <c r="Q657" s="484"/>
      <c r="R657" s="517"/>
      <c r="S657" s="518"/>
      <c r="T657" s="487"/>
      <c r="U657" s="488"/>
      <c r="V657" s="492"/>
      <c r="W657" s="483"/>
      <c r="X657" s="495"/>
      <c r="Y657" s="484"/>
      <c r="Z657" s="498"/>
      <c r="AA657" s="502"/>
      <c r="AB657" s="503"/>
      <c r="AC657" s="471" t="s">
        <v>259</v>
      </c>
      <c r="AD657" s="472"/>
      <c r="AE657" s="473"/>
      <c r="AF657" s="100"/>
      <c r="AG657" s="100"/>
      <c r="AH657" s="100"/>
      <c r="AI657" s="100"/>
      <c r="AJ657" s="100"/>
      <c r="AK657" s="100"/>
      <c r="AL657" s="100"/>
      <c r="AM657" s="100"/>
      <c r="AN657" s="100"/>
      <c r="AO657" s="100"/>
      <c r="AP657" s="100"/>
      <c r="AQ657" s="101"/>
      <c r="AR657" s="104">
        <f t="shared" ref="AR657:AR658" si="1213">SUM(AF657:AQ657)</f>
        <v>0</v>
      </c>
      <c r="AS657" s="128" t="s">
        <v>261</v>
      </c>
      <c r="AT657" s="129"/>
      <c r="AU657" s="129"/>
      <c r="AV657" s="129"/>
      <c r="AW657" s="130"/>
      <c r="AX657" s="126">
        <f t="shared" si="1211"/>
        <v>0</v>
      </c>
      <c r="AY657" s="143" t="s">
        <v>261</v>
      </c>
      <c r="AZ657" s="139"/>
      <c r="BA657" s="139"/>
      <c r="BB657" s="136">
        <f t="shared" si="1212"/>
        <v>0</v>
      </c>
      <c r="BC657" s="474" t="s">
        <v>262</v>
      </c>
      <c r="BD657" s="475"/>
      <c r="BE657" s="14"/>
      <c r="BF657" s="17"/>
      <c r="BG657" s="14"/>
      <c r="BH657" s="17"/>
      <c r="BI657" s="14"/>
      <c r="BJ657" s="17"/>
      <c r="BK657" s="14"/>
      <c r="BL657" s="17"/>
      <c r="BM657" s="14"/>
      <c r="BN657" s="17"/>
      <c r="BO657" s="14"/>
      <c r="BP657" s="17"/>
      <c r="BQ657" s="108">
        <f t="shared" si="1140"/>
        <v>0</v>
      </c>
      <c r="BR657" s="567"/>
      <c r="BS657" s="571"/>
      <c r="BT657" s="572"/>
      <c r="BU657" s="558"/>
      <c r="BV657" s="561"/>
      <c r="BW657" s="564"/>
      <c r="BX657" s="616"/>
    </row>
    <row r="658" spans="1:76" ht="15.75" thickBot="1" x14ac:dyDescent="0.3">
      <c r="A658" s="587"/>
      <c r="B658" s="592"/>
      <c r="C658" s="593"/>
      <c r="D658" s="606"/>
      <c r="E658" s="519"/>
      <c r="F658" s="520"/>
      <c r="G658" s="525"/>
      <c r="H658" s="526"/>
      <c r="I658" s="531"/>
      <c r="J658" s="532"/>
      <c r="K658" s="514"/>
      <c r="L658" s="535"/>
      <c r="M658" s="538"/>
      <c r="N658" s="543"/>
      <c r="O658" s="544"/>
      <c r="P658" s="485"/>
      <c r="Q658" s="486"/>
      <c r="R658" s="519"/>
      <c r="S658" s="520"/>
      <c r="T658" s="489"/>
      <c r="U658" s="490"/>
      <c r="V658" s="493"/>
      <c r="W658" s="485"/>
      <c r="X658" s="496"/>
      <c r="Y658" s="486"/>
      <c r="Z658" s="499"/>
      <c r="AA658" s="504"/>
      <c r="AB658" s="505"/>
      <c r="AC658" s="476" t="s">
        <v>261</v>
      </c>
      <c r="AD658" s="477"/>
      <c r="AE658" s="478"/>
      <c r="AF658" s="102"/>
      <c r="AG658" s="102"/>
      <c r="AH658" s="102"/>
      <c r="AI658" s="102"/>
      <c r="AJ658" s="102"/>
      <c r="AK658" s="102"/>
      <c r="AL658" s="102"/>
      <c r="AM658" s="102"/>
      <c r="AN658" s="102"/>
      <c r="AO658" s="102"/>
      <c r="AP658" s="102"/>
      <c r="AQ658" s="103"/>
      <c r="AR658" s="105">
        <f t="shared" si="1213"/>
        <v>0</v>
      </c>
      <c r="AS658" s="131" t="s">
        <v>161</v>
      </c>
      <c r="AT658" s="132">
        <f t="shared" ref="AT658:AX658" si="1214">SUM(AT655:AT657)</f>
        <v>0</v>
      </c>
      <c r="AU658" s="132">
        <f t="shared" si="1214"/>
        <v>0</v>
      </c>
      <c r="AV658" s="132">
        <f t="shared" si="1214"/>
        <v>0</v>
      </c>
      <c r="AW658" s="133">
        <f t="shared" si="1214"/>
        <v>0</v>
      </c>
      <c r="AX658" s="127">
        <f t="shared" si="1214"/>
        <v>0</v>
      </c>
      <c r="AY658" s="144" t="s">
        <v>161</v>
      </c>
      <c r="AZ658" s="140">
        <f t="shared" ref="AZ658:BB658" si="1215">SUM(AZ655:AZ657)</f>
        <v>0</v>
      </c>
      <c r="BA658" s="140">
        <f t="shared" si="1215"/>
        <v>0</v>
      </c>
      <c r="BB658" s="140">
        <f t="shared" si="1215"/>
        <v>0</v>
      </c>
      <c r="BC658" s="479" t="s">
        <v>263</v>
      </c>
      <c r="BD658" s="480"/>
      <c r="BE658" s="15"/>
      <c r="BF658" s="18"/>
      <c r="BG658" s="15"/>
      <c r="BH658" s="18"/>
      <c r="BI658" s="15"/>
      <c r="BJ658" s="18"/>
      <c r="BK658" s="15"/>
      <c r="BL658" s="18"/>
      <c r="BM658" s="15"/>
      <c r="BN658" s="18"/>
      <c r="BO658" s="15"/>
      <c r="BP658" s="18"/>
      <c r="BQ658" s="109">
        <f t="shared" si="1140"/>
        <v>0</v>
      </c>
      <c r="BR658" s="568"/>
      <c r="BS658" s="573"/>
      <c r="BT658" s="574"/>
      <c r="BU658" s="559"/>
      <c r="BV658" s="562"/>
      <c r="BW658" s="565"/>
      <c r="BX658" s="617"/>
    </row>
    <row r="659" spans="1:76" ht="15.75" thickTop="1" x14ac:dyDescent="0.25">
      <c r="A659" s="585">
        <v>163</v>
      </c>
      <c r="B659" s="588"/>
      <c r="C659" s="589"/>
      <c r="D659" s="604"/>
      <c r="E659" s="515"/>
      <c r="F659" s="516"/>
      <c r="G659" s="521"/>
      <c r="H659" s="522"/>
      <c r="I659" s="527"/>
      <c r="J659" s="528"/>
      <c r="K659" s="512" t="e">
        <f t="shared" ref="K659" si="1216">INT(YEARFRAC(I659,AA659))</f>
        <v>#VALUE!</v>
      </c>
      <c r="L659" s="533">
        <f t="shared" ref="L659" ca="1" si="1217">INT(YEARFRAC(I659,TODAY()))</f>
        <v>121</v>
      </c>
      <c r="M659" s="536"/>
      <c r="N659" s="539"/>
      <c r="O659" s="540"/>
      <c r="P659" s="481"/>
      <c r="Q659" s="482"/>
      <c r="R659" s="515"/>
      <c r="S659" s="516"/>
      <c r="T659" s="487"/>
      <c r="U659" s="488"/>
      <c r="V659" s="491"/>
      <c r="W659" s="481"/>
      <c r="X659" s="494"/>
      <c r="Y659" s="482"/>
      <c r="Z659" s="497"/>
      <c r="AA659" s="500" t="s">
        <v>404</v>
      </c>
      <c r="AB659" s="501"/>
      <c r="AC659" s="506" t="s">
        <v>257</v>
      </c>
      <c r="AD659" s="507"/>
      <c r="AE659" s="507"/>
      <c r="AF659" s="510"/>
      <c r="AG659" s="510"/>
      <c r="AH659" s="510"/>
      <c r="AI659" s="510"/>
      <c r="AJ659" s="510"/>
      <c r="AK659" s="510"/>
      <c r="AL659" s="510"/>
      <c r="AM659" s="510"/>
      <c r="AN659" s="510"/>
      <c r="AO659" s="510"/>
      <c r="AP659" s="510"/>
      <c r="AQ659" s="465"/>
      <c r="AR659" s="467">
        <f t="shared" ref="AR659" si="1218">SUM(AF659:AQ660)</f>
        <v>0</v>
      </c>
      <c r="AS659" s="119" t="s">
        <v>257</v>
      </c>
      <c r="AT659" s="120"/>
      <c r="AU659" s="120"/>
      <c r="AV659" s="120"/>
      <c r="AW659" s="121"/>
      <c r="AX659" s="125">
        <f t="shared" ref="AX659:AX661" si="1219">SUM(AT659:AW659)</f>
        <v>0</v>
      </c>
      <c r="AY659" s="141" t="s">
        <v>257</v>
      </c>
      <c r="AZ659" s="137"/>
      <c r="BA659" s="137"/>
      <c r="BB659" s="134">
        <f t="shared" ref="BB659:BB661" si="1220">AZ659-BA659</f>
        <v>0</v>
      </c>
      <c r="BC659" s="469" t="s">
        <v>258</v>
      </c>
      <c r="BD659" s="470"/>
      <c r="BE659" s="13"/>
      <c r="BF659" s="16"/>
      <c r="BG659" s="13"/>
      <c r="BH659" s="16"/>
      <c r="BI659" s="13"/>
      <c r="BJ659" s="16"/>
      <c r="BK659" s="13"/>
      <c r="BL659" s="16"/>
      <c r="BM659" s="13"/>
      <c r="BN659" s="16"/>
      <c r="BO659" s="13"/>
      <c r="BP659" s="16"/>
      <c r="BQ659" s="106">
        <f t="shared" si="1140"/>
        <v>0</v>
      </c>
      <c r="BR659" s="566"/>
      <c r="BS659" s="569"/>
      <c r="BT659" s="570"/>
      <c r="BU659" s="557"/>
      <c r="BV659" s="560"/>
      <c r="BW659" s="563"/>
      <c r="BX659" s="615"/>
    </row>
    <row r="660" spans="1:76" x14ac:dyDescent="0.25">
      <c r="A660" s="586"/>
      <c r="B660" s="590"/>
      <c r="C660" s="591"/>
      <c r="D660" s="605"/>
      <c r="E660" s="517"/>
      <c r="F660" s="518"/>
      <c r="G660" s="523"/>
      <c r="H660" s="524"/>
      <c r="I660" s="529"/>
      <c r="J660" s="530"/>
      <c r="K660" s="513"/>
      <c r="L660" s="534"/>
      <c r="M660" s="537"/>
      <c r="N660" s="541"/>
      <c r="O660" s="542"/>
      <c r="P660" s="483"/>
      <c r="Q660" s="484"/>
      <c r="R660" s="517"/>
      <c r="S660" s="518"/>
      <c r="T660" s="487"/>
      <c r="U660" s="488"/>
      <c r="V660" s="492"/>
      <c r="W660" s="483"/>
      <c r="X660" s="495"/>
      <c r="Y660" s="484"/>
      <c r="Z660" s="498"/>
      <c r="AA660" s="502"/>
      <c r="AB660" s="503"/>
      <c r="AC660" s="508"/>
      <c r="AD660" s="509"/>
      <c r="AE660" s="509"/>
      <c r="AF660" s="511"/>
      <c r="AG660" s="511"/>
      <c r="AH660" s="511"/>
      <c r="AI660" s="511"/>
      <c r="AJ660" s="511"/>
      <c r="AK660" s="511"/>
      <c r="AL660" s="511"/>
      <c r="AM660" s="511"/>
      <c r="AN660" s="511"/>
      <c r="AO660" s="511"/>
      <c r="AP660" s="511"/>
      <c r="AQ660" s="466"/>
      <c r="AR660" s="468"/>
      <c r="AS660" s="122" t="s">
        <v>259</v>
      </c>
      <c r="AT660" s="123"/>
      <c r="AU660" s="123"/>
      <c r="AV660" s="123"/>
      <c r="AW660" s="124"/>
      <c r="AX660" s="126">
        <f t="shared" si="1219"/>
        <v>0</v>
      </c>
      <c r="AY660" s="142" t="s">
        <v>259</v>
      </c>
      <c r="AZ660" s="138"/>
      <c r="BA660" s="138"/>
      <c r="BB660" s="135">
        <f t="shared" si="1220"/>
        <v>0</v>
      </c>
      <c r="BC660" s="474" t="s">
        <v>260</v>
      </c>
      <c r="BD660" s="475"/>
      <c r="BE660" s="14"/>
      <c r="BF660" s="17"/>
      <c r="BG660" s="14"/>
      <c r="BH660" s="17"/>
      <c r="BI660" s="14"/>
      <c r="BJ660" s="17"/>
      <c r="BK660" s="14"/>
      <c r="BL660" s="17"/>
      <c r="BM660" s="14"/>
      <c r="BN660" s="17"/>
      <c r="BO660" s="14"/>
      <c r="BP660" s="17"/>
      <c r="BQ660" s="107">
        <f t="shared" si="1140"/>
        <v>0</v>
      </c>
      <c r="BR660" s="567"/>
      <c r="BS660" s="571"/>
      <c r="BT660" s="572"/>
      <c r="BU660" s="558"/>
      <c r="BV660" s="561"/>
      <c r="BW660" s="564"/>
      <c r="BX660" s="616"/>
    </row>
    <row r="661" spans="1:76" ht="15.75" thickBot="1" x14ac:dyDescent="0.3">
      <c r="A661" s="586"/>
      <c r="B661" s="590"/>
      <c r="C661" s="591"/>
      <c r="D661" s="605"/>
      <c r="E661" s="517"/>
      <c r="F661" s="518"/>
      <c r="G661" s="523"/>
      <c r="H661" s="524"/>
      <c r="I661" s="529"/>
      <c r="J661" s="530"/>
      <c r="K661" s="513"/>
      <c r="L661" s="534"/>
      <c r="M661" s="537"/>
      <c r="N661" s="541"/>
      <c r="O661" s="542"/>
      <c r="P661" s="483"/>
      <c r="Q661" s="484"/>
      <c r="R661" s="517"/>
      <c r="S661" s="518"/>
      <c r="T661" s="487"/>
      <c r="U661" s="488"/>
      <c r="V661" s="492"/>
      <c r="W661" s="483"/>
      <c r="X661" s="495"/>
      <c r="Y661" s="484"/>
      <c r="Z661" s="498"/>
      <c r="AA661" s="502"/>
      <c r="AB661" s="503"/>
      <c r="AC661" s="471" t="s">
        <v>259</v>
      </c>
      <c r="AD661" s="472"/>
      <c r="AE661" s="473"/>
      <c r="AF661" s="100"/>
      <c r="AG661" s="100"/>
      <c r="AH661" s="100"/>
      <c r="AI661" s="100"/>
      <c r="AJ661" s="100"/>
      <c r="AK661" s="100"/>
      <c r="AL661" s="100"/>
      <c r="AM661" s="100"/>
      <c r="AN661" s="100"/>
      <c r="AO661" s="100"/>
      <c r="AP661" s="100"/>
      <c r="AQ661" s="101"/>
      <c r="AR661" s="104">
        <f t="shared" ref="AR661:AR662" si="1221">SUM(AF661:AQ661)</f>
        <v>0</v>
      </c>
      <c r="AS661" s="128" t="s">
        <v>261</v>
      </c>
      <c r="AT661" s="129"/>
      <c r="AU661" s="129"/>
      <c r="AV661" s="129"/>
      <c r="AW661" s="130"/>
      <c r="AX661" s="126">
        <f t="shared" si="1219"/>
        <v>0</v>
      </c>
      <c r="AY661" s="143" t="s">
        <v>261</v>
      </c>
      <c r="AZ661" s="139"/>
      <c r="BA661" s="139"/>
      <c r="BB661" s="136">
        <f t="shared" si="1220"/>
        <v>0</v>
      </c>
      <c r="BC661" s="474" t="s">
        <v>262</v>
      </c>
      <c r="BD661" s="475"/>
      <c r="BE661" s="14"/>
      <c r="BF661" s="17"/>
      <c r="BG661" s="14"/>
      <c r="BH661" s="17"/>
      <c r="BI661" s="14"/>
      <c r="BJ661" s="17"/>
      <c r="BK661" s="14"/>
      <c r="BL661" s="17"/>
      <c r="BM661" s="14"/>
      <c r="BN661" s="17"/>
      <c r="BO661" s="14"/>
      <c r="BP661" s="17"/>
      <c r="BQ661" s="108">
        <f t="shared" si="1140"/>
        <v>0</v>
      </c>
      <c r="BR661" s="567"/>
      <c r="BS661" s="571"/>
      <c r="BT661" s="572"/>
      <c r="BU661" s="558"/>
      <c r="BV661" s="561"/>
      <c r="BW661" s="564"/>
      <c r="BX661" s="616"/>
    </row>
    <row r="662" spans="1:76" ht="15.75" thickBot="1" x14ac:dyDescent="0.3">
      <c r="A662" s="587"/>
      <c r="B662" s="592"/>
      <c r="C662" s="593"/>
      <c r="D662" s="606"/>
      <c r="E662" s="519"/>
      <c r="F662" s="520"/>
      <c r="G662" s="525"/>
      <c r="H662" s="526"/>
      <c r="I662" s="531"/>
      <c r="J662" s="532"/>
      <c r="K662" s="514"/>
      <c r="L662" s="535"/>
      <c r="M662" s="538"/>
      <c r="N662" s="543"/>
      <c r="O662" s="544"/>
      <c r="P662" s="485"/>
      <c r="Q662" s="486"/>
      <c r="R662" s="519"/>
      <c r="S662" s="520"/>
      <c r="T662" s="489"/>
      <c r="U662" s="490"/>
      <c r="V662" s="493"/>
      <c r="W662" s="485"/>
      <c r="X662" s="496"/>
      <c r="Y662" s="486"/>
      <c r="Z662" s="499"/>
      <c r="AA662" s="504"/>
      <c r="AB662" s="505"/>
      <c r="AC662" s="476" t="s">
        <v>261</v>
      </c>
      <c r="AD662" s="477"/>
      <c r="AE662" s="478"/>
      <c r="AF662" s="102"/>
      <c r="AG662" s="102"/>
      <c r="AH662" s="102"/>
      <c r="AI662" s="102"/>
      <c r="AJ662" s="102"/>
      <c r="AK662" s="102"/>
      <c r="AL662" s="102"/>
      <c r="AM662" s="102"/>
      <c r="AN662" s="102"/>
      <c r="AO662" s="102"/>
      <c r="AP662" s="102"/>
      <c r="AQ662" s="103"/>
      <c r="AR662" s="105">
        <f t="shared" si="1221"/>
        <v>0</v>
      </c>
      <c r="AS662" s="131" t="s">
        <v>161</v>
      </c>
      <c r="AT662" s="132">
        <f t="shared" ref="AT662:AX662" si="1222">SUM(AT659:AT661)</f>
        <v>0</v>
      </c>
      <c r="AU662" s="132">
        <f t="shared" si="1222"/>
        <v>0</v>
      </c>
      <c r="AV662" s="132">
        <f t="shared" si="1222"/>
        <v>0</v>
      </c>
      <c r="AW662" s="133">
        <f t="shared" si="1222"/>
        <v>0</v>
      </c>
      <c r="AX662" s="127">
        <f t="shared" si="1222"/>
        <v>0</v>
      </c>
      <c r="AY662" s="144" t="s">
        <v>161</v>
      </c>
      <c r="AZ662" s="140">
        <f t="shared" ref="AZ662:BB662" si="1223">SUM(AZ659:AZ661)</f>
        <v>0</v>
      </c>
      <c r="BA662" s="140">
        <f t="shared" si="1223"/>
        <v>0</v>
      </c>
      <c r="BB662" s="140">
        <f t="shared" si="1223"/>
        <v>0</v>
      </c>
      <c r="BC662" s="479" t="s">
        <v>263</v>
      </c>
      <c r="BD662" s="480"/>
      <c r="BE662" s="15"/>
      <c r="BF662" s="18"/>
      <c r="BG662" s="15"/>
      <c r="BH662" s="18"/>
      <c r="BI662" s="15"/>
      <c r="BJ662" s="18"/>
      <c r="BK662" s="15"/>
      <c r="BL662" s="18"/>
      <c r="BM662" s="15"/>
      <c r="BN662" s="18"/>
      <c r="BO662" s="15"/>
      <c r="BP662" s="18"/>
      <c r="BQ662" s="109">
        <f t="shared" si="1140"/>
        <v>0</v>
      </c>
      <c r="BR662" s="568"/>
      <c r="BS662" s="573"/>
      <c r="BT662" s="574"/>
      <c r="BU662" s="559"/>
      <c r="BV662" s="562"/>
      <c r="BW662" s="565"/>
      <c r="BX662" s="617"/>
    </row>
    <row r="663" spans="1:76" ht="15.75" thickTop="1" x14ac:dyDescent="0.25">
      <c r="A663" s="585">
        <v>164</v>
      </c>
      <c r="B663" s="588"/>
      <c r="C663" s="589"/>
      <c r="D663" s="604"/>
      <c r="E663" s="515"/>
      <c r="F663" s="516"/>
      <c r="G663" s="521"/>
      <c r="H663" s="522"/>
      <c r="I663" s="527"/>
      <c r="J663" s="528"/>
      <c r="K663" s="512" t="e">
        <f t="shared" ref="K663" si="1224">INT(YEARFRAC(I663,AA663))</f>
        <v>#VALUE!</v>
      </c>
      <c r="L663" s="533">
        <f t="shared" ref="L663" ca="1" si="1225">INT(YEARFRAC(I663,TODAY()))</f>
        <v>121</v>
      </c>
      <c r="M663" s="536"/>
      <c r="N663" s="539"/>
      <c r="O663" s="540"/>
      <c r="P663" s="481"/>
      <c r="Q663" s="482"/>
      <c r="R663" s="515"/>
      <c r="S663" s="516"/>
      <c r="T663" s="487"/>
      <c r="U663" s="488"/>
      <c r="V663" s="491"/>
      <c r="W663" s="481"/>
      <c r="X663" s="494"/>
      <c r="Y663" s="482"/>
      <c r="Z663" s="497"/>
      <c r="AA663" s="500" t="s">
        <v>405</v>
      </c>
      <c r="AB663" s="501"/>
      <c r="AC663" s="506" t="s">
        <v>257</v>
      </c>
      <c r="AD663" s="507"/>
      <c r="AE663" s="507"/>
      <c r="AF663" s="510"/>
      <c r="AG663" s="510"/>
      <c r="AH663" s="510"/>
      <c r="AI663" s="510"/>
      <c r="AJ663" s="510"/>
      <c r="AK663" s="510"/>
      <c r="AL663" s="510"/>
      <c r="AM663" s="510"/>
      <c r="AN663" s="510"/>
      <c r="AO663" s="510"/>
      <c r="AP663" s="510"/>
      <c r="AQ663" s="465"/>
      <c r="AR663" s="467">
        <f t="shared" ref="AR663" si="1226">SUM(AF663:AQ664)</f>
        <v>0</v>
      </c>
      <c r="AS663" s="119" t="s">
        <v>257</v>
      </c>
      <c r="AT663" s="120"/>
      <c r="AU663" s="120"/>
      <c r="AV663" s="120"/>
      <c r="AW663" s="121"/>
      <c r="AX663" s="125">
        <f t="shared" ref="AX663:AX665" si="1227">SUM(AT663:AW663)</f>
        <v>0</v>
      </c>
      <c r="AY663" s="141" t="s">
        <v>257</v>
      </c>
      <c r="AZ663" s="137"/>
      <c r="BA663" s="137"/>
      <c r="BB663" s="134">
        <f t="shared" ref="BB663:BB665" si="1228">AZ663-BA663</f>
        <v>0</v>
      </c>
      <c r="BC663" s="469" t="s">
        <v>258</v>
      </c>
      <c r="BD663" s="470"/>
      <c r="BE663" s="13"/>
      <c r="BF663" s="16"/>
      <c r="BG663" s="13"/>
      <c r="BH663" s="16"/>
      <c r="BI663" s="13"/>
      <c r="BJ663" s="16"/>
      <c r="BK663" s="13"/>
      <c r="BL663" s="16"/>
      <c r="BM663" s="13"/>
      <c r="BN663" s="16"/>
      <c r="BO663" s="13"/>
      <c r="BP663" s="16"/>
      <c r="BQ663" s="106">
        <f t="shared" si="1140"/>
        <v>0</v>
      </c>
      <c r="BR663" s="566"/>
      <c r="BS663" s="569"/>
      <c r="BT663" s="570"/>
      <c r="BU663" s="557"/>
      <c r="BV663" s="560"/>
      <c r="BW663" s="563"/>
      <c r="BX663" s="615"/>
    </row>
    <row r="664" spans="1:76" x14ac:dyDescent="0.25">
      <c r="A664" s="586"/>
      <c r="B664" s="590"/>
      <c r="C664" s="591"/>
      <c r="D664" s="605"/>
      <c r="E664" s="517"/>
      <c r="F664" s="518"/>
      <c r="G664" s="523"/>
      <c r="H664" s="524"/>
      <c r="I664" s="529"/>
      <c r="J664" s="530"/>
      <c r="K664" s="513"/>
      <c r="L664" s="534"/>
      <c r="M664" s="537"/>
      <c r="N664" s="541"/>
      <c r="O664" s="542"/>
      <c r="P664" s="483"/>
      <c r="Q664" s="484"/>
      <c r="R664" s="517"/>
      <c r="S664" s="518"/>
      <c r="T664" s="487"/>
      <c r="U664" s="488"/>
      <c r="V664" s="492"/>
      <c r="W664" s="483"/>
      <c r="X664" s="495"/>
      <c r="Y664" s="484"/>
      <c r="Z664" s="498"/>
      <c r="AA664" s="502"/>
      <c r="AB664" s="503"/>
      <c r="AC664" s="508"/>
      <c r="AD664" s="509"/>
      <c r="AE664" s="509"/>
      <c r="AF664" s="511"/>
      <c r="AG664" s="511"/>
      <c r="AH664" s="511"/>
      <c r="AI664" s="511"/>
      <c r="AJ664" s="511"/>
      <c r="AK664" s="511"/>
      <c r="AL664" s="511"/>
      <c r="AM664" s="511"/>
      <c r="AN664" s="511"/>
      <c r="AO664" s="511"/>
      <c r="AP664" s="511"/>
      <c r="AQ664" s="466"/>
      <c r="AR664" s="468"/>
      <c r="AS664" s="122" t="s">
        <v>259</v>
      </c>
      <c r="AT664" s="123"/>
      <c r="AU664" s="123"/>
      <c r="AV664" s="123"/>
      <c r="AW664" s="124"/>
      <c r="AX664" s="126">
        <f t="shared" si="1227"/>
        <v>0</v>
      </c>
      <c r="AY664" s="142" t="s">
        <v>259</v>
      </c>
      <c r="AZ664" s="138"/>
      <c r="BA664" s="138"/>
      <c r="BB664" s="135">
        <f t="shared" si="1228"/>
        <v>0</v>
      </c>
      <c r="BC664" s="474" t="s">
        <v>260</v>
      </c>
      <c r="BD664" s="475"/>
      <c r="BE664" s="14"/>
      <c r="BF664" s="17"/>
      <c r="BG664" s="14"/>
      <c r="BH664" s="17"/>
      <c r="BI664" s="14"/>
      <c r="BJ664" s="17"/>
      <c r="BK664" s="14"/>
      <c r="BL664" s="17"/>
      <c r="BM664" s="14"/>
      <c r="BN664" s="17"/>
      <c r="BO664" s="14"/>
      <c r="BP664" s="17"/>
      <c r="BQ664" s="107">
        <f t="shared" si="1140"/>
        <v>0</v>
      </c>
      <c r="BR664" s="567"/>
      <c r="BS664" s="571"/>
      <c r="BT664" s="572"/>
      <c r="BU664" s="558"/>
      <c r="BV664" s="561"/>
      <c r="BW664" s="564"/>
      <c r="BX664" s="616"/>
    </row>
    <row r="665" spans="1:76" ht="15.75" thickBot="1" x14ac:dyDescent="0.3">
      <c r="A665" s="586"/>
      <c r="B665" s="590"/>
      <c r="C665" s="591"/>
      <c r="D665" s="605"/>
      <c r="E665" s="517"/>
      <c r="F665" s="518"/>
      <c r="G665" s="523"/>
      <c r="H665" s="524"/>
      <c r="I665" s="529"/>
      <c r="J665" s="530"/>
      <c r="K665" s="513"/>
      <c r="L665" s="534"/>
      <c r="M665" s="537"/>
      <c r="N665" s="541"/>
      <c r="O665" s="542"/>
      <c r="P665" s="483"/>
      <c r="Q665" s="484"/>
      <c r="R665" s="517"/>
      <c r="S665" s="518"/>
      <c r="T665" s="487"/>
      <c r="U665" s="488"/>
      <c r="V665" s="492"/>
      <c r="W665" s="483"/>
      <c r="X665" s="495"/>
      <c r="Y665" s="484"/>
      <c r="Z665" s="498"/>
      <c r="AA665" s="502"/>
      <c r="AB665" s="503"/>
      <c r="AC665" s="471" t="s">
        <v>259</v>
      </c>
      <c r="AD665" s="472"/>
      <c r="AE665" s="473"/>
      <c r="AF665" s="100"/>
      <c r="AG665" s="100"/>
      <c r="AH665" s="100"/>
      <c r="AI665" s="100"/>
      <c r="AJ665" s="100"/>
      <c r="AK665" s="100"/>
      <c r="AL665" s="100"/>
      <c r="AM665" s="100"/>
      <c r="AN665" s="100"/>
      <c r="AO665" s="100"/>
      <c r="AP665" s="100"/>
      <c r="AQ665" s="101"/>
      <c r="AR665" s="104">
        <f t="shared" ref="AR665:AR666" si="1229">SUM(AF665:AQ665)</f>
        <v>0</v>
      </c>
      <c r="AS665" s="128" t="s">
        <v>261</v>
      </c>
      <c r="AT665" s="129"/>
      <c r="AU665" s="129"/>
      <c r="AV665" s="129"/>
      <c r="AW665" s="130"/>
      <c r="AX665" s="126">
        <f t="shared" si="1227"/>
        <v>0</v>
      </c>
      <c r="AY665" s="143" t="s">
        <v>261</v>
      </c>
      <c r="AZ665" s="139"/>
      <c r="BA665" s="139"/>
      <c r="BB665" s="136">
        <f t="shared" si="1228"/>
        <v>0</v>
      </c>
      <c r="BC665" s="474" t="s">
        <v>262</v>
      </c>
      <c r="BD665" s="475"/>
      <c r="BE665" s="14"/>
      <c r="BF665" s="17"/>
      <c r="BG665" s="14"/>
      <c r="BH665" s="17"/>
      <c r="BI665" s="14"/>
      <c r="BJ665" s="17"/>
      <c r="BK665" s="14"/>
      <c r="BL665" s="17"/>
      <c r="BM665" s="14"/>
      <c r="BN665" s="17"/>
      <c r="BO665" s="14"/>
      <c r="BP665" s="17"/>
      <c r="BQ665" s="108">
        <f t="shared" si="1140"/>
        <v>0</v>
      </c>
      <c r="BR665" s="567"/>
      <c r="BS665" s="571"/>
      <c r="BT665" s="572"/>
      <c r="BU665" s="558"/>
      <c r="BV665" s="561"/>
      <c r="BW665" s="564"/>
      <c r="BX665" s="616"/>
    </row>
    <row r="666" spans="1:76" ht="15.75" thickBot="1" x14ac:dyDescent="0.3">
      <c r="A666" s="587"/>
      <c r="B666" s="592"/>
      <c r="C666" s="593"/>
      <c r="D666" s="606"/>
      <c r="E666" s="519"/>
      <c r="F666" s="520"/>
      <c r="G666" s="525"/>
      <c r="H666" s="526"/>
      <c r="I666" s="531"/>
      <c r="J666" s="532"/>
      <c r="K666" s="514"/>
      <c r="L666" s="535"/>
      <c r="M666" s="538"/>
      <c r="N666" s="543"/>
      <c r="O666" s="544"/>
      <c r="P666" s="485"/>
      <c r="Q666" s="486"/>
      <c r="R666" s="519"/>
      <c r="S666" s="520"/>
      <c r="T666" s="489"/>
      <c r="U666" s="490"/>
      <c r="V666" s="493"/>
      <c r="W666" s="485"/>
      <c r="X666" s="496"/>
      <c r="Y666" s="486"/>
      <c r="Z666" s="499"/>
      <c r="AA666" s="504"/>
      <c r="AB666" s="505"/>
      <c r="AC666" s="476" t="s">
        <v>261</v>
      </c>
      <c r="AD666" s="477"/>
      <c r="AE666" s="478"/>
      <c r="AF666" s="102"/>
      <c r="AG666" s="102"/>
      <c r="AH666" s="102"/>
      <c r="AI666" s="102"/>
      <c r="AJ666" s="102"/>
      <c r="AK666" s="102"/>
      <c r="AL666" s="102"/>
      <c r="AM666" s="102"/>
      <c r="AN666" s="102"/>
      <c r="AO666" s="102"/>
      <c r="AP666" s="102"/>
      <c r="AQ666" s="103"/>
      <c r="AR666" s="105">
        <f t="shared" si="1229"/>
        <v>0</v>
      </c>
      <c r="AS666" s="131" t="s">
        <v>161</v>
      </c>
      <c r="AT666" s="132">
        <f t="shared" ref="AT666:AX666" si="1230">SUM(AT663:AT665)</f>
        <v>0</v>
      </c>
      <c r="AU666" s="132">
        <f t="shared" si="1230"/>
        <v>0</v>
      </c>
      <c r="AV666" s="132">
        <f t="shared" si="1230"/>
        <v>0</v>
      </c>
      <c r="AW666" s="133">
        <f t="shared" si="1230"/>
        <v>0</v>
      </c>
      <c r="AX666" s="127">
        <f t="shared" si="1230"/>
        <v>0</v>
      </c>
      <c r="AY666" s="144" t="s">
        <v>161</v>
      </c>
      <c r="AZ666" s="140">
        <f t="shared" ref="AZ666:BB666" si="1231">SUM(AZ663:AZ665)</f>
        <v>0</v>
      </c>
      <c r="BA666" s="140">
        <f t="shared" si="1231"/>
        <v>0</v>
      </c>
      <c r="BB666" s="140">
        <f t="shared" si="1231"/>
        <v>0</v>
      </c>
      <c r="BC666" s="479" t="s">
        <v>263</v>
      </c>
      <c r="BD666" s="480"/>
      <c r="BE666" s="15"/>
      <c r="BF666" s="18"/>
      <c r="BG666" s="15"/>
      <c r="BH666" s="18"/>
      <c r="BI666" s="15"/>
      <c r="BJ666" s="18"/>
      <c r="BK666" s="15"/>
      <c r="BL666" s="18"/>
      <c r="BM666" s="15"/>
      <c r="BN666" s="18"/>
      <c r="BO666" s="15"/>
      <c r="BP666" s="18"/>
      <c r="BQ666" s="109">
        <f t="shared" si="1140"/>
        <v>0</v>
      </c>
      <c r="BR666" s="568"/>
      <c r="BS666" s="573"/>
      <c r="BT666" s="574"/>
      <c r="BU666" s="559"/>
      <c r="BV666" s="562"/>
      <c r="BW666" s="565"/>
      <c r="BX666" s="617"/>
    </row>
    <row r="667" spans="1:76" ht="15.75" thickTop="1" x14ac:dyDescent="0.25">
      <c r="A667" s="585">
        <v>165</v>
      </c>
      <c r="B667" s="588"/>
      <c r="C667" s="589"/>
      <c r="D667" s="604"/>
      <c r="E667" s="515"/>
      <c r="F667" s="516"/>
      <c r="G667" s="521"/>
      <c r="H667" s="522"/>
      <c r="I667" s="527"/>
      <c r="J667" s="528"/>
      <c r="K667" s="512" t="e">
        <f t="shared" ref="K667" si="1232">INT(YEARFRAC(I667,AA667))</f>
        <v>#VALUE!</v>
      </c>
      <c r="L667" s="533">
        <f t="shared" ref="L667" ca="1" si="1233">INT(YEARFRAC(I667,TODAY()))</f>
        <v>121</v>
      </c>
      <c r="M667" s="536"/>
      <c r="N667" s="539"/>
      <c r="O667" s="540"/>
      <c r="P667" s="481"/>
      <c r="Q667" s="482"/>
      <c r="R667" s="515"/>
      <c r="S667" s="516"/>
      <c r="T667" s="487"/>
      <c r="U667" s="488"/>
      <c r="V667" s="491"/>
      <c r="W667" s="481"/>
      <c r="X667" s="494"/>
      <c r="Y667" s="482"/>
      <c r="Z667" s="497"/>
      <c r="AA667" s="500" t="s">
        <v>406</v>
      </c>
      <c r="AB667" s="501"/>
      <c r="AC667" s="506" t="s">
        <v>257</v>
      </c>
      <c r="AD667" s="507"/>
      <c r="AE667" s="507"/>
      <c r="AF667" s="510"/>
      <c r="AG667" s="510"/>
      <c r="AH667" s="510"/>
      <c r="AI667" s="510"/>
      <c r="AJ667" s="510"/>
      <c r="AK667" s="510"/>
      <c r="AL667" s="510"/>
      <c r="AM667" s="510"/>
      <c r="AN667" s="510"/>
      <c r="AO667" s="510"/>
      <c r="AP667" s="510"/>
      <c r="AQ667" s="465"/>
      <c r="AR667" s="467">
        <f t="shared" ref="AR667" si="1234">SUM(AF667:AQ668)</f>
        <v>0</v>
      </c>
      <c r="AS667" s="119" t="s">
        <v>257</v>
      </c>
      <c r="AT667" s="120"/>
      <c r="AU667" s="120"/>
      <c r="AV667" s="120"/>
      <c r="AW667" s="121"/>
      <c r="AX667" s="125">
        <f t="shared" ref="AX667:AX669" si="1235">SUM(AT667:AW667)</f>
        <v>0</v>
      </c>
      <c r="AY667" s="141" t="s">
        <v>257</v>
      </c>
      <c r="AZ667" s="137"/>
      <c r="BA667" s="137"/>
      <c r="BB667" s="134">
        <f t="shared" ref="BB667:BB669" si="1236">AZ667-BA667</f>
        <v>0</v>
      </c>
      <c r="BC667" s="469" t="s">
        <v>258</v>
      </c>
      <c r="BD667" s="470"/>
      <c r="BE667" s="13"/>
      <c r="BF667" s="16"/>
      <c r="BG667" s="13"/>
      <c r="BH667" s="16"/>
      <c r="BI667" s="13"/>
      <c r="BJ667" s="16"/>
      <c r="BK667" s="13"/>
      <c r="BL667" s="16"/>
      <c r="BM667" s="13"/>
      <c r="BN667" s="16"/>
      <c r="BO667" s="13"/>
      <c r="BP667" s="16"/>
      <c r="BQ667" s="106">
        <f t="shared" si="1140"/>
        <v>0</v>
      </c>
      <c r="BR667" s="566"/>
      <c r="BS667" s="569"/>
      <c r="BT667" s="570"/>
      <c r="BU667" s="557"/>
      <c r="BV667" s="560"/>
      <c r="BW667" s="563"/>
      <c r="BX667" s="615"/>
    </row>
    <row r="668" spans="1:76" x14ac:dyDescent="0.25">
      <c r="A668" s="586"/>
      <c r="B668" s="590"/>
      <c r="C668" s="591"/>
      <c r="D668" s="605"/>
      <c r="E668" s="517"/>
      <c r="F668" s="518"/>
      <c r="G668" s="523"/>
      <c r="H668" s="524"/>
      <c r="I668" s="529"/>
      <c r="J668" s="530"/>
      <c r="K668" s="513"/>
      <c r="L668" s="534"/>
      <c r="M668" s="537"/>
      <c r="N668" s="541"/>
      <c r="O668" s="542"/>
      <c r="P668" s="483"/>
      <c r="Q668" s="484"/>
      <c r="R668" s="517"/>
      <c r="S668" s="518"/>
      <c r="T668" s="487"/>
      <c r="U668" s="488"/>
      <c r="V668" s="492"/>
      <c r="W668" s="483"/>
      <c r="X668" s="495"/>
      <c r="Y668" s="484"/>
      <c r="Z668" s="498"/>
      <c r="AA668" s="502"/>
      <c r="AB668" s="503"/>
      <c r="AC668" s="508"/>
      <c r="AD668" s="509"/>
      <c r="AE668" s="509"/>
      <c r="AF668" s="511"/>
      <c r="AG668" s="511"/>
      <c r="AH668" s="511"/>
      <c r="AI668" s="511"/>
      <c r="AJ668" s="511"/>
      <c r="AK668" s="511"/>
      <c r="AL668" s="511"/>
      <c r="AM668" s="511"/>
      <c r="AN668" s="511"/>
      <c r="AO668" s="511"/>
      <c r="AP668" s="511"/>
      <c r="AQ668" s="466"/>
      <c r="AR668" s="468"/>
      <c r="AS668" s="122" t="s">
        <v>259</v>
      </c>
      <c r="AT668" s="123"/>
      <c r="AU668" s="123"/>
      <c r="AV668" s="123"/>
      <c r="AW668" s="124"/>
      <c r="AX668" s="126">
        <f t="shared" si="1235"/>
        <v>0</v>
      </c>
      <c r="AY668" s="142" t="s">
        <v>259</v>
      </c>
      <c r="AZ668" s="138"/>
      <c r="BA668" s="138"/>
      <c r="BB668" s="135">
        <f t="shared" si="1236"/>
        <v>0</v>
      </c>
      <c r="BC668" s="474" t="s">
        <v>260</v>
      </c>
      <c r="BD668" s="475"/>
      <c r="BE668" s="14"/>
      <c r="BF668" s="17"/>
      <c r="BG668" s="14"/>
      <c r="BH668" s="17"/>
      <c r="BI668" s="14"/>
      <c r="BJ668" s="17"/>
      <c r="BK668" s="14"/>
      <c r="BL668" s="17"/>
      <c r="BM668" s="14"/>
      <c r="BN668" s="17"/>
      <c r="BO668" s="14"/>
      <c r="BP668" s="17"/>
      <c r="BQ668" s="107">
        <f t="shared" si="1140"/>
        <v>0</v>
      </c>
      <c r="BR668" s="567"/>
      <c r="BS668" s="571"/>
      <c r="BT668" s="572"/>
      <c r="BU668" s="558"/>
      <c r="BV668" s="561"/>
      <c r="BW668" s="564"/>
      <c r="BX668" s="616"/>
    </row>
    <row r="669" spans="1:76" ht="15.75" thickBot="1" x14ac:dyDescent="0.3">
      <c r="A669" s="586"/>
      <c r="B669" s="590"/>
      <c r="C669" s="591"/>
      <c r="D669" s="605"/>
      <c r="E669" s="517"/>
      <c r="F669" s="518"/>
      <c r="G669" s="523"/>
      <c r="H669" s="524"/>
      <c r="I669" s="529"/>
      <c r="J669" s="530"/>
      <c r="K669" s="513"/>
      <c r="L669" s="534"/>
      <c r="M669" s="537"/>
      <c r="N669" s="541"/>
      <c r="O669" s="542"/>
      <c r="P669" s="483"/>
      <c r="Q669" s="484"/>
      <c r="R669" s="517"/>
      <c r="S669" s="518"/>
      <c r="T669" s="487"/>
      <c r="U669" s="488"/>
      <c r="V669" s="492"/>
      <c r="W669" s="483"/>
      <c r="X669" s="495"/>
      <c r="Y669" s="484"/>
      <c r="Z669" s="498"/>
      <c r="AA669" s="502"/>
      <c r="AB669" s="503"/>
      <c r="AC669" s="471" t="s">
        <v>259</v>
      </c>
      <c r="AD669" s="472"/>
      <c r="AE669" s="473"/>
      <c r="AF669" s="100"/>
      <c r="AG669" s="100"/>
      <c r="AH669" s="100"/>
      <c r="AI669" s="100"/>
      <c r="AJ669" s="100"/>
      <c r="AK669" s="100"/>
      <c r="AL669" s="100"/>
      <c r="AM669" s="100"/>
      <c r="AN669" s="100"/>
      <c r="AO669" s="100"/>
      <c r="AP669" s="100"/>
      <c r="AQ669" s="101"/>
      <c r="AR669" s="104">
        <f t="shared" ref="AR669:AR670" si="1237">SUM(AF669:AQ669)</f>
        <v>0</v>
      </c>
      <c r="AS669" s="128" t="s">
        <v>261</v>
      </c>
      <c r="AT669" s="129"/>
      <c r="AU669" s="129"/>
      <c r="AV669" s="129"/>
      <c r="AW669" s="130"/>
      <c r="AX669" s="126">
        <f t="shared" si="1235"/>
        <v>0</v>
      </c>
      <c r="AY669" s="143" t="s">
        <v>261</v>
      </c>
      <c r="AZ669" s="139"/>
      <c r="BA669" s="139"/>
      <c r="BB669" s="136">
        <f t="shared" si="1236"/>
        <v>0</v>
      </c>
      <c r="BC669" s="474" t="s">
        <v>262</v>
      </c>
      <c r="BD669" s="475"/>
      <c r="BE669" s="14"/>
      <c r="BF669" s="17"/>
      <c r="BG669" s="14"/>
      <c r="BH669" s="17"/>
      <c r="BI669" s="14"/>
      <c r="BJ669" s="17"/>
      <c r="BK669" s="14"/>
      <c r="BL669" s="17"/>
      <c r="BM669" s="14"/>
      <c r="BN669" s="17"/>
      <c r="BO669" s="14"/>
      <c r="BP669" s="17"/>
      <c r="BQ669" s="108">
        <f t="shared" si="1140"/>
        <v>0</v>
      </c>
      <c r="BR669" s="567"/>
      <c r="BS669" s="571"/>
      <c r="BT669" s="572"/>
      <c r="BU669" s="558"/>
      <c r="BV669" s="561"/>
      <c r="BW669" s="564"/>
      <c r="BX669" s="616"/>
    </row>
    <row r="670" spans="1:76" ht="15.75" thickBot="1" x14ac:dyDescent="0.3">
      <c r="A670" s="587"/>
      <c r="B670" s="592"/>
      <c r="C670" s="593"/>
      <c r="D670" s="606"/>
      <c r="E670" s="519"/>
      <c r="F670" s="520"/>
      <c r="G670" s="525"/>
      <c r="H670" s="526"/>
      <c r="I670" s="531"/>
      <c r="J670" s="532"/>
      <c r="K670" s="514"/>
      <c r="L670" s="535"/>
      <c r="M670" s="538"/>
      <c r="N670" s="543"/>
      <c r="O670" s="544"/>
      <c r="P670" s="485"/>
      <c r="Q670" s="486"/>
      <c r="R670" s="519"/>
      <c r="S670" s="520"/>
      <c r="T670" s="489"/>
      <c r="U670" s="490"/>
      <c r="V670" s="493"/>
      <c r="W670" s="485"/>
      <c r="X670" s="496"/>
      <c r="Y670" s="486"/>
      <c r="Z670" s="499"/>
      <c r="AA670" s="504"/>
      <c r="AB670" s="505"/>
      <c r="AC670" s="476" t="s">
        <v>261</v>
      </c>
      <c r="AD670" s="477"/>
      <c r="AE670" s="478"/>
      <c r="AF670" s="102"/>
      <c r="AG670" s="102"/>
      <c r="AH670" s="102"/>
      <c r="AI670" s="102"/>
      <c r="AJ670" s="102"/>
      <c r="AK670" s="102"/>
      <c r="AL670" s="102"/>
      <c r="AM670" s="102"/>
      <c r="AN670" s="102"/>
      <c r="AO670" s="102"/>
      <c r="AP670" s="102"/>
      <c r="AQ670" s="103"/>
      <c r="AR670" s="105">
        <f t="shared" si="1237"/>
        <v>0</v>
      </c>
      <c r="AS670" s="131" t="s">
        <v>161</v>
      </c>
      <c r="AT670" s="132">
        <f t="shared" ref="AT670:AX670" si="1238">SUM(AT667:AT669)</f>
        <v>0</v>
      </c>
      <c r="AU670" s="132">
        <f t="shared" si="1238"/>
        <v>0</v>
      </c>
      <c r="AV670" s="132">
        <f t="shared" si="1238"/>
        <v>0</v>
      </c>
      <c r="AW670" s="133">
        <f t="shared" si="1238"/>
        <v>0</v>
      </c>
      <c r="AX670" s="127">
        <f t="shared" si="1238"/>
        <v>0</v>
      </c>
      <c r="AY670" s="144" t="s">
        <v>161</v>
      </c>
      <c r="AZ670" s="140">
        <f t="shared" ref="AZ670:BB670" si="1239">SUM(AZ667:AZ669)</f>
        <v>0</v>
      </c>
      <c r="BA670" s="140">
        <f t="shared" si="1239"/>
        <v>0</v>
      </c>
      <c r="BB670" s="140">
        <f t="shared" si="1239"/>
        <v>0</v>
      </c>
      <c r="BC670" s="479" t="s">
        <v>263</v>
      </c>
      <c r="BD670" s="480"/>
      <c r="BE670" s="15"/>
      <c r="BF670" s="18"/>
      <c r="BG670" s="15"/>
      <c r="BH670" s="18"/>
      <c r="BI670" s="15"/>
      <c r="BJ670" s="18"/>
      <c r="BK670" s="15"/>
      <c r="BL670" s="18"/>
      <c r="BM670" s="15"/>
      <c r="BN670" s="18"/>
      <c r="BO670" s="15"/>
      <c r="BP670" s="18"/>
      <c r="BQ670" s="109">
        <f t="shared" si="1140"/>
        <v>0</v>
      </c>
      <c r="BR670" s="568"/>
      <c r="BS670" s="573"/>
      <c r="BT670" s="574"/>
      <c r="BU670" s="559"/>
      <c r="BV670" s="562"/>
      <c r="BW670" s="565"/>
      <c r="BX670" s="617"/>
    </row>
    <row r="671" spans="1:76" ht="15.75" thickTop="1" x14ac:dyDescent="0.25">
      <c r="A671" s="585">
        <v>166</v>
      </c>
      <c r="B671" s="588"/>
      <c r="C671" s="589"/>
      <c r="D671" s="604"/>
      <c r="E671" s="515"/>
      <c r="F671" s="516"/>
      <c r="G671" s="521"/>
      <c r="H671" s="522"/>
      <c r="I671" s="527"/>
      <c r="J671" s="528"/>
      <c r="K671" s="512" t="e">
        <f t="shared" ref="K671" si="1240">INT(YEARFRAC(I671,AA671))</f>
        <v>#VALUE!</v>
      </c>
      <c r="L671" s="533">
        <f t="shared" ref="L671" ca="1" si="1241">INT(YEARFRAC(I671,TODAY()))</f>
        <v>121</v>
      </c>
      <c r="M671" s="536"/>
      <c r="N671" s="539"/>
      <c r="O671" s="540"/>
      <c r="P671" s="481"/>
      <c r="Q671" s="482"/>
      <c r="R671" s="515"/>
      <c r="S671" s="516"/>
      <c r="T671" s="487"/>
      <c r="U671" s="488"/>
      <c r="V671" s="491"/>
      <c r="W671" s="481"/>
      <c r="X671" s="494"/>
      <c r="Y671" s="482"/>
      <c r="Z671" s="497"/>
      <c r="AA671" s="500" t="s">
        <v>407</v>
      </c>
      <c r="AB671" s="501"/>
      <c r="AC671" s="506" t="s">
        <v>257</v>
      </c>
      <c r="AD671" s="507"/>
      <c r="AE671" s="507"/>
      <c r="AF671" s="510"/>
      <c r="AG671" s="510"/>
      <c r="AH671" s="510"/>
      <c r="AI671" s="510"/>
      <c r="AJ671" s="510"/>
      <c r="AK671" s="510"/>
      <c r="AL671" s="510"/>
      <c r="AM671" s="510"/>
      <c r="AN671" s="510"/>
      <c r="AO671" s="510"/>
      <c r="AP671" s="510"/>
      <c r="AQ671" s="465"/>
      <c r="AR671" s="467">
        <f t="shared" ref="AR671" si="1242">SUM(AF671:AQ672)</f>
        <v>0</v>
      </c>
      <c r="AS671" s="119" t="s">
        <v>257</v>
      </c>
      <c r="AT671" s="120"/>
      <c r="AU671" s="120"/>
      <c r="AV671" s="120"/>
      <c r="AW671" s="121"/>
      <c r="AX671" s="125">
        <f t="shared" ref="AX671:AX673" si="1243">SUM(AT671:AW671)</f>
        <v>0</v>
      </c>
      <c r="AY671" s="141" t="s">
        <v>257</v>
      </c>
      <c r="AZ671" s="137"/>
      <c r="BA671" s="137"/>
      <c r="BB671" s="134">
        <f t="shared" ref="BB671:BB673" si="1244">AZ671-BA671</f>
        <v>0</v>
      </c>
      <c r="BC671" s="469" t="s">
        <v>258</v>
      </c>
      <c r="BD671" s="470"/>
      <c r="BE671" s="13"/>
      <c r="BF671" s="16"/>
      <c r="BG671" s="13"/>
      <c r="BH671" s="16"/>
      <c r="BI671" s="13"/>
      <c r="BJ671" s="16"/>
      <c r="BK671" s="13"/>
      <c r="BL671" s="16"/>
      <c r="BM671" s="13"/>
      <c r="BN671" s="16"/>
      <c r="BO671" s="13"/>
      <c r="BP671" s="16"/>
      <c r="BQ671" s="106">
        <f t="shared" si="1140"/>
        <v>0</v>
      </c>
      <c r="BR671" s="566"/>
      <c r="BS671" s="569"/>
      <c r="BT671" s="570"/>
      <c r="BU671" s="557"/>
      <c r="BV671" s="560"/>
      <c r="BW671" s="563"/>
      <c r="BX671" s="615"/>
    </row>
    <row r="672" spans="1:76" x14ac:dyDescent="0.25">
      <c r="A672" s="586"/>
      <c r="B672" s="590"/>
      <c r="C672" s="591"/>
      <c r="D672" s="605"/>
      <c r="E672" s="517"/>
      <c r="F672" s="518"/>
      <c r="G672" s="523"/>
      <c r="H672" s="524"/>
      <c r="I672" s="529"/>
      <c r="J672" s="530"/>
      <c r="K672" s="513"/>
      <c r="L672" s="534"/>
      <c r="M672" s="537"/>
      <c r="N672" s="541"/>
      <c r="O672" s="542"/>
      <c r="P672" s="483"/>
      <c r="Q672" s="484"/>
      <c r="R672" s="517"/>
      <c r="S672" s="518"/>
      <c r="T672" s="487"/>
      <c r="U672" s="488"/>
      <c r="V672" s="492"/>
      <c r="W672" s="483"/>
      <c r="X672" s="495"/>
      <c r="Y672" s="484"/>
      <c r="Z672" s="498"/>
      <c r="AA672" s="502"/>
      <c r="AB672" s="503"/>
      <c r="AC672" s="508"/>
      <c r="AD672" s="509"/>
      <c r="AE672" s="509"/>
      <c r="AF672" s="511"/>
      <c r="AG672" s="511"/>
      <c r="AH672" s="511"/>
      <c r="AI672" s="511"/>
      <c r="AJ672" s="511"/>
      <c r="AK672" s="511"/>
      <c r="AL672" s="511"/>
      <c r="AM672" s="511"/>
      <c r="AN672" s="511"/>
      <c r="AO672" s="511"/>
      <c r="AP672" s="511"/>
      <c r="AQ672" s="466"/>
      <c r="AR672" s="468"/>
      <c r="AS672" s="122" t="s">
        <v>259</v>
      </c>
      <c r="AT672" s="123"/>
      <c r="AU672" s="123"/>
      <c r="AV672" s="123"/>
      <c r="AW672" s="124"/>
      <c r="AX672" s="126">
        <f t="shared" si="1243"/>
        <v>0</v>
      </c>
      <c r="AY672" s="142" t="s">
        <v>259</v>
      </c>
      <c r="AZ672" s="138"/>
      <c r="BA672" s="138"/>
      <c r="BB672" s="135">
        <f t="shared" si="1244"/>
        <v>0</v>
      </c>
      <c r="BC672" s="474" t="s">
        <v>260</v>
      </c>
      <c r="BD672" s="475"/>
      <c r="BE672" s="14"/>
      <c r="BF672" s="17"/>
      <c r="BG672" s="14"/>
      <c r="BH672" s="17"/>
      <c r="BI672" s="14"/>
      <c r="BJ672" s="17"/>
      <c r="BK672" s="14"/>
      <c r="BL672" s="17"/>
      <c r="BM672" s="14"/>
      <c r="BN672" s="17"/>
      <c r="BO672" s="14"/>
      <c r="BP672" s="17"/>
      <c r="BQ672" s="107">
        <f t="shared" si="1140"/>
        <v>0</v>
      </c>
      <c r="BR672" s="567"/>
      <c r="BS672" s="571"/>
      <c r="BT672" s="572"/>
      <c r="BU672" s="558"/>
      <c r="BV672" s="561"/>
      <c r="BW672" s="564"/>
      <c r="BX672" s="616"/>
    </row>
    <row r="673" spans="1:76" ht="15.75" thickBot="1" x14ac:dyDescent="0.3">
      <c r="A673" s="586"/>
      <c r="B673" s="590"/>
      <c r="C673" s="591"/>
      <c r="D673" s="605"/>
      <c r="E673" s="517"/>
      <c r="F673" s="518"/>
      <c r="G673" s="523"/>
      <c r="H673" s="524"/>
      <c r="I673" s="529"/>
      <c r="J673" s="530"/>
      <c r="K673" s="513"/>
      <c r="L673" s="534"/>
      <c r="M673" s="537"/>
      <c r="N673" s="541"/>
      <c r="O673" s="542"/>
      <c r="P673" s="483"/>
      <c r="Q673" s="484"/>
      <c r="R673" s="517"/>
      <c r="S673" s="518"/>
      <c r="T673" s="487"/>
      <c r="U673" s="488"/>
      <c r="V673" s="492"/>
      <c r="W673" s="483"/>
      <c r="X673" s="495"/>
      <c r="Y673" s="484"/>
      <c r="Z673" s="498"/>
      <c r="AA673" s="502"/>
      <c r="AB673" s="503"/>
      <c r="AC673" s="471" t="s">
        <v>259</v>
      </c>
      <c r="AD673" s="472"/>
      <c r="AE673" s="473"/>
      <c r="AF673" s="100"/>
      <c r="AG673" s="100"/>
      <c r="AH673" s="100"/>
      <c r="AI673" s="100"/>
      <c r="AJ673" s="100"/>
      <c r="AK673" s="100"/>
      <c r="AL673" s="100"/>
      <c r="AM673" s="100"/>
      <c r="AN673" s="100"/>
      <c r="AO673" s="100"/>
      <c r="AP673" s="100"/>
      <c r="AQ673" s="101"/>
      <c r="AR673" s="104">
        <f t="shared" ref="AR673:AR674" si="1245">SUM(AF673:AQ673)</f>
        <v>0</v>
      </c>
      <c r="AS673" s="128" t="s">
        <v>261</v>
      </c>
      <c r="AT673" s="129"/>
      <c r="AU673" s="129"/>
      <c r="AV673" s="129"/>
      <c r="AW673" s="130"/>
      <c r="AX673" s="126">
        <f t="shared" si="1243"/>
        <v>0</v>
      </c>
      <c r="AY673" s="143" t="s">
        <v>261</v>
      </c>
      <c r="AZ673" s="139"/>
      <c r="BA673" s="139"/>
      <c r="BB673" s="136">
        <f t="shared" si="1244"/>
        <v>0</v>
      </c>
      <c r="BC673" s="474" t="s">
        <v>262</v>
      </c>
      <c r="BD673" s="475"/>
      <c r="BE673" s="14"/>
      <c r="BF673" s="17"/>
      <c r="BG673" s="14"/>
      <c r="BH673" s="17"/>
      <c r="BI673" s="14"/>
      <c r="BJ673" s="17"/>
      <c r="BK673" s="14"/>
      <c r="BL673" s="17"/>
      <c r="BM673" s="14"/>
      <c r="BN673" s="17"/>
      <c r="BO673" s="14"/>
      <c r="BP673" s="17"/>
      <c r="BQ673" s="108">
        <f t="shared" si="1140"/>
        <v>0</v>
      </c>
      <c r="BR673" s="567"/>
      <c r="BS673" s="571"/>
      <c r="BT673" s="572"/>
      <c r="BU673" s="558"/>
      <c r="BV673" s="561"/>
      <c r="BW673" s="564"/>
      <c r="BX673" s="616"/>
    </row>
    <row r="674" spans="1:76" ht="15.75" thickBot="1" x14ac:dyDescent="0.3">
      <c r="A674" s="587"/>
      <c r="B674" s="592"/>
      <c r="C674" s="593"/>
      <c r="D674" s="606"/>
      <c r="E674" s="519"/>
      <c r="F674" s="520"/>
      <c r="G674" s="525"/>
      <c r="H674" s="526"/>
      <c r="I674" s="531"/>
      <c r="J674" s="532"/>
      <c r="K674" s="514"/>
      <c r="L674" s="535"/>
      <c r="M674" s="538"/>
      <c r="N674" s="543"/>
      <c r="O674" s="544"/>
      <c r="P674" s="485"/>
      <c r="Q674" s="486"/>
      <c r="R674" s="519"/>
      <c r="S674" s="520"/>
      <c r="T674" s="489"/>
      <c r="U674" s="490"/>
      <c r="V674" s="493"/>
      <c r="W674" s="485"/>
      <c r="X674" s="496"/>
      <c r="Y674" s="486"/>
      <c r="Z674" s="499"/>
      <c r="AA674" s="504"/>
      <c r="AB674" s="505"/>
      <c r="AC674" s="476" t="s">
        <v>261</v>
      </c>
      <c r="AD674" s="477"/>
      <c r="AE674" s="478"/>
      <c r="AF674" s="102"/>
      <c r="AG674" s="102"/>
      <c r="AH674" s="102"/>
      <c r="AI674" s="102"/>
      <c r="AJ674" s="102"/>
      <c r="AK674" s="102"/>
      <c r="AL674" s="102"/>
      <c r="AM674" s="102"/>
      <c r="AN674" s="102"/>
      <c r="AO674" s="102"/>
      <c r="AP674" s="102"/>
      <c r="AQ674" s="103"/>
      <c r="AR674" s="105">
        <f t="shared" si="1245"/>
        <v>0</v>
      </c>
      <c r="AS674" s="131" t="s">
        <v>161</v>
      </c>
      <c r="AT674" s="132">
        <f t="shared" ref="AT674:AX674" si="1246">SUM(AT671:AT673)</f>
        <v>0</v>
      </c>
      <c r="AU674" s="132">
        <f t="shared" si="1246"/>
        <v>0</v>
      </c>
      <c r="AV674" s="132">
        <f t="shared" si="1246"/>
        <v>0</v>
      </c>
      <c r="AW674" s="133">
        <f t="shared" si="1246"/>
        <v>0</v>
      </c>
      <c r="AX674" s="127">
        <f t="shared" si="1246"/>
        <v>0</v>
      </c>
      <c r="AY674" s="144" t="s">
        <v>161</v>
      </c>
      <c r="AZ674" s="140">
        <f t="shared" ref="AZ674:BB674" si="1247">SUM(AZ671:AZ673)</f>
        <v>0</v>
      </c>
      <c r="BA674" s="140">
        <f t="shared" si="1247"/>
        <v>0</v>
      </c>
      <c r="BB674" s="140">
        <f t="shared" si="1247"/>
        <v>0</v>
      </c>
      <c r="BC674" s="479" t="s">
        <v>263</v>
      </c>
      <c r="BD674" s="480"/>
      <c r="BE674" s="15"/>
      <c r="BF674" s="18"/>
      <c r="BG674" s="15"/>
      <c r="BH674" s="18"/>
      <c r="BI674" s="15"/>
      <c r="BJ674" s="18"/>
      <c r="BK674" s="15"/>
      <c r="BL674" s="18"/>
      <c r="BM674" s="15"/>
      <c r="BN674" s="18"/>
      <c r="BO674" s="15"/>
      <c r="BP674" s="18"/>
      <c r="BQ674" s="109">
        <f t="shared" si="1140"/>
        <v>0</v>
      </c>
      <c r="BR674" s="568"/>
      <c r="BS674" s="573"/>
      <c r="BT674" s="574"/>
      <c r="BU674" s="559"/>
      <c r="BV674" s="562"/>
      <c r="BW674" s="565"/>
      <c r="BX674" s="617"/>
    </row>
    <row r="675" spans="1:76" ht="15.75" thickTop="1" x14ac:dyDescent="0.25">
      <c r="A675" s="585">
        <v>167</v>
      </c>
      <c r="B675" s="588"/>
      <c r="C675" s="589"/>
      <c r="D675" s="604"/>
      <c r="E675" s="515"/>
      <c r="F675" s="516"/>
      <c r="G675" s="521"/>
      <c r="H675" s="522"/>
      <c r="I675" s="527"/>
      <c r="J675" s="528"/>
      <c r="K675" s="512" t="e">
        <f t="shared" ref="K675" si="1248">INT(YEARFRAC(I675,AA675))</f>
        <v>#VALUE!</v>
      </c>
      <c r="L675" s="533">
        <f t="shared" ref="L675" ca="1" si="1249">INT(YEARFRAC(I675,TODAY()))</f>
        <v>121</v>
      </c>
      <c r="M675" s="536"/>
      <c r="N675" s="539"/>
      <c r="O675" s="540"/>
      <c r="P675" s="481"/>
      <c r="Q675" s="482"/>
      <c r="R675" s="515"/>
      <c r="S675" s="516"/>
      <c r="T675" s="487"/>
      <c r="U675" s="488"/>
      <c r="V675" s="491"/>
      <c r="W675" s="481"/>
      <c r="X675" s="494"/>
      <c r="Y675" s="482"/>
      <c r="Z675" s="497"/>
      <c r="AA675" s="500" t="s">
        <v>408</v>
      </c>
      <c r="AB675" s="501"/>
      <c r="AC675" s="506" t="s">
        <v>257</v>
      </c>
      <c r="AD675" s="507"/>
      <c r="AE675" s="507"/>
      <c r="AF675" s="510"/>
      <c r="AG675" s="510"/>
      <c r="AH675" s="510"/>
      <c r="AI675" s="510"/>
      <c r="AJ675" s="510"/>
      <c r="AK675" s="510"/>
      <c r="AL675" s="510"/>
      <c r="AM675" s="510"/>
      <c r="AN675" s="510"/>
      <c r="AO675" s="510"/>
      <c r="AP675" s="510"/>
      <c r="AQ675" s="465"/>
      <c r="AR675" s="467">
        <f t="shared" ref="AR675" si="1250">SUM(AF675:AQ676)</f>
        <v>0</v>
      </c>
      <c r="AS675" s="119" t="s">
        <v>257</v>
      </c>
      <c r="AT675" s="120"/>
      <c r="AU675" s="120"/>
      <c r="AV675" s="120"/>
      <c r="AW675" s="121"/>
      <c r="AX675" s="125">
        <f t="shared" ref="AX675:AX677" si="1251">SUM(AT675:AW675)</f>
        <v>0</v>
      </c>
      <c r="AY675" s="141" t="s">
        <v>257</v>
      </c>
      <c r="AZ675" s="137"/>
      <c r="BA675" s="137"/>
      <c r="BB675" s="134">
        <f t="shared" ref="BB675:BB677" si="1252">AZ675-BA675</f>
        <v>0</v>
      </c>
      <c r="BC675" s="469" t="s">
        <v>258</v>
      </c>
      <c r="BD675" s="470"/>
      <c r="BE675" s="13"/>
      <c r="BF675" s="16"/>
      <c r="BG675" s="13"/>
      <c r="BH675" s="16"/>
      <c r="BI675" s="13"/>
      <c r="BJ675" s="16"/>
      <c r="BK675" s="13"/>
      <c r="BL675" s="16"/>
      <c r="BM675" s="13"/>
      <c r="BN675" s="16"/>
      <c r="BO675" s="13"/>
      <c r="BP675" s="16"/>
      <c r="BQ675" s="106">
        <f t="shared" si="1140"/>
        <v>0</v>
      </c>
      <c r="BR675" s="566"/>
      <c r="BS675" s="569"/>
      <c r="BT675" s="570"/>
      <c r="BU675" s="557"/>
      <c r="BV675" s="560"/>
      <c r="BW675" s="563"/>
      <c r="BX675" s="615"/>
    </row>
    <row r="676" spans="1:76" x14ac:dyDescent="0.25">
      <c r="A676" s="586"/>
      <c r="B676" s="590"/>
      <c r="C676" s="591"/>
      <c r="D676" s="605"/>
      <c r="E676" s="517"/>
      <c r="F676" s="518"/>
      <c r="G676" s="523"/>
      <c r="H676" s="524"/>
      <c r="I676" s="529"/>
      <c r="J676" s="530"/>
      <c r="K676" s="513"/>
      <c r="L676" s="534"/>
      <c r="M676" s="537"/>
      <c r="N676" s="541"/>
      <c r="O676" s="542"/>
      <c r="P676" s="483"/>
      <c r="Q676" s="484"/>
      <c r="R676" s="517"/>
      <c r="S676" s="518"/>
      <c r="T676" s="487"/>
      <c r="U676" s="488"/>
      <c r="V676" s="492"/>
      <c r="W676" s="483"/>
      <c r="X676" s="495"/>
      <c r="Y676" s="484"/>
      <c r="Z676" s="498"/>
      <c r="AA676" s="502"/>
      <c r="AB676" s="503"/>
      <c r="AC676" s="508"/>
      <c r="AD676" s="509"/>
      <c r="AE676" s="509"/>
      <c r="AF676" s="511"/>
      <c r="AG676" s="511"/>
      <c r="AH676" s="511"/>
      <c r="AI676" s="511"/>
      <c r="AJ676" s="511"/>
      <c r="AK676" s="511"/>
      <c r="AL676" s="511"/>
      <c r="AM676" s="511"/>
      <c r="AN676" s="511"/>
      <c r="AO676" s="511"/>
      <c r="AP676" s="511"/>
      <c r="AQ676" s="466"/>
      <c r="AR676" s="468"/>
      <c r="AS676" s="122" t="s">
        <v>259</v>
      </c>
      <c r="AT676" s="123"/>
      <c r="AU676" s="123"/>
      <c r="AV676" s="123"/>
      <c r="AW676" s="124"/>
      <c r="AX676" s="126">
        <f t="shared" si="1251"/>
        <v>0</v>
      </c>
      <c r="AY676" s="142" t="s">
        <v>259</v>
      </c>
      <c r="AZ676" s="138"/>
      <c r="BA676" s="138"/>
      <c r="BB676" s="135">
        <f t="shared" si="1252"/>
        <v>0</v>
      </c>
      <c r="BC676" s="474" t="s">
        <v>260</v>
      </c>
      <c r="BD676" s="475"/>
      <c r="BE676" s="14"/>
      <c r="BF676" s="17"/>
      <c r="BG676" s="14"/>
      <c r="BH676" s="17"/>
      <c r="BI676" s="14"/>
      <c r="BJ676" s="17"/>
      <c r="BK676" s="14"/>
      <c r="BL676" s="17"/>
      <c r="BM676" s="14"/>
      <c r="BN676" s="17"/>
      <c r="BO676" s="14"/>
      <c r="BP676" s="17"/>
      <c r="BQ676" s="107">
        <f t="shared" si="1140"/>
        <v>0</v>
      </c>
      <c r="BR676" s="567"/>
      <c r="BS676" s="571"/>
      <c r="BT676" s="572"/>
      <c r="BU676" s="558"/>
      <c r="BV676" s="561"/>
      <c r="BW676" s="564"/>
      <c r="BX676" s="616"/>
    </row>
    <row r="677" spans="1:76" ht="15.75" thickBot="1" x14ac:dyDescent="0.3">
      <c r="A677" s="586"/>
      <c r="B677" s="590"/>
      <c r="C677" s="591"/>
      <c r="D677" s="605"/>
      <c r="E677" s="517"/>
      <c r="F677" s="518"/>
      <c r="G677" s="523"/>
      <c r="H677" s="524"/>
      <c r="I677" s="529"/>
      <c r="J677" s="530"/>
      <c r="K677" s="513"/>
      <c r="L677" s="534"/>
      <c r="M677" s="537"/>
      <c r="N677" s="541"/>
      <c r="O677" s="542"/>
      <c r="P677" s="483"/>
      <c r="Q677" s="484"/>
      <c r="R677" s="517"/>
      <c r="S677" s="518"/>
      <c r="T677" s="487"/>
      <c r="U677" s="488"/>
      <c r="V677" s="492"/>
      <c r="W677" s="483"/>
      <c r="X677" s="495"/>
      <c r="Y677" s="484"/>
      <c r="Z677" s="498"/>
      <c r="AA677" s="502"/>
      <c r="AB677" s="503"/>
      <c r="AC677" s="471" t="s">
        <v>259</v>
      </c>
      <c r="AD677" s="472"/>
      <c r="AE677" s="473"/>
      <c r="AF677" s="100"/>
      <c r="AG677" s="100"/>
      <c r="AH677" s="100"/>
      <c r="AI677" s="100"/>
      <c r="AJ677" s="100"/>
      <c r="AK677" s="100"/>
      <c r="AL677" s="100"/>
      <c r="AM677" s="100"/>
      <c r="AN677" s="100"/>
      <c r="AO677" s="100"/>
      <c r="AP677" s="100"/>
      <c r="AQ677" s="101"/>
      <c r="AR677" s="104">
        <f t="shared" ref="AR677:AR678" si="1253">SUM(AF677:AQ677)</f>
        <v>0</v>
      </c>
      <c r="AS677" s="128" t="s">
        <v>261</v>
      </c>
      <c r="AT677" s="129"/>
      <c r="AU677" s="129"/>
      <c r="AV677" s="129"/>
      <c r="AW677" s="130"/>
      <c r="AX677" s="126">
        <f t="shared" si="1251"/>
        <v>0</v>
      </c>
      <c r="AY677" s="143" t="s">
        <v>261</v>
      </c>
      <c r="AZ677" s="139"/>
      <c r="BA677" s="139"/>
      <c r="BB677" s="136">
        <f t="shared" si="1252"/>
        <v>0</v>
      </c>
      <c r="BC677" s="474" t="s">
        <v>262</v>
      </c>
      <c r="BD677" s="475"/>
      <c r="BE677" s="14"/>
      <c r="BF677" s="17"/>
      <c r="BG677" s="14"/>
      <c r="BH677" s="17"/>
      <c r="BI677" s="14"/>
      <c r="BJ677" s="17"/>
      <c r="BK677" s="14"/>
      <c r="BL677" s="17"/>
      <c r="BM677" s="14"/>
      <c r="BN677" s="17"/>
      <c r="BO677" s="14"/>
      <c r="BP677" s="17"/>
      <c r="BQ677" s="108">
        <f t="shared" si="1140"/>
        <v>0</v>
      </c>
      <c r="BR677" s="567"/>
      <c r="BS677" s="571"/>
      <c r="BT677" s="572"/>
      <c r="BU677" s="558"/>
      <c r="BV677" s="561"/>
      <c r="BW677" s="564"/>
      <c r="BX677" s="616"/>
    </row>
    <row r="678" spans="1:76" ht="15.75" thickBot="1" x14ac:dyDescent="0.3">
      <c r="A678" s="587"/>
      <c r="B678" s="592"/>
      <c r="C678" s="593"/>
      <c r="D678" s="606"/>
      <c r="E678" s="519"/>
      <c r="F678" s="520"/>
      <c r="G678" s="525"/>
      <c r="H678" s="526"/>
      <c r="I678" s="531"/>
      <c r="J678" s="532"/>
      <c r="K678" s="514"/>
      <c r="L678" s="535"/>
      <c r="M678" s="538"/>
      <c r="N678" s="543"/>
      <c r="O678" s="544"/>
      <c r="P678" s="485"/>
      <c r="Q678" s="486"/>
      <c r="R678" s="519"/>
      <c r="S678" s="520"/>
      <c r="T678" s="489"/>
      <c r="U678" s="490"/>
      <c r="V678" s="493"/>
      <c r="W678" s="485"/>
      <c r="X678" s="496"/>
      <c r="Y678" s="486"/>
      <c r="Z678" s="499"/>
      <c r="AA678" s="504"/>
      <c r="AB678" s="505"/>
      <c r="AC678" s="476" t="s">
        <v>261</v>
      </c>
      <c r="AD678" s="477"/>
      <c r="AE678" s="478"/>
      <c r="AF678" s="102"/>
      <c r="AG678" s="102"/>
      <c r="AH678" s="102"/>
      <c r="AI678" s="102"/>
      <c r="AJ678" s="102"/>
      <c r="AK678" s="102"/>
      <c r="AL678" s="102"/>
      <c r="AM678" s="102"/>
      <c r="AN678" s="102"/>
      <c r="AO678" s="102"/>
      <c r="AP678" s="102"/>
      <c r="AQ678" s="103"/>
      <c r="AR678" s="105">
        <f t="shared" si="1253"/>
        <v>0</v>
      </c>
      <c r="AS678" s="131" t="s">
        <v>161</v>
      </c>
      <c r="AT678" s="132">
        <f t="shared" ref="AT678:AX678" si="1254">SUM(AT675:AT677)</f>
        <v>0</v>
      </c>
      <c r="AU678" s="132">
        <f t="shared" si="1254"/>
        <v>0</v>
      </c>
      <c r="AV678" s="132">
        <f t="shared" si="1254"/>
        <v>0</v>
      </c>
      <c r="AW678" s="133">
        <f t="shared" si="1254"/>
        <v>0</v>
      </c>
      <c r="AX678" s="127">
        <f t="shared" si="1254"/>
        <v>0</v>
      </c>
      <c r="AY678" s="144" t="s">
        <v>161</v>
      </c>
      <c r="AZ678" s="140">
        <f t="shared" ref="AZ678:BB678" si="1255">SUM(AZ675:AZ677)</f>
        <v>0</v>
      </c>
      <c r="BA678" s="140">
        <f t="shared" si="1255"/>
        <v>0</v>
      </c>
      <c r="BB678" s="140">
        <f t="shared" si="1255"/>
        <v>0</v>
      </c>
      <c r="BC678" s="479" t="s">
        <v>263</v>
      </c>
      <c r="BD678" s="480"/>
      <c r="BE678" s="15"/>
      <c r="BF678" s="18"/>
      <c r="BG678" s="15"/>
      <c r="BH678" s="18"/>
      <c r="BI678" s="15"/>
      <c r="BJ678" s="18"/>
      <c r="BK678" s="15"/>
      <c r="BL678" s="18"/>
      <c r="BM678" s="15"/>
      <c r="BN678" s="18"/>
      <c r="BO678" s="15"/>
      <c r="BP678" s="18"/>
      <c r="BQ678" s="109">
        <f t="shared" si="1140"/>
        <v>0</v>
      </c>
      <c r="BR678" s="568"/>
      <c r="BS678" s="573"/>
      <c r="BT678" s="574"/>
      <c r="BU678" s="559"/>
      <c r="BV678" s="562"/>
      <c r="BW678" s="565"/>
      <c r="BX678" s="617"/>
    </row>
    <row r="679" spans="1:76" ht="15.75" thickTop="1" x14ac:dyDescent="0.25">
      <c r="A679" s="585">
        <v>168</v>
      </c>
      <c r="B679" s="588"/>
      <c r="C679" s="589"/>
      <c r="D679" s="604"/>
      <c r="E679" s="515"/>
      <c r="F679" s="516"/>
      <c r="G679" s="521"/>
      <c r="H679" s="522"/>
      <c r="I679" s="527"/>
      <c r="J679" s="528"/>
      <c r="K679" s="512" t="e">
        <f t="shared" ref="K679" si="1256">INT(YEARFRAC(I679,AA679))</f>
        <v>#VALUE!</v>
      </c>
      <c r="L679" s="533">
        <f t="shared" ref="L679" ca="1" si="1257">INT(YEARFRAC(I679,TODAY()))</f>
        <v>121</v>
      </c>
      <c r="M679" s="536"/>
      <c r="N679" s="539"/>
      <c r="O679" s="540"/>
      <c r="P679" s="481"/>
      <c r="Q679" s="482"/>
      <c r="R679" s="515"/>
      <c r="S679" s="516"/>
      <c r="T679" s="487"/>
      <c r="U679" s="488"/>
      <c r="V679" s="491"/>
      <c r="W679" s="481"/>
      <c r="X679" s="494"/>
      <c r="Y679" s="482"/>
      <c r="Z679" s="497"/>
      <c r="AA679" s="500" t="s">
        <v>409</v>
      </c>
      <c r="AB679" s="501"/>
      <c r="AC679" s="506" t="s">
        <v>257</v>
      </c>
      <c r="AD679" s="507"/>
      <c r="AE679" s="507"/>
      <c r="AF679" s="510"/>
      <c r="AG679" s="510"/>
      <c r="AH679" s="510"/>
      <c r="AI679" s="510"/>
      <c r="AJ679" s="510"/>
      <c r="AK679" s="510"/>
      <c r="AL679" s="510"/>
      <c r="AM679" s="510"/>
      <c r="AN679" s="510"/>
      <c r="AO679" s="510"/>
      <c r="AP679" s="510"/>
      <c r="AQ679" s="465"/>
      <c r="AR679" s="467">
        <f t="shared" ref="AR679" si="1258">SUM(AF679:AQ680)</f>
        <v>0</v>
      </c>
      <c r="AS679" s="119" t="s">
        <v>257</v>
      </c>
      <c r="AT679" s="120"/>
      <c r="AU679" s="120"/>
      <c r="AV679" s="120"/>
      <c r="AW679" s="121"/>
      <c r="AX679" s="125">
        <f t="shared" ref="AX679:AX681" si="1259">SUM(AT679:AW679)</f>
        <v>0</v>
      </c>
      <c r="AY679" s="141" t="s">
        <v>257</v>
      </c>
      <c r="AZ679" s="137"/>
      <c r="BA679" s="137"/>
      <c r="BB679" s="134">
        <f t="shared" ref="BB679:BB681" si="1260">AZ679-BA679</f>
        <v>0</v>
      </c>
      <c r="BC679" s="469" t="s">
        <v>258</v>
      </c>
      <c r="BD679" s="470"/>
      <c r="BE679" s="13"/>
      <c r="BF679" s="16"/>
      <c r="BG679" s="13"/>
      <c r="BH679" s="16"/>
      <c r="BI679" s="13"/>
      <c r="BJ679" s="16"/>
      <c r="BK679" s="13"/>
      <c r="BL679" s="16"/>
      <c r="BM679" s="13"/>
      <c r="BN679" s="16"/>
      <c r="BO679" s="13"/>
      <c r="BP679" s="16"/>
      <c r="BQ679" s="106">
        <f t="shared" si="1140"/>
        <v>0</v>
      </c>
      <c r="BR679" s="566"/>
      <c r="BS679" s="569"/>
      <c r="BT679" s="570"/>
      <c r="BU679" s="557"/>
      <c r="BV679" s="560"/>
      <c r="BW679" s="563"/>
      <c r="BX679" s="615"/>
    </row>
    <row r="680" spans="1:76" x14ac:dyDescent="0.25">
      <c r="A680" s="586"/>
      <c r="B680" s="590"/>
      <c r="C680" s="591"/>
      <c r="D680" s="605"/>
      <c r="E680" s="517"/>
      <c r="F680" s="518"/>
      <c r="G680" s="523"/>
      <c r="H680" s="524"/>
      <c r="I680" s="529"/>
      <c r="J680" s="530"/>
      <c r="K680" s="513"/>
      <c r="L680" s="534"/>
      <c r="M680" s="537"/>
      <c r="N680" s="541"/>
      <c r="O680" s="542"/>
      <c r="P680" s="483"/>
      <c r="Q680" s="484"/>
      <c r="R680" s="517"/>
      <c r="S680" s="518"/>
      <c r="T680" s="487"/>
      <c r="U680" s="488"/>
      <c r="V680" s="492"/>
      <c r="W680" s="483"/>
      <c r="X680" s="495"/>
      <c r="Y680" s="484"/>
      <c r="Z680" s="498"/>
      <c r="AA680" s="502"/>
      <c r="AB680" s="503"/>
      <c r="AC680" s="508"/>
      <c r="AD680" s="509"/>
      <c r="AE680" s="509"/>
      <c r="AF680" s="511"/>
      <c r="AG680" s="511"/>
      <c r="AH680" s="511"/>
      <c r="AI680" s="511"/>
      <c r="AJ680" s="511"/>
      <c r="AK680" s="511"/>
      <c r="AL680" s="511"/>
      <c r="AM680" s="511"/>
      <c r="AN680" s="511"/>
      <c r="AO680" s="511"/>
      <c r="AP680" s="511"/>
      <c r="AQ680" s="466"/>
      <c r="AR680" s="468"/>
      <c r="AS680" s="122" t="s">
        <v>259</v>
      </c>
      <c r="AT680" s="123"/>
      <c r="AU680" s="123"/>
      <c r="AV680" s="123"/>
      <c r="AW680" s="124"/>
      <c r="AX680" s="126">
        <f t="shared" si="1259"/>
        <v>0</v>
      </c>
      <c r="AY680" s="142" t="s">
        <v>259</v>
      </c>
      <c r="AZ680" s="138"/>
      <c r="BA680" s="138"/>
      <c r="BB680" s="135">
        <f t="shared" si="1260"/>
        <v>0</v>
      </c>
      <c r="BC680" s="474" t="s">
        <v>260</v>
      </c>
      <c r="BD680" s="475"/>
      <c r="BE680" s="14"/>
      <c r="BF680" s="17"/>
      <c r="BG680" s="14"/>
      <c r="BH680" s="17"/>
      <c r="BI680" s="14"/>
      <c r="BJ680" s="17"/>
      <c r="BK680" s="14"/>
      <c r="BL680" s="17"/>
      <c r="BM680" s="14"/>
      <c r="BN680" s="17"/>
      <c r="BO680" s="14"/>
      <c r="BP680" s="17"/>
      <c r="BQ680" s="107">
        <f t="shared" si="1140"/>
        <v>0</v>
      </c>
      <c r="BR680" s="567"/>
      <c r="BS680" s="571"/>
      <c r="BT680" s="572"/>
      <c r="BU680" s="558"/>
      <c r="BV680" s="561"/>
      <c r="BW680" s="564"/>
      <c r="BX680" s="616"/>
    </row>
    <row r="681" spans="1:76" ht="15.75" thickBot="1" x14ac:dyDescent="0.3">
      <c r="A681" s="586"/>
      <c r="B681" s="590"/>
      <c r="C681" s="591"/>
      <c r="D681" s="605"/>
      <c r="E681" s="517"/>
      <c r="F681" s="518"/>
      <c r="G681" s="523"/>
      <c r="H681" s="524"/>
      <c r="I681" s="529"/>
      <c r="J681" s="530"/>
      <c r="K681" s="513"/>
      <c r="L681" s="534"/>
      <c r="M681" s="537"/>
      <c r="N681" s="541"/>
      <c r="O681" s="542"/>
      <c r="P681" s="483"/>
      <c r="Q681" s="484"/>
      <c r="R681" s="517"/>
      <c r="S681" s="518"/>
      <c r="T681" s="487"/>
      <c r="U681" s="488"/>
      <c r="V681" s="492"/>
      <c r="W681" s="483"/>
      <c r="X681" s="495"/>
      <c r="Y681" s="484"/>
      <c r="Z681" s="498"/>
      <c r="AA681" s="502"/>
      <c r="AB681" s="503"/>
      <c r="AC681" s="471" t="s">
        <v>259</v>
      </c>
      <c r="AD681" s="472"/>
      <c r="AE681" s="473"/>
      <c r="AF681" s="100"/>
      <c r="AG681" s="100"/>
      <c r="AH681" s="100"/>
      <c r="AI681" s="100"/>
      <c r="AJ681" s="100"/>
      <c r="AK681" s="100"/>
      <c r="AL681" s="100"/>
      <c r="AM681" s="100"/>
      <c r="AN681" s="100"/>
      <c r="AO681" s="100"/>
      <c r="AP681" s="100"/>
      <c r="AQ681" s="101"/>
      <c r="AR681" s="104">
        <f t="shared" ref="AR681:AR682" si="1261">SUM(AF681:AQ681)</f>
        <v>0</v>
      </c>
      <c r="AS681" s="128" t="s">
        <v>261</v>
      </c>
      <c r="AT681" s="129"/>
      <c r="AU681" s="129"/>
      <c r="AV681" s="129"/>
      <c r="AW681" s="130"/>
      <c r="AX681" s="126">
        <f t="shared" si="1259"/>
        <v>0</v>
      </c>
      <c r="AY681" s="143" t="s">
        <v>261</v>
      </c>
      <c r="AZ681" s="139"/>
      <c r="BA681" s="139"/>
      <c r="BB681" s="136">
        <f t="shared" si="1260"/>
        <v>0</v>
      </c>
      <c r="BC681" s="474" t="s">
        <v>262</v>
      </c>
      <c r="BD681" s="475"/>
      <c r="BE681" s="14"/>
      <c r="BF681" s="17"/>
      <c r="BG681" s="14"/>
      <c r="BH681" s="17"/>
      <c r="BI681" s="14"/>
      <c r="BJ681" s="17"/>
      <c r="BK681" s="14"/>
      <c r="BL681" s="17"/>
      <c r="BM681" s="14"/>
      <c r="BN681" s="17"/>
      <c r="BO681" s="14"/>
      <c r="BP681" s="17"/>
      <c r="BQ681" s="108">
        <f t="shared" si="1140"/>
        <v>0</v>
      </c>
      <c r="BR681" s="567"/>
      <c r="BS681" s="571"/>
      <c r="BT681" s="572"/>
      <c r="BU681" s="558"/>
      <c r="BV681" s="561"/>
      <c r="BW681" s="564"/>
      <c r="BX681" s="616"/>
    </row>
    <row r="682" spans="1:76" ht="15.75" thickBot="1" x14ac:dyDescent="0.3">
      <c r="A682" s="587"/>
      <c r="B682" s="592"/>
      <c r="C682" s="593"/>
      <c r="D682" s="606"/>
      <c r="E682" s="519"/>
      <c r="F682" s="520"/>
      <c r="G682" s="525"/>
      <c r="H682" s="526"/>
      <c r="I682" s="531"/>
      <c r="J682" s="532"/>
      <c r="K682" s="514"/>
      <c r="L682" s="535"/>
      <c r="M682" s="538"/>
      <c r="N682" s="543"/>
      <c r="O682" s="544"/>
      <c r="P682" s="485"/>
      <c r="Q682" s="486"/>
      <c r="R682" s="519"/>
      <c r="S682" s="520"/>
      <c r="T682" s="489"/>
      <c r="U682" s="490"/>
      <c r="V682" s="493"/>
      <c r="W682" s="485"/>
      <c r="X682" s="496"/>
      <c r="Y682" s="486"/>
      <c r="Z682" s="499"/>
      <c r="AA682" s="504"/>
      <c r="AB682" s="505"/>
      <c r="AC682" s="476" t="s">
        <v>261</v>
      </c>
      <c r="AD682" s="477"/>
      <c r="AE682" s="478"/>
      <c r="AF682" s="102"/>
      <c r="AG682" s="102"/>
      <c r="AH682" s="102"/>
      <c r="AI682" s="102"/>
      <c r="AJ682" s="102"/>
      <c r="AK682" s="102"/>
      <c r="AL682" s="102"/>
      <c r="AM682" s="102"/>
      <c r="AN682" s="102"/>
      <c r="AO682" s="102"/>
      <c r="AP682" s="102"/>
      <c r="AQ682" s="103"/>
      <c r="AR682" s="105">
        <f t="shared" si="1261"/>
        <v>0</v>
      </c>
      <c r="AS682" s="131" t="s">
        <v>161</v>
      </c>
      <c r="AT682" s="132">
        <f t="shared" ref="AT682:AX682" si="1262">SUM(AT679:AT681)</f>
        <v>0</v>
      </c>
      <c r="AU682" s="132">
        <f t="shared" si="1262"/>
        <v>0</v>
      </c>
      <c r="AV682" s="132">
        <f t="shared" si="1262"/>
        <v>0</v>
      </c>
      <c r="AW682" s="133">
        <f t="shared" si="1262"/>
        <v>0</v>
      </c>
      <c r="AX682" s="127">
        <f t="shared" si="1262"/>
        <v>0</v>
      </c>
      <c r="AY682" s="144" t="s">
        <v>161</v>
      </c>
      <c r="AZ682" s="140">
        <f t="shared" ref="AZ682:BB682" si="1263">SUM(AZ679:AZ681)</f>
        <v>0</v>
      </c>
      <c r="BA682" s="140">
        <f t="shared" si="1263"/>
        <v>0</v>
      </c>
      <c r="BB682" s="140">
        <f t="shared" si="1263"/>
        <v>0</v>
      </c>
      <c r="BC682" s="479" t="s">
        <v>263</v>
      </c>
      <c r="BD682" s="480"/>
      <c r="BE682" s="15"/>
      <c r="BF682" s="18"/>
      <c r="BG682" s="15"/>
      <c r="BH682" s="18"/>
      <c r="BI682" s="15"/>
      <c r="BJ682" s="18"/>
      <c r="BK682" s="15"/>
      <c r="BL682" s="18"/>
      <c r="BM682" s="15"/>
      <c r="BN682" s="18"/>
      <c r="BO682" s="15"/>
      <c r="BP682" s="18"/>
      <c r="BQ682" s="109">
        <f t="shared" si="1140"/>
        <v>0</v>
      </c>
      <c r="BR682" s="568"/>
      <c r="BS682" s="573"/>
      <c r="BT682" s="574"/>
      <c r="BU682" s="559"/>
      <c r="BV682" s="562"/>
      <c r="BW682" s="565"/>
      <c r="BX682" s="617"/>
    </row>
    <row r="683" spans="1:76" ht="15.75" thickTop="1" x14ac:dyDescent="0.25">
      <c r="A683" s="585">
        <v>169</v>
      </c>
      <c r="B683" s="588"/>
      <c r="C683" s="589"/>
      <c r="D683" s="604"/>
      <c r="E683" s="515"/>
      <c r="F683" s="516"/>
      <c r="G683" s="521"/>
      <c r="H683" s="522"/>
      <c r="I683" s="527"/>
      <c r="J683" s="528"/>
      <c r="K683" s="512" t="e">
        <f t="shared" ref="K683" si="1264">INT(YEARFRAC(I683,AA683))</f>
        <v>#VALUE!</v>
      </c>
      <c r="L683" s="533">
        <f t="shared" ref="L683" ca="1" si="1265">INT(YEARFRAC(I683,TODAY()))</f>
        <v>121</v>
      </c>
      <c r="M683" s="536"/>
      <c r="N683" s="539"/>
      <c r="O683" s="540"/>
      <c r="P683" s="481"/>
      <c r="Q683" s="482"/>
      <c r="R683" s="515"/>
      <c r="S683" s="516"/>
      <c r="T683" s="487"/>
      <c r="U683" s="488"/>
      <c r="V683" s="491"/>
      <c r="W683" s="481"/>
      <c r="X683" s="494"/>
      <c r="Y683" s="482"/>
      <c r="Z683" s="497"/>
      <c r="AA683" s="500" t="s">
        <v>410</v>
      </c>
      <c r="AB683" s="501"/>
      <c r="AC683" s="506" t="s">
        <v>257</v>
      </c>
      <c r="AD683" s="507"/>
      <c r="AE683" s="507"/>
      <c r="AF683" s="510"/>
      <c r="AG683" s="510"/>
      <c r="AH683" s="510"/>
      <c r="AI683" s="510"/>
      <c r="AJ683" s="510"/>
      <c r="AK683" s="510"/>
      <c r="AL683" s="510"/>
      <c r="AM683" s="510"/>
      <c r="AN683" s="510"/>
      <c r="AO683" s="510"/>
      <c r="AP683" s="510"/>
      <c r="AQ683" s="465"/>
      <c r="AR683" s="467">
        <f t="shared" ref="AR683" si="1266">SUM(AF683:AQ684)</f>
        <v>0</v>
      </c>
      <c r="AS683" s="119" t="s">
        <v>257</v>
      </c>
      <c r="AT683" s="120"/>
      <c r="AU683" s="120"/>
      <c r="AV683" s="120"/>
      <c r="AW683" s="121"/>
      <c r="AX683" s="125">
        <f t="shared" ref="AX683:AX685" si="1267">SUM(AT683:AW683)</f>
        <v>0</v>
      </c>
      <c r="AY683" s="141" t="s">
        <v>257</v>
      </c>
      <c r="AZ683" s="137"/>
      <c r="BA683" s="137"/>
      <c r="BB683" s="134">
        <f t="shared" ref="BB683:BB685" si="1268">AZ683-BA683</f>
        <v>0</v>
      </c>
      <c r="BC683" s="469" t="s">
        <v>258</v>
      </c>
      <c r="BD683" s="470"/>
      <c r="BE683" s="13"/>
      <c r="BF683" s="16"/>
      <c r="BG683" s="13"/>
      <c r="BH683" s="16"/>
      <c r="BI683" s="13"/>
      <c r="BJ683" s="16"/>
      <c r="BK683" s="13"/>
      <c r="BL683" s="16"/>
      <c r="BM683" s="13"/>
      <c r="BN683" s="16"/>
      <c r="BO683" s="13"/>
      <c r="BP683" s="16"/>
      <c r="BQ683" s="106">
        <f t="shared" ref="BQ683:BQ746" si="1269">SUM(BE683:BP683)</f>
        <v>0</v>
      </c>
      <c r="BR683" s="566"/>
      <c r="BS683" s="569"/>
      <c r="BT683" s="570"/>
      <c r="BU683" s="557"/>
      <c r="BV683" s="560"/>
      <c r="BW683" s="563"/>
      <c r="BX683" s="615"/>
    </row>
    <row r="684" spans="1:76" x14ac:dyDescent="0.25">
      <c r="A684" s="586"/>
      <c r="B684" s="590"/>
      <c r="C684" s="591"/>
      <c r="D684" s="605"/>
      <c r="E684" s="517"/>
      <c r="F684" s="518"/>
      <c r="G684" s="523"/>
      <c r="H684" s="524"/>
      <c r="I684" s="529"/>
      <c r="J684" s="530"/>
      <c r="K684" s="513"/>
      <c r="L684" s="534"/>
      <c r="M684" s="537"/>
      <c r="N684" s="541"/>
      <c r="O684" s="542"/>
      <c r="P684" s="483"/>
      <c r="Q684" s="484"/>
      <c r="R684" s="517"/>
      <c r="S684" s="518"/>
      <c r="T684" s="487"/>
      <c r="U684" s="488"/>
      <c r="V684" s="492"/>
      <c r="W684" s="483"/>
      <c r="X684" s="495"/>
      <c r="Y684" s="484"/>
      <c r="Z684" s="498"/>
      <c r="AA684" s="502"/>
      <c r="AB684" s="503"/>
      <c r="AC684" s="508"/>
      <c r="AD684" s="509"/>
      <c r="AE684" s="509"/>
      <c r="AF684" s="511"/>
      <c r="AG684" s="511"/>
      <c r="AH684" s="511"/>
      <c r="AI684" s="511"/>
      <c r="AJ684" s="511"/>
      <c r="AK684" s="511"/>
      <c r="AL684" s="511"/>
      <c r="AM684" s="511"/>
      <c r="AN684" s="511"/>
      <c r="AO684" s="511"/>
      <c r="AP684" s="511"/>
      <c r="AQ684" s="466"/>
      <c r="AR684" s="468"/>
      <c r="AS684" s="122" t="s">
        <v>259</v>
      </c>
      <c r="AT684" s="123"/>
      <c r="AU684" s="123"/>
      <c r="AV684" s="123"/>
      <c r="AW684" s="124"/>
      <c r="AX684" s="126">
        <f t="shared" si="1267"/>
        <v>0</v>
      </c>
      <c r="AY684" s="142" t="s">
        <v>259</v>
      </c>
      <c r="AZ684" s="138"/>
      <c r="BA684" s="138"/>
      <c r="BB684" s="135">
        <f t="shared" si="1268"/>
        <v>0</v>
      </c>
      <c r="BC684" s="474" t="s">
        <v>260</v>
      </c>
      <c r="BD684" s="475"/>
      <c r="BE684" s="14"/>
      <c r="BF684" s="17"/>
      <c r="BG684" s="14"/>
      <c r="BH684" s="17"/>
      <c r="BI684" s="14"/>
      <c r="BJ684" s="17"/>
      <c r="BK684" s="14"/>
      <c r="BL684" s="17"/>
      <c r="BM684" s="14"/>
      <c r="BN684" s="17"/>
      <c r="BO684" s="14"/>
      <c r="BP684" s="17"/>
      <c r="BQ684" s="107">
        <f t="shared" si="1269"/>
        <v>0</v>
      </c>
      <c r="BR684" s="567"/>
      <c r="BS684" s="571"/>
      <c r="BT684" s="572"/>
      <c r="BU684" s="558"/>
      <c r="BV684" s="561"/>
      <c r="BW684" s="564"/>
      <c r="BX684" s="616"/>
    </row>
    <row r="685" spans="1:76" ht="15.75" thickBot="1" x14ac:dyDescent="0.3">
      <c r="A685" s="586"/>
      <c r="B685" s="590"/>
      <c r="C685" s="591"/>
      <c r="D685" s="605"/>
      <c r="E685" s="517"/>
      <c r="F685" s="518"/>
      <c r="G685" s="523"/>
      <c r="H685" s="524"/>
      <c r="I685" s="529"/>
      <c r="J685" s="530"/>
      <c r="K685" s="513"/>
      <c r="L685" s="534"/>
      <c r="M685" s="537"/>
      <c r="N685" s="541"/>
      <c r="O685" s="542"/>
      <c r="P685" s="483"/>
      <c r="Q685" s="484"/>
      <c r="R685" s="517"/>
      <c r="S685" s="518"/>
      <c r="T685" s="487"/>
      <c r="U685" s="488"/>
      <c r="V685" s="492"/>
      <c r="W685" s="483"/>
      <c r="X685" s="495"/>
      <c r="Y685" s="484"/>
      <c r="Z685" s="498"/>
      <c r="AA685" s="502"/>
      <c r="AB685" s="503"/>
      <c r="AC685" s="471" t="s">
        <v>259</v>
      </c>
      <c r="AD685" s="472"/>
      <c r="AE685" s="473"/>
      <c r="AF685" s="100"/>
      <c r="AG685" s="100"/>
      <c r="AH685" s="100"/>
      <c r="AI685" s="100"/>
      <c r="AJ685" s="100"/>
      <c r="AK685" s="100"/>
      <c r="AL685" s="100"/>
      <c r="AM685" s="100"/>
      <c r="AN685" s="100"/>
      <c r="AO685" s="100"/>
      <c r="AP685" s="100"/>
      <c r="AQ685" s="101"/>
      <c r="AR685" s="104">
        <f t="shared" ref="AR685:AR686" si="1270">SUM(AF685:AQ685)</f>
        <v>0</v>
      </c>
      <c r="AS685" s="128" t="s">
        <v>261</v>
      </c>
      <c r="AT685" s="129"/>
      <c r="AU685" s="129"/>
      <c r="AV685" s="129"/>
      <c r="AW685" s="130"/>
      <c r="AX685" s="126">
        <f t="shared" si="1267"/>
        <v>0</v>
      </c>
      <c r="AY685" s="143" t="s">
        <v>261</v>
      </c>
      <c r="AZ685" s="139"/>
      <c r="BA685" s="139"/>
      <c r="BB685" s="136">
        <f t="shared" si="1268"/>
        <v>0</v>
      </c>
      <c r="BC685" s="474" t="s">
        <v>262</v>
      </c>
      <c r="BD685" s="475"/>
      <c r="BE685" s="14"/>
      <c r="BF685" s="17"/>
      <c r="BG685" s="14"/>
      <c r="BH685" s="17"/>
      <c r="BI685" s="14"/>
      <c r="BJ685" s="17"/>
      <c r="BK685" s="14"/>
      <c r="BL685" s="17"/>
      <c r="BM685" s="14"/>
      <c r="BN685" s="17"/>
      <c r="BO685" s="14"/>
      <c r="BP685" s="17"/>
      <c r="BQ685" s="108">
        <f t="shared" si="1269"/>
        <v>0</v>
      </c>
      <c r="BR685" s="567"/>
      <c r="BS685" s="571"/>
      <c r="BT685" s="572"/>
      <c r="BU685" s="558"/>
      <c r="BV685" s="561"/>
      <c r="BW685" s="564"/>
      <c r="BX685" s="616"/>
    </row>
    <row r="686" spans="1:76" ht="15.75" thickBot="1" x14ac:dyDescent="0.3">
      <c r="A686" s="587"/>
      <c r="B686" s="592"/>
      <c r="C686" s="593"/>
      <c r="D686" s="606"/>
      <c r="E686" s="519"/>
      <c r="F686" s="520"/>
      <c r="G686" s="525"/>
      <c r="H686" s="526"/>
      <c r="I686" s="531"/>
      <c r="J686" s="532"/>
      <c r="K686" s="514"/>
      <c r="L686" s="535"/>
      <c r="M686" s="538"/>
      <c r="N686" s="543"/>
      <c r="O686" s="544"/>
      <c r="P686" s="485"/>
      <c r="Q686" s="486"/>
      <c r="R686" s="519"/>
      <c r="S686" s="520"/>
      <c r="T686" s="489"/>
      <c r="U686" s="490"/>
      <c r="V686" s="493"/>
      <c r="W686" s="485"/>
      <c r="X686" s="496"/>
      <c r="Y686" s="486"/>
      <c r="Z686" s="499"/>
      <c r="AA686" s="504"/>
      <c r="AB686" s="505"/>
      <c r="AC686" s="476" t="s">
        <v>261</v>
      </c>
      <c r="AD686" s="477"/>
      <c r="AE686" s="478"/>
      <c r="AF686" s="102"/>
      <c r="AG686" s="102"/>
      <c r="AH686" s="102"/>
      <c r="AI686" s="102"/>
      <c r="AJ686" s="102"/>
      <c r="AK686" s="102"/>
      <c r="AL686" s="102"/>
      <c r="AM686" s="102"/>
      <c r="AN686" s="102"/>
      <c r="AO686" s="102"/>
      <c r="AP686" s="102"/>
      <c r="AQ686" s="103"/>
      <c r="AR686" s="105">
        <f t="shared" si="1270"/>
        <v>0</v>
      </c>
      <c r="AS686" s="131" t="s">
        <v>161</v>
      </c>
      <c r="AT686" s="132">
        <f t="shared" ref="AT686:AX686" si="1271">SUM(AT683:AT685)</f>
        <v>0</v>
      </c>
      <c r="AU686" s="132">
        <f t="shared" si="1271"/>
        <v>0</v>
      </c>
      <c r="AV686" s="132">
        <f t="shared" si="1271"/>
        <v>0</v>
      </c>
      <c r="AW686" s="133">
        <f t="shared" si="1271"/>
        <v>0</v>
      </c>
      <c r="AX686" s="127">
        <f t="shared" si="1271"/>
        <v>0</v>
      </c>
      <c r="AY686" s="144" t="s">
        <v>161</v>
      </c>
      <c r="AZ686" s="140">
        <f t="shared" ref="AZ686:BB686" si="1272">SUM(AZ683:AZ685)</f>
        <v>0</v>
      </c>
      <c r="BA686" s="140">
        <f t="shared" si="1272"/>
        <v>0</v>
      </c>
      <c r="BB686" s="140">
        <f t="shared" si="1272"/>
        <v>0</v>
      </c>
      <c r="BC686" s="479" t="s">
        <v>263</v>
      </c>
      <c r="BD686" s="480"/>
      <c r="BE686" s="15"/>
      <c r="BF686" s="18"/>
      <c r="BG686" s="15"/>
      <c r="BH686" s="18"/>
      <c r="BI686" s="15"/>
      <c r="BJ686" s="18"/>
      <c r="BK686" s="15"/>
      <c r="BL686" s="18"/>
      <c r="BM686" s="15"/>
      <c r="BN686" s="18"/>
      <c r="BO686" s="15"/>
      <c r="BP686" s="18"/>
      <c r="BQ686" s="109">
        <f t="shared" si="1269"/>
        <v>0</v>
      </c>
      <c r="BR686" s="568"/>
      <c r="BS686" s="573"/>
      <c r="BT686" s="574"/>
      <c r="BU686" s="559"/>
      <c r="BV686" s="562"/>
      <c r="BW686" s="565"/>
      <c r="BX686" s="617"/>
    </row>
    <row r="687" spans="1:76" ht="15.75" thickTop="1" x14ac:dyDescent="0.25">
      <c r="A687" s="585">
        <v>170</v>
      </c>
      <c r="B687" s="588"/>
      <c r="C687" s="589"/>
      <c r="D687" s="604"/>
      <c r="E687" s="515"/>
      <c r="F687" s="516"/>
      <c r="G687" s="521"/>
      <c r="H687" s="522"/>
      <c r="I687" s="527"/>
      <c r="J687" s="528"/>
      <c r="K687" s="512" t="e">
        <f t="shared" ref="K687" si="1273">INT(YEARFRAC(I687,AA687))</f>
        <v>#VALUE!</v>
      </c>
      <c r="L687" s="533">
        <f t="shared" ref="L687" ca="1" si="1274">INT(YEARFRAC(I687,TODAY()))</f>
        <v>121</v>
      </c>
      <c r="M687" s="536"/>
      <c r="N687" s="539"/>
      <c r="O687" s="540"/>
      <c r="P687" s="481"/>
      <c r="Q687" s="482"/>
      <c r="R687" s="515"/>
      <c r="S687" s="516"/>
      <c r="T687" s="487"/>
      <c r="U687" s="488"/>
      <c r="V687" s="491"/>
      <c r="W687" s="481"/>
      <c r="X687" s="494"/>
      <c r="Y687" s="482"/>
      <c r="Z687" s="497"/>
      <c r="AA687" s="500" t="s">
        <v>411</v>
      </c>
      <c r="AB687" s="501"/>
      <c r="AC687" s="506" t="s">
        <v>257</v>
      </c>
      <c r="AD687" s="507"/>
      <c r="AE687" s="507"/>
      <c r="AF687" s="510"/>
      <c r="AG687" s="510"/>
      <c r="AH687" s="510"/>
      <c r="AI687" s="510"/>
      <c r="AJ687" s="510"/>
      <c r="AK687" s="510"/>
      <c r="AL687" s="510"/>
      <c r="AM687" s="510"/>
      <c r="AN687" s="510"/>
      <c r="AO687" s="510"/>
      <c r="AP687" s="510"/>
      <c r="AQ687" s="465"/>
      <c r="AR687" s="467">
        <f t="shared" ref="AR687" si="1275">SUM(AF687:AQ688)</f>
        <v>0</v>
      </c>
      <c r="AS687" s="119" t="s">
        <v>257</v>
      </c>
      <c r="AT687" s="120"/>
      <c r="AU687" s="120"/>
      <c r="AV687" s="120"/>
      <c r="AW687" s="121"/>
      <c r="AX687" s="125">
        <f t="shared" ref="AX687:AX689" si="1276">SUM(AT687:AW687)</f>
        <v>0</v>
      </c>
      <c r="AY687" s="141" t="s">
        <v>257</v>
      </c>
      <c r="AZ687" s="137"/>
      <c r="BA687" s="137"/>
      <c r="BB687" s="134">
        <f t="shared" ref="BB687:BB689" si="1277">AZ687-BA687</f>
        <v>0</v>
      </c>
      <c r="BC687" s="469" t="s">
        <v>258</v>
      </c>
      <c r="BD687" s="470"/>
      <c r="BE687" s="13"/>
      <c r="BF687" s="16"/>
      <c r="BG687" s="13"/>
      <c r="BH687" s="16"/>
      <c r="BI687" s="13"/>
      <c r="BJ687" s="16"/>
      <c r="BK687" s="13"/>
      <c r="BL687" s="16"/>
      <c r="BM687" s="13"/>
      <c r="BN687" s="16"/>
      <c r="BO687" s="13"/>
      <c r="BP687" s="16"/>
      <c r="BQ687" s="106">
        <f t="shared" si="1269"/>
        <v>0</v>
      </c>
      <c r="BR687" s="566"/>
      <c r="BS687" s="569"/>
      <c r="BT687" s="570"/>
      <c r="BU687" s="557"/>
      <c r="BV687" s="560"/>
      <c r="BW687" s="563"/>
      <c r="BX687" s="615"/>
    </row>
    <row r="688" spans="1:76" x14ac:dyDescent="0.25">
      <c r="A688" s="586"/>
      <c r="B688" s="590"/>
      <c r="C688" s="591"/>
      <c r="D688" s="605"/>
      <c r="E688" s="517"/>
      <c r="F688" s="518"/>
      <c r="G688" s="523"/>
      <c r="H688" s="524"/>
      <c r="I688" s="529"/>
      <c r="J688" s="530"/>
      <c r="K688" s="513"/>
      <c r="L688" s="534"/>
      <c r="M688" s="537"/>
      <c r="N688" s="541"/>
      <c r="O688" s="542"/>
      <c r="P688" s="483"/>
      <c r="Q688" s="484"/>
      <c r="R688" s="517"/>
      <c r="S688" s="518"/>
      <c r="T688" s="487"/>
      <c r="U688" s="488"/>
      <c r="V688" s="492"/>
      <c r="W688" s="483"/>
      <c r="X688" s="495"/>
      <c r="Y688" s="484"/>
      <c r="Z688" s="498"/>
      <c r="AA688" s="502"/>
      <c r="AB688" s="503"/>
      <c r="AC688" s="508"/>
      <c r="AD688" s="509"/>
      <c r="AE688" s="509"/>
      <c r="AF688" s="511"/>
      <c r="AG688" s="511"/>
      <c r="AH688" s="511"/>
      <c r="AI688" s="511"/>
      <c r="AJ688" s="511"/>
      <c r="AK688" s="511"/>
      <c r="AL688" s="511"/>
      <c r="AM688" s="511"/>
      <c r="AN688" s="511"/>
      <c r="AO688" s="511"/>
      <c r="AP688" s="511"/>
      <c r="AQ688" s="466"/>
      <c r="AR688" s="468"/>
      <c r="AS688" s="122" t="s">
        <v>259</v>
      </c>
      <c r="AT688" s="123"/>
      <c r="AU688" s="123"/>
      <c r="AV688" s="123"/>
      <c r="AW688" s="124"/>
      <c r="AX688" s="126">
        <f t="shared" si="1276"/>
        <v>0</v>
      </c>
      <c r="AY688" s="142" t="s">
        <v>259</v>
      </c>
      <c r="AZ688" s="138"/>
      <c r="BA688" s="138"/>
      <c r="BB688" s="135">
        <f t="shared" si="1277"/>
        <v>0</v>
      </c>
      <c r="BC688" s="474" t="s">
        <v>260</v>
      </c>
      <c r="BD688" s="475"/>
      <c r="BE688" s="14"/>
      <c r="BF688" s="17"/>
      <c r="BG688" s="14"/>
      <c r="BH688" s="17"/>
      <c r="BI688" s="14"/>
      <c r="BJ688" s="17"/>
      <c r="BK688" s="14"/>
      <c r="BL688" s="17"/>
      <c r="BM688" s="14"/>
      <c r="BN688" s="17"/>
      <c r="BO688" s="14"/>
      <c r="BP688" s="17"/>
      <c r="BQ688" s="107">
        <f t="shared" si="1269"/>
        <v>0</v>
      </c>
      <c r="BR688" s="567"/>
      <c r="BS688" s="571"/>
      <c r="BT688" s="572"/>
      <c r="BU688" s="558"/>
      <c r="BV688" s="561"/>
      <c r="BW688" s="564"/>
      <c r="BX688" s="616"/>
    </row>
    <row r="689" spans="1:76" ht="15.75" thickBot="1" x14ac:dyDescent="0.3">
      <c r="A689" s="586"/>
      <c r="B689" s="590"/>
      <c r="C689" s="591"/>
      <c r="D689" s="605"/>
      <c r="E689" s="517"/>
      <c r="F689" s="518"/>
      <c r="G689" s="523"/>
      <c r="H689" s="524"/>
      <c r="I689" s="529"/>
      <c r="J689" s="530"/>
      <c r="K689" s="513"/>
      <c r="L689" s="534"/>
      <c r="M689" s="537"/>
      <c r="N689" s="541"/>
      <c r="O689" s="542"/>
      <c r="P689" s="483"/>
      <c r="Q689" s="484"/>
      <c r="R689" s="517"/>
      <c r="S689" s="518"/>
      <c r="T689" s="487"/>
      <c r="U689" s="488"/>
      <c r="V689" s="492"/>
      <c r="W689" s="483"/>
      <c r="X689" s="495"/>
      <c r="Y689" s="484"/>
      <c r="Z689" s="498"/>
      <c r="AA689" s="502"/>
      <c r="AB689" s="503"/>
      <c r="AC689" s="471" t="s">
        <v>259</v>
      </c>
      <c r="AD689" s="472"/>
      <c r="AE689" s="473"/>
      <c r="AF689" s="100"/>
      <c r="AG689" s="100"/>
      <c r="AH689" s="100"/>
      <c r="AI689" s="100"/>
      <c r="AJ689" s="100"/>
      <c r="AK689" s="100"/>
      <c r="AL689" s="100"/>
      <c r="AM689" s="100"/>
      <c r="AN689" s="100"/>
      <c r="AO689" s="100"/>
      <c r="AP689" s="100"/>
      <c r="AQ689" s="101"/>
      <c r="AR689" s="104">
        <f t="shared" ref="AR689:AR690" si="1278">SUM(AF689:AQ689)</f>
        <v>0</v>
      </c>
      <c r="AS689" s="128" t="s">
        <v>261</v>
      </c>
      <c r="AT689" s="129"/>
      <c r="AU689" s="129"/>
      <c r="AV689" s="129"/>
      <c r="AW689" s="130"/>
      <c r="AX689" s="126">
        <f t="shared" si="1276"/>
        <v>0</v>
      </c>
      <c r="AY689" s="143" t="s">
        <v>261</v>
      </c>
      <c r="AZ689" s="139"/>
      <c r="BA689" s="139"/>
      <c r="BB689" s="136">
        <f t="shared" si="1277"/>
        <v>0</v>
      </c>
      <c r="BC689" s="474" t="s">
        <v>262</v>
      </c>
      <c r="BD689" s="475"/>
      <c r="BE689" s="14"/>
      <c r="BF689" s="17"/>
      <c r="BG689" s="14"/>
      <c r="BH689" s="17"/>
      <c r="BI689" s="14"/>
      <c r="BJ689" s="17"/>
      <c r="BK689" s="14"/>
      <c r="BL689" s="17"/>
      <c r="BM689" s="14"/>
      <c r="BN689" s="17"/>
      <c r="BO689" s="14"/>
      <c r="BP689" s="17"/>
      <c r="BQ689" s="108">
        <f t="shared" si="1269"/>
        <v>0</v>
      </c>
      <c r="BR689" s="567"/>
      <c r="BS689" s="571"/>
      <c r="BT689" s="572"/>
      <c r="BU689" s="558"/>
      <c r="BV689" s="561"/>
      <c r="BW689" s="564"/>
      <c r="BX689" s="616"/>
    </row>
    <row r="690" spans="1:76" ht="15.75" thickBot="1" x14ac:dyDescent="0.3">
      <c r="A690" s="587"/>
      <c r="B690" s="592"/>
      <c r="C690" s="593"/>
      <c r="D690" s="606"/>
      <c r="E690" s="519"/>
      <c r="F690" s="520"/>
      <c r="G690" s="525"/>
      <c r="H690" s="526"/>
      <c r="I690" s="531"/>
      <c r="J690" s="532"/>
      <c r="K690" s="514"/>
      <c r="L690" s="535"/>
      <c r="M690" s="538"/>
      <c r="N690" s="543"/>
      <c r="O690" s="544"/>
      <c r="P690" s="485"/>
      <c r="Q690" s="486"/>
      <c r="R690" s="519"/>
      <c r="S690" s="520"/>
      <c r="T690" s="489"/>
      <c r="U690" s="490"/>
      <c r="V690" s="493"/>
      <c r="W690" s="485"/>
      <c r="X690" s="496"/>
      <c r="Y690" s="486"/>
      <c r="Z690" s="499"/>
      <c r="AA690" s="504"/>
      <c r="AB690" s="505"/>
      <c r="AC690" s="476" t="s">
        <v>261</v>
      </c>
      <c r="AD690" s="477"/>
      <c r="AE690" s="478"/>
      <c r="AF690" s="102"/>
      <c r="AG690" s="102"/>
      <c r="AH690" s="102"/>
      <c r="AI690" s="102"/>
      <c r="AJ690" s="102"/>
      <c r="AK690" s="102"/>
      <c r="AL690" s="102"/>
      <c r="AM690" s="102"/>
      <c r="AN690" s="102"/>
      <c r="AO690" s="102"/>
      <c r="AP690" s="102"/>
      <c r="AQ690" s="103"/>
      <c r="AR690" s="105">
        <f t="shared" si="1278"/>
        <v>0</v>
      </c>
      <c r="AS690" s="131" t="s">
        <v>161</v>
      </c>
      <c r="AT690" s="132">
        <f t="shared" ref="AT690:AX690" si="1279">SUM(AT687:AT689)</f>
        <v>0</v>
      </c>
      <c r="AU690" s="132">
        <f t="shared" si="1279"/>
        <v>0</v>
      </c>
      <c r="AV690" s="132">
        <f t="shared" si="1279"/>
        <v>0</v>
      </c>
      <c r="AW690" s="133">
        <f t="shared" si="1279"/>
        <v>0</v>
      </c>
      <c r="AX690" s="127">
        <f t="shared" si="1279"/>
        <v>0</v>
      </c>
      <c r="AY690" s="144" t="s">
        <v>161</v>
      </c>
      <c r="AZ690" s="140">
        <f t="shared" ref="AZ690:BB690" si="1280">SUM(AZ687:AZ689)</f>
        <v>0</v>
      </c>
      <c r="BA690" s="140">
        <f t="shared" si="1280"/>
        <v>0</v>
      </c>
      <c r="BB690" s="140">
        <f t="shared" si="1280"/>
        <v>0</v>
      </c>
      <c r="BC690" s="479" t="s">
        <v>263</v>
      </c>
      <c r="BD690" s="480"/>
      <c r="BE690" s="15"/>
      <c r="BF690" s="18"/>
      <c r="BG690" s="15"/>
      <c r="BH690" s="18"/>
      <c r="BI690" s="15"/>
      <c r="BJ690" s="18"/>
      <c r="BK690" s="15"/>
      <c r="BL690" s="18"/>
      <c r="BM690" s="15"/>
      <c r="BN690" s="18"/>
      <c r="BO690" s="15"/>
      <c r="BP690" s="18"/>
      <c r="BQ690" s="109">
        <f t="shared" si="1269"/>
        <v>0</v>
      </c>
      <c r="BR690" s="568"/>
      <c r="BS690" s="573"/>
      <c r="BT690" s="574"/>
      <c r="BU690" s="559"/>
      <c r="BV690" s="562"/>
      <c r="BW690" s="565"/>
      <c r="BX690" s="617"/>
    </row>
    <row r="691" spans="1:76" ht="15.75" thickTop="1" x14ac:dyDescent="0.25">
      <c r="A691" s="585">
        <v>171</v>
      </c>
      <c r="B691" s="588"/>
      <c r="C691" s="589"/>
      <c r="D691" s="604"/>
      <c r="E691" s="515"/>
      <c r="F691" s="516"/>
      <c r="G691" s="521"/>
      <c r="H691" s="522"/>
      <c r="I691" s="527"/>
      <c r="J691" s="528"/>
      <c r="K691" s="512" t="e">
        <f t="shared" ref="K691" si="1281">INT(YEARFRAC(I691,AA691))</f>
        <v>#VALUE!</v>
      </c>
      <c r="L691" s="533">
        <f t="shared" ref="L691" ca="1" si="1282">INT(YEARFRAC(I691,TODAY()))</f>
        <v>121</v>
      </c>
      <c r="M691" s="536"/>
      <c r="N691" s="539"/>
      <c r="O691" s="540"/>
      <c r="P691" s="481"/>
      <c r="Q691" s="482"/>
      <c r="R691" s="515"/>
      <c r="S691" s="516"/>
      <c r="T691" s="487"/>
      <c r="U691" s="488"/>
      <c r="V691" s="491"/>
      <c r="W691" s="481"/>
      <c r="X691" s="494"/>
      <c r="Y691" s="482"/>
      <c r="Z691" s="497"/>
      <c r="AA691" s="500" t="s">
        <v>412</v>
      </c>
      <c r="AB691" s="501"/>
      <c r="AC691" s="506" t="s">
        <v>257</v>
      </c>
      <c r="AD691" s="507"/>
      <c r="AE691" s="507"/>
      <c r="AF691" s="510"/>
      <c r="AG691" s="510"/>
      <c r="AH691" s="510"/>
      <c r="AI691" s="510"/>
      <c r="AJ691" s="510"/>
      <c r="AK691" s="510"/>
      <c r="AL691" s="510"/>
      <c r="AM691" s="510"/>
      <c r="AN691" s="510"/>
      <c r="AO691" s="510"/>
      <c r="AP691" s="510"/>
      <c r="AQ691" s="465"/>
      <c r="AR691" s="467">
        <f t="shared" ref="AR691" si="1283">SUM(AF691:AQ692)</f>
        <v>0</v>
      </c>
      <c r="AS691" s="119" t="s">
        <v>257</v>
      </c>
      <c r="AT691" s="120"/>
      <c r="AU691" s="120"/>
      <c r="AV691" s="120"/>
      <c r="AW691" s="121"/>
      <c r="AX691" s="125">
        <f t="shared" ref="AX691:AX693" si="1284">SUM(AT691:AW691)</f>
        <v>0</v>
      </c>
      <c r="AY691" s="141" t="s">
        <v>257</v>
      </c>
      <c r="AZ691" s="137"/>
      <c r="BA691" s="137"/>
      <c r="BB691" s="134">
        <f t="shared" ref="BB691:BB693" si="1285">AZ691-BA691</f>
        <v>0</v>
      </c>
      <c r="BC691" s="469" t="s">
        <v>258</v>
      </c>
      <c r="BD691" s="470"/>
      <c r="BE691" s="13"/>
      <c r="BF691" s="16"/>
      <c r="BG691" s="13"/>
      <c r="BH691" s="16"/>
      <c r="BI691" s="13"/>
      <c r="BJ691" s="16"/>
      <c r="BK691" s="13"/>
      <c r="BL691" s="16"/>
      <c r="BM691" s="13"/>
      <c r="BN691" s="16"/>
      <c r="BO691" s="13"/>
      <c r="BP691" s="16"/>
      <c r="BQ691" s="106">
        <f t="shared" si="1269"/>
        <v>0</v>
      </c>
      <c r="BR691" s="566"/>
      <c r="BS691" s="569"/>
      <c r="BT691" s="570"/>
      <c r="BU691" s="557"/>
      <c r="BV691" s="560"/>
      <c r="BW691" s="563"/>
      <c r="BX691" s="615"/>
    </row>
    <row r="692" spans="1:76" x14ac:dyDescent="0.25">
      <c r="A692" s="586"/>
      <c r="B692" s="590"/>
      <c r="C692" s="591"/>
      <c r="D692" s="605"/>
      <c r="E692" s="517"/>
      <c r="F692" s="518"/>
      <c r="G692" s="523"/>
      <c r="H692" s="524"/>
      <c r="I692" s="529"/>
      <c r="J692" s="530"/>
      <c r="K692" s="513"/>
      <c r="L692" s="534"/>
      <c r="M692" s="537"/>
      <c r="N692" s="541"/>
      <c r="O692" s="542"/>
      <c r="P692" s="483"/>
      <c r="Q692" s="484"/>
      <c r="R692" s="517"/>
      <c r="S692" s="518"/>
      <c r="T692" s="487"/>
      <c r="U692" s="488"/>
      <c r="V692" s="492"/>
      <c r="W692" s="483"/>
      <c r="X692" s="495"/>
      <c r="Y692" s="484"/>
      <c r="Z692" s="498"/>
      <c r="AA692" s="502"/>
      <c r="AB692" s="503"/>
      <c r="AC692" s="508"/>
      <c r="AD692" s="509"/>
      <c r="AE692" s="509"/>
      <c r="AF692" s="511"/>
      <c r="AG692" s="511"/>
      <c r="AH692" s="511"/>
      <c r="AI692" s="511"/>
      <c r="AJ692" s="511"/>
      <c r="AK692" s="511"/>
      <c r="AL692" s="511"/>
      <c r="AM692" s="511"/>
      <c r="AN692" s="511"/>
      <c r="AO692" s="511"/>
      <c r="AP692" s="511"/>
      <c r="AQ692" s="466"/>
      <c r="AR692" s="468"/>
      <c r="AS692" s="122" t="s">
        <v>259</v>
      </c>
      <c r="AT692" s="123"/>
      <c r="AU692" s="123"/>
      <c r="AV692" s="123"/>
      <c r="AW692" s="124"/>
      <c r="AX692" s="126">
        <f t="shared" si="1284"/>
        <v>0</v>
      </c>
      <c r="AY692" s="142" t="s">
        <v>259</v>
      </c>
      <c r="AZ692" s="138"/>
      <c r="BA692" s="138"/>
      <c r="BB692" s="135">
        <f t="shared" si="1285"/>
        <v>0</v>
      </c>
      <c r="BC692" s="474" t="s">
        <v>260</v>
      </c>
      <c r="BD692" s="475"/>
      <c r="BE692" s="14"/>
      <c r="BF692" s="17"/>
      <c r="BG692" s="14"/>
      <c r="BH692" s="17"/>
      <c r="BI692" s="14"/>
      <c r="BJ692" s="17"/>
      <c r="BK692" s="14"/>
      <c r="BL692" s="17"/>
      <c r="BM692" s="14"/>
      <c r="BN692" s="17"/>
      <c r="BO692" s="14"/>
      <c r="BP692" s="17"/>
      <c r="BQ692" s="107">
        <f t="shared" si="1269"/>
        <v>0</v>
      </c>
      <c r="BR692" s="567"/>
      <c r="BS692" s="571"/>
      <c r="BT692" s="572"/>
      <c r="BU692" s="558"/>
      <c r="BV692" s="561"/>
      <c r="BW692" s="564"/>
      <c r="BX692" s="616"/>
    </row>
    <row r="693" spans="1:76" ht="15.75" thickBot="1" x14ac:dyDescent="0.3">
      <c r="A693" s="586"/>
      <c r="B693" s="590"/>
      <c r="C693" s="591"/>
      <c r="D693" s="605"/>
      <c r="E693" s="517"/>
      <c r="F693" s="518"/>
      <c r="G693" s="523"/>
      <c r="H693" s="524"/>
      <c r="I693" s="529"/>
      <c r="J693" s="530"/>
      <c r="K693" s="513"/>
      <c r="L693" s="534"/>
      <c r="M693" s="537"/>
      <c r="N693" s="541"/>
      <c r="O693" s="542"/>
      <c r="P693" s="483"/>
      <c r="Q693" s="484"/>
      <c r="R693" s="517"/>
      <c r="S693" s="518"/>
      <c r="T693" s="487"/>
      <c r="U693" s="488"/>
      <c r="V693" s="492"/>
      <c r="W693" s="483"/>
      <c r="X693" s="495"/>
      <c r="Y693" s="484"/>
      <c r="Z693" s="498"/>
      <c r="AA693" s="502"/>
      <c r="AB693" s="503"/>
      <c r="AC693" s="471" t="s">
        <v>259</v>
      </c>
      <c r="AD693" s="472"/>
      <c r="AE693" s="473"/>
      <c r="AF693" s="100"/>
      <c r="AG693" s="100"/>
      <c r="AH693" s="100"/>
      <c r="AI693" s="100"/>
      <c r="AJ693" s="100"/>
      <c r="AK693" s="100"/>
      <c r="AL693" s="100"/>
      <c r="AM693" s="100"/>
      <c r="AN693" s="100"/>
      <c r="AO693" s="100"/>
      <c r="AP693" s="100"/>
      <c r="AQ693" s="101"/>
      <c r="AR693" s="104">
        <f t="shared" ref="AR693:AR694" si="1286">SUM(AF693:AQ693)</f>
        <v>0</v>
      </c>
      <c r="AS693" s="128" t="s">
        <v>261</v>
      </c>
      <c r="AT693" s="129"/>
      <c r="AU693" s="129"/>
      <c r="AV693" s="129"/>
      <c r="AW693" s="130"/>
      <c r="AX693" s="126">
        <f t="shared" si="1284"/>
        <v>0</v>
      </c>
      <c r="AY693" s="143" t="s">
        <v>261</v>
      </c>
      <c r="AZ693" s="139"/>
      <c r="BA693" s="139"/>
      <c r="BB693" s="136">
        <f t="shared" si="1285"/>
        <v>0</v>
      </c>
      <c r="BC693" s="474" t="s">
        <v>262</v>
      </c>
      <c r="BD693" s="475"/>
      <c r="BE693" s="14"/>
      <c r="BF693" s="17"/>
      <c r="BG693" s="14"/>
      <c r="BH693" s="17"/>
      <c r="BI693" s="14"/>
      <c r="BJ693" s="17"/>
      <c r="BK693" s="14"/>
      <c r="BL693" s="17"/>
      <c r="BM693" s="14"/>
      <c r="BN693" s="17"/>
      <c r="BO693" s="14"/>
      <c r="BP693" s="17"/>
      <c r="BQ693" s="108">
        <f t="shared" si="1269"/>
        <v>0</v>
      </c>
      <c r="BR693" s="567"/>
      <c r="BS693" s="571"/>
      <c r="BT693" s="572"/>
      <c r="BU693" s="558"/>
      <c r="BV693" s="561"/>
      <c r="BW693" s="564"/>
      <c r="BX693" s="616"/>
    </row>
    <row r="694" spans="1:76" ht="15.75" thickBot="1" x14ac:dyDescent="0.3">
      <c r="A694" s="587"/>
      <c r="B694" s="592"/>
      <c r="C694" s="593"/>
      <c r="D694" s="606"/>
      <c r="E694" s="519"/>
      <c r="F694" s="520"/>
      <c r="G694" s="525"/>
      <c r="H694" s="526"/>
      <c r="I694" s="531"/>
      <c r="J694" s="532"/>
      <c r="K694" s="514"/>
      <c r="L694" s="535"/>
      <c r="M694" s="538"/>
      <c r="N694" s="543"/>
      <c r="O694" s="544"/>
      <c r="P694" s="485"/>
      <c r="Q694" s="486"/>
      <c r="R694" s="519"/>
      <c r="S694" s="520"/>
      <c r="T694" s="489"/>
      <c r="U694" s="490"/>
      <c r="V694" s="493"/>
      <c r="W694" s="485"/>
      <c r="X694" s="496"/>
      <c r="Y694" s="486"/>
      <c r="Z694" s="499"/>
      <c r="AA694" s="504"/>
      <c r="AB694" s="505"/>
      <c r="AC694" s="476" t="s">
        <v>261</v>
      </c>
      <c r="AD694" s="477"/>
      <c r="AE694" s="478"/>
      <c r="AF694" s="102"/>
      <c r="AG694" s="102"/>
      <c r="AH694" s="102"/>
      <c r="AI694" s="102"/>
      <c r="AJ694" s="102"/>
      <c r="AK694" s="102"/>
      <c r="AL694" s="102"/>
      <c r="AM694" s="102"/>
      <c r="AN694" s="102"/>
      <c r="AO694" s="102"/>
      <c r="AP694" s="102"/>
      <c r="AQ694" s="103"/>
      <c r="AR694" s="105">
        <f t="shared" si="1286"/>
        <v>0</v>
      </c>
      <c r="AS694" s="131" t="s">
        <v>161</v>
      </c>
      <c r="AT694" s="132">
        <f t="shared" ref="AT694:AX694" si="1287">SUM(AT691:AT693)</f>
        <v>0</v>
      </c>
      <c r="AU694" s="132">
        <f t="shared" si="1287"/>
        <v>0</v>
      </c>
      <c r="AV694" s="132">
        <f t="shared" si="1287"/>
        <v>0</v>
      </c>
      <c r="AW694" s="133">
        <f t="shared" si="1287"/>
        <v>0</v>
      </c>
      <c r="AX694" s="127">
        <f t="shared" si="1287"/>
        <v>0</v>
      </c>
      <c r="AY694" s="144" t="s">
        <v>161</v>
      </c>
      <c r="AZ694" s="140">
        <f t="shared" ref="AZ694:BB694" si="1288">SUM(AZ691:AZ693)</f>
        <v>0</v>
      </c>
      <c r="BA694" s="140">
        <f t="shared" si="1288"/>
        <v>0</v>
      </c>
      <c r="BB694" s="140">
        <f t="shared" si="1288"/>
        <v>0</v>
      </c>
      <c r="BC694" s="479" t="s">
        <v>263</v>
      </c>
      <c r="BD694" s="480"/>
      <c r="BE694" s="15"/>
      <c r="BF694" s="18"/>
      <c r="BG694" s="15"/>
      <c r="BH694" s="18"/>
      <c r="BI694" s="15"/>
      <c r="BJ694" s="18"/>
      <c r="BK694" s="15"/>
      <c r="BL694" s="18"/>
      <c r="BM694" s="15"/>
      <c r="BN694" s="18"/>
      <c r="BO694" s="15"/>
      <c r="BP694" s="18"/>
      <c r="BQ694" s="109">
        <f t="shared" si="1269"/>
        <v>0</v>
      </c>
      <c r="BR694" s="568"/>
      <c r="BS694" s="573"/>
      <c r="BT694" s="574"/>
      <c r="BU694" s="559"/>
      <c r="BV694" s="562"/>
      <c r="BW694" s="565"/>
      <c r="BX694" s="617"/>
    </row>
    <row r="695" spans="1:76" ht="15.75" thickTop="1" x14ac:dyDescent="0.25">
      <c r="A695" s="585">
        <v>172</v>
      </c>
      <c r="B695" s="588"/>
      <c r="C695" s="589"/>
      <c r="D695" s="604"/>
      <c r="E695" s="515"/>
      <c r="F695" s="516"/>
      <c r="G695" s="521"/>
      <c r="H695" s="522"/>
      <c r="I695" s="527"/>
      <c r="J695" s="528"/>
      <c r="K695" s="512" t="e">
        <f t="shared" ref="K695" si="1289">INT(YEARFRAC(I695,AA695))</f>
        <v>#VALUE!</v>
      </c>
      <c r="L695" s="533">
        <f t="shared" ref="L695" ca="1" si="1290">INT(YEARFRAC(I695,TODAY()))</f>
        <v>121</v>
      </c>
      <c r="M695" s="536"/>
      <c r="N695" s="539"/>
      <c r="O695" s="540"/>
      <c r="P695" s="481"/>
      <c r="Q695" s="482"/>
      <c r="R695" s="515"/>
      <c r="S695" s="516"/>
      <c r="T695" s="487"/>
      <c r="U695" s="488"/>
      <c r="V695" s="491"/>
      <c r="W695" s="481"/>
      <c r="X695" s="494"/>
      <c r="Y695" s="482"/>
      <c r="Z695" s="497"/>
      <c r="AA695" s="500" t="s">
        <v>413</v>
      </c>
      <c r="AB695" s="501"/>
      <c r="AC695" s="506" t="s">
        <v>257</v>
      </c>
      <c r="AD695" s="507"/>
      <c r="AE695" s="507"/>
      <c r="AF695" s="510"/>
      <c r="AG695" s="510"/>
      <c r="AH695" s="510"/>
      <c r="AI695" s="510"/>
      <c r="AJ695" s="510"/>
      <c r="AK695" s="510"/>
      <c r="AL695" s="510"/>
      <c r="AM695" s="510"/>
      <c r="AN695" s="510"/>
      <c r="AO695" s="510"/>
      <c r="AP695" s="510"/>
      <c r="AQ695" s="465"/>
      <c r="AR695" s="467">
        <f t="shared" ref="AR695" si="1291">SUM(AF695:AQ696)</f>
        <v>0</v>
      </c>
      <c r="AS695" s="119" t="s">
        <v>257</v>
      </c>
      <c r="AT695" s="120"/>
      <c r="AU695" s="120"/>
      <c r="AV695" s="120"/>
      <c r="AW695" s="121"/>
      <c r="AX695" s="125">
        <f t="shared" ref="AX695:AX697" si="1292">SUM(AT695:AW695)</f>
        <v>0</v>
      </c>
      <c r="AY695" s="141" t="s">
        <v>257</v>
      </c>
      <c r="AZ695" s="137"/>
      <c r="BA695" s="137"/>
      <c r="BB695" s="134">
        <f t="shared" ref="BB695:BB697" si="1293">AZ695-BA695</f>
        <v>0</v>
      </c>
      <c r="BC695" s="469" t="s">
        <v>258</v>
      </c>
      <c r="BD695" s="470"/>
      <c r="BE695" s="13"/>
      <c r="BF695" s="16"/>
      <c r="BG695" s="13"/>
      <c r="BH695" s="16"/>
      <c r="BI695" s="13"/>
      <c r="BJ695" s="16"/>
      <c r="BK695" s="13"/>
      <c r="BL695" s="16"/>
      <c r="BM695" s="13"/>
      <c r="BN695" s="16"/>
      <c r="BO695" s="13"/>
      <c r="BP695" s="16"/>
      <c r="BQ695" s="106">
        <f t="shared" si="1269"/>
        <v>0</v>
      </c>
      <c r="BR695" s="566"/>
      <c r="BS695" s="569"/>
      <c r="BT695" s="570"/>
      <c r="BU695" s="557"/>
      <c r="BV695" s="560"/>
      <c r="BW695" s="563"/>
      <c r="BX695" s="615"/>
    </row>
    <row r="696" spans="1:76" x14ac:dyDescent="0.25">
      <c r="A696" s="586"/>
      <c r="B696" s="590"/>
      <c r="C696" s="591"/>
      <c r="D696" s="605"/>
      <c r="E696" s="517"/>
      <c r="F696" s="518"/>
      <c r="G696" s="523"/>
      <c r="H696" s="524"/>
      <c r="I696" s="529"/>
      <c r="J696" s="530"/>
      <c r="K696" s="513"/>
      <c r="L696" s="534"/>
      <c r="M696" s="537"/>
      <c r="N696" s="541"/>
      <c r="O696" s="542"/>
      <c r="P696" s="483"/>
      <c r="Q696" s="484"/>
      <c r="R696" s="517"/>
      <c r="S696" s="518"/>
      <c r="T696" s="487"/>
      <c r="U696" s="488"/>
      <c r="V696" s="492"/>
      <c r="W696" s="483"/>
      <c r="X696" s="495"/>
      <c r="Y696" s="484"/>
      <c r="Z696" s="498"/>
      <c r="AA696" s="502"/>
      <c r="AB696" s="503"/>
      <c r="AC696" s="508"/>
      <c r="AD696" s="509"/>
      <c r="AE696" s="509"/>
      <c r="AF696" s="511"/>
      <c r="AG696" s="511"/>
      <c r="AH696" s="511"/>
      <c r="AI696" s="511"/>
      <c r="AJ696" s="511"/>
      <c r="AK696" s="511"/>
      <c r="AL696" s="511"/>
      <c r="AM696" s="511"/>
      <c r="AN696" s="511"/>
      <c r="AO696" s="511"/>
      <c r="AP696" s="511"/>
      <c r="AQ696" s="466"/>
      <c r="AR696" s="468"/>
      <c r="AS696" s="122" t="s">
        <v>259</v>
      </c>
      <c r="AT696" s="123"/>
      <c r="AU696" s="123"/>
      <c r="AV696" s="123"/>
      <c r="AW696" s="124"/>
      <c r="AX696" s="126">
        <f t="shared" si="1292"/>
        <v>0</v>
      </c>
      <c r="AY696" s="142" t="s">
        <v>259</v>
      </c>
      <c r="AZ696" s="138"/>
      <c r="BA696" s="138"/>
      <c r="BB696" s="135">
        <f t="shared" si="1293"/>
        <v>0</v>
      </c>
      <c r="BC696" s="474" t="s">
        <v>260</v>
      </c>
      <c r="BD696" s="475"/>
      <c r="BE696" s="14"/>
      <c r="BF696" s="17"/>
      <c r="BG696" s="14"/>
      <c r="BH696" s="17"/>
      <c r="BI696" s="14"/>
      <c r="BJ696" s="17"/>
      <c r="BK696" s="14"/>
      <c r="BL696" s="17"/>
      <c r="BM696" s="14"/>
      <c r="BN696" s="17"/>
      <c r="BO696" s="14"/>
      <c r="BP696" s="17"/>
      <c r="BQ696" s="107">
        <f t="shared" si="1269"/>
        <v>0</v>
      </c>
      <c r="BR696" s="567"/>
      <c r="BS696" s="571"/>
      <c r="BT696" s="572"/>
      <c r="BU696" s="558"/>
      <c r="BV696" s="561"/>
      <c r="BW696" s="564"/>
      <c r="BX696" s="616"/>
    </row>
    <row r="697" spans="1:76" ht="15.75" thickBot="1" x14ac:dyDescent="0.3">
      <c r="A697" s="586"/>
      <c r="B697" s="590"/>
      <c r="C697" s="591"/>
      <c r="D697" s="605"/>
      <c r="E697" s="517"/>
      <c r="F697" s="518"/>
      <c r="G697" s="523"/>
      <c r="H697" s="524"/>
      <c r="I697" s="529"/>
      <c r="J697" s="530"/>
      <c r="K697" s="513"/>
      <c r="L697" s="534"/>
      <c r="M697" s="537"/>
      <c r="N697" s="541"/>
      <c r="O697" s="542"/>
      <c r="P697" s="483"/>
      <c r="Q697" s="484"/>
      <c r="R697" s="517"/>
      <c r="S697" s="518"/>
      <c r="T697" s="487"/>
      <c r="U697" s="488"/>
      <c r="V697" s="492"/>
      <c r="W697" s="483"/>
      <c r="X697" s="495"/>
      <c r="Y697" s="484"/>
      <c r="Z697" s="498"/>
      <c r="AA697" s="502"/>
      <c r="AB697" s="503"/>
      <c r="AC697" s="471" t="s">
        <v>259</v>
      </c>
      <c r="AD697" s="472"/>
      <c r="AE697" s="473"/>
      <c r="AF697" s="100"/>
      <c r="AG697" s="100"/>
      <c r="AH697" s="100"/>
      <c r="AI697" s="100"/>
      <c r="AJ697" s="100"/>
      <c r="AK697" s="100"/>
      <c r="AL697" s="100"/>
      <c r="AM697" s="100"/>
      <c r="AN697" s="100"/>
      <c r="AO697" s="100"/>
      <c r="AP697" s="100"/>
      <c r="AQ697" s="101"/>
      <c r="AR697" s="104">
        <f t="shared" ref="AR697:AR698" si="1294">SUM(AF697:AQ697)</f>
        <v>0</v>
      </c>
      <c r="AS697" s="128" t="s">
        <v>261</v>
      </c>
      <c r="AT697" s="129"/>
      <c r="AU697" s="129"/>
      <c r="AV697" s="129"/>
      <c r="AW697" s="130"/>
      <c r="AX697" s="126">
        <f t="shared" si="1292"/>
        <v>0</v>
      </c>
      <c r="AY697" s="143" t="s">
        <v>261</v>
      </c>
      <c r="AZ697" s="139"/>
      <c r="BA697" s="139"/>
      <c r="BB697" s="136">
        <f t="shared" si="1293"/>
        <v>0</v>
      </c>
      <c r="BC697" s="474" t="s">
        <v>262</v>
      </c>
      <c r="BD697" s="475"/>
      <c r="BE697" s="14"/>
      <c r="BF697" s="17"/>
      <c r="BG697" s="14"/>
      <c r="BH697" s="17"/>
      <c r="BI697" s="14"/>
      <c r="BJ697" s="17"/>
      <c r="BK697" s="14"/>
      <c r="BL697" s="17"/>
      <c r="BM697" s="14"/>
      <c r="BN697" s="17"/>
      <c r="BO697" s="14"/>
      <c r="BP697" s="17"/>
      <c r="BQ697" s="108">
        <f t="shared" si="1269"/>
        <v>0</v>
      </c>
      <c r="BR697" s="567"/>
      <c r="BS697" s="571"/>
      <c r="BT697" s="572"/>
      <c r="BU697" s="558"/>
      <c r="BV697" s="561"/>
      <c r="BW697" s="564"/>
      <c r="BX697" s="616"/>
    </row>
    <row r="698" spans="1:76" ht="15.75" thickBot="1" x14ac:dyDescent="0.3">
      <c r="A698" s="587"/>
      <c r="B698" s="592"/>
      <c r="C698" s="593"/>
      <c r="D698" s="606"/>
      <c r="E698" s="519"/>
      <c r="F698" s="520"/>
      <c r="G698" s="525"/>
      <c r="H698" s="526"/>
      <c r="I698" s="531"/>
      <c r="J698" s="532"/>
      <c r="K698" s="514"/>
      <c r="L698" s="535"/>
      <c r="M698" s="538"/>
      <c r="N698" s="543"/>
      <c r="O698" s="544"/>
      <c r="P698" s="485"/>
      <c r="Q698" s="486"/>
      <c r="R698" s="519"/>
      <c r="S698" s="520"/>
      <c r="T698" s="489"/>
      <c r="U698" s="490"/>
      <c r="V698" s="493"/>
      <c r="W698" s="485"/>
      <c r="X698" s="496"/>
      <c r="Y698" s="486"/>
      <c r="Z698" s="499"/>
      <c r="AA698" s="504"/>
      <c r="AB698" s="505"/>
      <c r="AC698" s="476" t="s">
        <v>261</v>
      </c>
      <c r="AD698" s="477"/>
      <c r="AE698" s="478"/>
      <c r="AF698" s="102"/>
      <c r="AG698" s="102"/>
      <c r="AH698" s="102"/>
      <c r="AI698" s="102"/>
      <c r="AJ698" s="102"/>
      <c r="AK698" s="102"/>
      <c r="AL698" s="102"/>
      <c r="AM698" s="102"/>
      <c r="AN698" s="102"/>
      <c r="AO698" s="102"/>
      <c r="AP698" s="102"/>
      <c r="AQ698" s="103"/>
      <c r="AR698" s="105">
        <f t="shared" si="1294"/>
        <v>0</v>
      </c>
      <c r="AS698" s="131" t="s">
        <v>161</v>
      </c>
      <c r="AT698" s="132">
        <f t="shared" ref="AT698:AX698" si="1295">SUM(AT695:AT697)</f>
        <v>0</v>
      </c>
      <c r="AU698" s="132">
        <f t="shared" si="1295"/>
        <v>0</v>
      </c>
      <c r="AV698" s="132">
        <f t="shared" si="1295"/>
        <v>0</v>
      </c>
      <c r="AW698" s="133">
        <f t="shared" si="1295"/>
        <v>0</v>
      </c>
      <c r="AX698" s="127">
        <f t="shared" si="1295"/>
        <v>0</v>
      </c>
      <c r="AY698" s="144" t="s">
        <v>161</v>
      </c>
      <c r="AZ698" s="140">
        <f t="shared" ref="AZ698:BB698" si="1296">SUM(AZ695:AZ697)</f>
        <v>0</v>
      </c>
      <c r="BA698" s="140">
        <f t="shared" si="1296"/>
        <v>0</v>
      </c>
      <c r="BB698" s="140">
        <f t="shared" si="1296"/>
        <v>0</v>
      </c>
      <c r="BC698" s="479" t="s">
        <v>263</v>
      </c>
      <c r="BD698" s="480"/>
      <c r="BE698" s="15"/>
      <c r="BF698" s="18"/>
      <c r="BG698" s="15"/>
      <c r="BH698" s="18"/>
      <c r="BI698" s="15"/>
      <c r="BJ698" s="18"/>
      <c r="BK698" s="15"/>
      <c r="BL698" s="18"/>
      <c r="BM698" s="15"/>
      <c r="BN698" s="18"/>
      <c r="BO698" s="15"/>
      <c r="BP698" s="18"/>
      <c r="BQ698" s="109">
        <f t="shared" si="1269"/>
        <v>0</v>
      </c>
      <c r="BR698" s="568"/>
      <c r="BS698" s="573"/>
      <c r="BT698" s="574"/>
      <c r="BU698" s="559"/>
      <c r="BV698" s="562"/>
      <c r="BW698" s="565"/>
      <c r="BX698" s="617"/>
    </row>
    <row r="699" spans="1:76" ht="15.75" thickTop="1" x14ac:dyDescent="0.25">
      <c r="A699" s="585">
        <v>173</v>
      </c>
      <c r="B699" s="588"/>
      <c r="C699" s="589"/>
      <c r="D699" s="604"/>
      <c r="E699" s="515"/>
      <c r="F699" s="516"/>
      <c r="G699" s="521"/>
      <c r="H699" s="522"/>
      <c r="I699" s="527"/>
      <c r="J699" s="528"/>
      <c r="K699" s="512" t="e">
        <f t="shared" ref="K699" si="1297">INT(YEARFRAC(I699,AA699))</f>
        <v>#VALUE!</v>
      </c>
      <c r="L699" s="533">
        <f t="shared" ref="L699" ca="1" si="1298">INT(YEARFRAC(I699,TODAY()))</f>
        <v>121</v>
      </c>
      <c r="M699" s="536"/>
      <c r="N699" s="539"/>
      <c r="O699" s="540"/>
      <c r="P699" s="481"/>
      <c r="Q699" s="482"/>
      <c r="R699" s="515"/>
      <c r="S699" s="516"/>
      <c r="T699" s="487"/>
      <c r="U699" s="488"/>
      <c r="V699" s="491"/>
      <c r="W699" s="481"/>
      <c r="X699" s="494"/>
      <c r="Y699" s="482"/>
      <c r="Z699" s="497"/>
      <c r="AA699" s="500" t="s">
        <v>414</v>
      </c>
      <c r="AB699" s="501"/>
      <c r="AC699" s="506" t="s">
        <v>257</v>
      </c>
      <c r="AD699" s="507"/>
      <c r="AE699" s="507"/>
      <c r="AF699" s="510"/>
      <c r="AG699" s="510"/>
      <c r="AH699" s="510"/>
      <c r="AI699" s="510"/>
      <c r="AJ699" s="510"/>
      <c r="AK699" s="510"/>
      <c r="AL699" s="510"/>
      <c r="AM699" s="510"/>
      <c r="AN699" s="510"/>
      <c r="AO699" s="510"/>
      <c r="AP699" s="510"/>
      <c r="AQ699" s="465"/>
      <c r="AR699" s="467">
        <f t="shared" ref="AR699" si="1299">SUM(AF699:AQ700)</f>
        <v>0</v>
      </c>
      <c r="AS699" s="119" t="s">
        <v>257</v>
      </c>
      <c r="AT699" s="120"/>
      <c r="AU699" s="120"/>
      <c r="AV699" s="120"/>
      <c r="AW699" s="121"/>
      <c r="AX699" s="125">
        <f t="shared" ref="AX699:AX701" si="1300">SUM(AT699:AW699)</f>
        <v>0</v>
      </c>
      <c r="AY699" s="141" t="s">
        <v>257</v>
      </c>
      <c r="AZ699" s="137"/>
      <c r="BA699" s="137"/>
      <c r="BB699" s="134">
        <f t="shared" ref="BB699:BB701" si="1301">AZ699-BA699</f>
        <v>0</v>
      </c>
      <c r="BC699" s="469" t="s">
        <v>258</v>
      </c>
      <c r="BD699" s="470"/>
      <c r="BE699" s="13"/>
      <c r="BF699" s="16"/>
      <c r="BG699" s="13"/>
      <c r="BH699" s="16"/>
      <c r="BI699" s="13"/>
      <c r="BJ699" s="16"/>
      <c r="BK699" s="13"/>
      <c r="BL699" s="16"/>
      <c r="BM699" s="13"/>
      <c r="BN699" s="16"/>
      <c r="BO699" s="13"/>
      <c r="BP699" s="16"/>
      <c r="BQ699" s="106">
        <f t="shared" si="1269"/>
        <v>0</v>
      </c>
      <c r="BR699" s="566"/>
      <c r="BS699" s="569"/>
      <c r="BT699" s="570"/>
      <c r="BU699" s="557"/>
      <c r="BV699" s="560"/>
      <c r="BW699" s="563"/>
      <c r="BX699" s="615"/>
    </row>
    <row r="700" spans="1:76" x14ac:dyDescent="0.25">
      <c r="A700" s="586"/>
      <c r="B700" s="590"/>
      <c r="C700" s="591"/>
      <c r="D700" s="605"/>
      <c r="E700" s="517"/>
      <c r="F700" s="518"/>
      <c r="G700" s="523"/>
      <c r="H700" s="524"/>
      <c r="I700" s="529"/>
      <c r="J700" s="530"/>
      <c r="K700" s="513"/>
      <c r="L700" s="534"/>
      <c r="M700" s="537"/>
      <c r="N700" s="541"/>
      <c r="O700" s="542"/>
      <c r="P700" s="483"/>
      <c r="Q700" s="484"/>
      <c r="R700" s="517"/>
      <c r="S700" s="518"/>
      <c r="T700" s="487"/>
      <c r="U700" s="488"/>
      <c r="V700" s="492"/>
      <c r="W700" s="483"/>
      <c r="X700" s="495"/>
      <c r="Y700" s="484"/>
      <c r="Z700" s="498"/>
      <c r="AA700" s="502"/>
      <c r="AB700" s="503"/>
      <c r="AC700" s="508"/>
      <c r="AD700" s="509"/>
      <c r="AE700" s="509"/>
      <c r="AF700" s="511"/>
      <c r="AG700" s="511"/>
      <c r="AH700" s="511"/>
      <c r="AI700" s="511"/>
      <c r="AJ700" s="511"/>
      <c r="AK700" s="511"/>
      <c r="AL700" s="511"/>
      <c r="AM700" s="511"/>
      <c r="AN700" s="511"/>
      <c r="AO700" s="511"/>
      <c r="AP700" s="511"/>
      <c r="AQ700" s="466"/>
      <c r="AR700" s="468"/>
      <c r="AS700" s="122" t="s">
        <v>259</v>
      </c>
      <c r="AT700" s="123"/>
      <c r="AU700" s="123"/>
      <c r="AV700" s="123"/>
      <c r="AW700" s="124"/>
      <c r="AX700" s="126">
        <f t="shared" si="1300"/>
        <v>0</v>
      </c>
      <c r="AY700" s="142" t="s">
        <v>259</v>
      </c>
      <c r="AZ700" s="138"/>
      <c r="BA700" s="138"/>
      <c r="BB700" s="135">
        <f t="shared" si="1301"/>
        <v>0</v>
      </c>
      <c r="BC700" s="474" t="s">
        <v>260</v>
      </c>
      <c r="BD700" s="475"/>
      <c r="BE700" s="14"/>
      <c r="BF700" s="17"/>
      <c r="BG700" s="14"/>
      <c r="BH700" s="17"/>
      <c r="BI700" s="14"/>
      <c r="BJ700" s="17"/>
      <c r="BK700" s="14"/>
      <c r="BL700" s="17"/>
      <c r="BM700" s="14"/>
      <c r="BN700" s="17"/>
      <c r="BO700" s="14"/>
      <c r="BP700" s="17"/>
      <c r="BQ700" s="107">
        <f t="shared" si="1269"/>
        <v>0</v>
      </c>
      <c r="BR700" s="567"/>
      <c r="BS700" s="571"/>
      <c r="BT700" s="572"/>
      <c r="BU700" s="558"/>
      <c r="BV700" s="561"/>
      <c r="BW700" s="564"/>
      <c r="BX700" s="616"/>
    </row>
    <row r="701" spans="1:76" ht="15.75" thickBot="1" x14ac:dyDescent="0.3">
      <c r="A701" s="586"/>
      <c r="B701" s="590"/>
      <c r="C701" s="591"/>
      <c r="D701" s="605"/>
      <c r="E701" s="517"/>
      <c r="F701" s="518"/>
      <c r="G701" s="523"/>
      <c r="H701" s="524"/>
      <c r="I701" s="529"/>
      <c r="J701" s="530"/>
      <c r="K701" s="513"/>
      <c r="L701" s="534"/>
      <c r="M701" s="537"/>
      <c r="N701" s="541"/>
      <c r="O701" s="542"/>
      <c r="P701" s="483"/>
      <c r="Q701" s="484"/>
      <c r="R701" s="517"/>
      <c r="S701" s="518"/>
      <c r="T701" s="487"/>
      <c r="U701" s="488"/>
      <c r="V701" s="492"/>
      <c r="W701" s="483"/>
      <c r="X701" s="495"/>
      <c r="Y701" s="484"/>
      <c r="Z701" s="498"/>
      <c r="AA701" s="502"/>
      <c r="AB701" s="503"/>
      <c r="AC701" s="471" t="s">
        <v>259</v>
      </c>
      <c r="AD701" s="472"/>
      <c r="AE701" s="473"/>
      <c r="AF701" s="100"/>
      <c r="AG701" s="100"/>
      <c r="AH701" s="100"/>
      <c r="AI701" s="100"/>
      <c r="AJ701" s="100"/>
      <c r="AK701" s="100"/>
      <c r="AL701" s="100"/>
      <c r="AM701" s="100"/>
      <c r="AN701" s="100"/>
      <c r="AO701" s="100"/>
      <c r="AP701" s="100"/>
      <c r="AQ701" s="101"/>
      <c r="AR701" s="104">
        <f t="shared" ref="AR701:AR702" si="1302">SUM(AF701:AQ701)</f>
        <v>0</v>
      </c>
      <c r="AS701" s="128" t="s">
        <v>261</v>
      </c>
      <c r="AT701" s="129"/>
      <c r="AU701" s="129"/>
      <c r="AV701" s="129"/>
      <c r="AW701" s="130"/>
      <c r="AX701" s="126">
        <f t="shared" si="1300"/>
        <v>0</v>
      </c>
      <c r="AY701" s="143" t="s">
        <v>261</v>
      </c>
      <c r="AZ701" s="139"/>
      <c r="BA701" s="139"/>
      <c r="BB701" s="136">
        <f t="shared" si="1301"/>
        <v>0</v>
      </c>
      <c r="BC701" s="474" t="s">
        <v>262</v>
      </c>
      <c r="BD701" s="475"/>
      <c r="BE701" s="14"/>
      <c r="BF701" s="17"/>
      <c r="BG701" s="14"/>
      <c r="BH701" s="17"/>
      <c r="BI701" s="14"/>
      <c r="BJ701" s="17"/>
      <c r="BK701" s="14"/>
      <c r="BL701" s="17"/>
      <c r="BM701" s="14"/>
      <c r="BN701" s="17"/>
      <c r="BO701" s="14"/>
      <c r="BP701" s="17"/>
      <c r="BQ701" s="108">
        <f t="shared" si="1269"/>
        <v>0</v>
      </c>
      <c r="BR701" s="567"/>
      <c r="BS701" s="571"/>
      <c r="BT701" s="572"/>
      <c r="BU701" s="558"/>
      <c r="BV701" s="561"/>
      <c r="BW701" s="564"/>
      <c r="BX701" s="616"/>
    </row>
    <row r="702" spans="1:76" ht="15.75" thickBot="1" x14ac:dyDescent="0.3">
      <c r="A702" s="587"/>
      <c r="B702" s="592"/>
      <c r="C702" s="593"/>
      <c r="D702" s="606"/>
      <c r="E702" s="519"/>
      <c r="F702" s="520"/>
      <c r="G702" s="525"/>
      <c r="H702" s="526"/>
      <c r="I702" s="531"/>
      <c r="J702" s="532"/>
      <c r="K702" s="514"/>
      <c r="L702" s="535"/>
      <c r="M702" s="538"/>
      <c r="N702" s="543"/>
      <c r="O702" s="544"/>
      <c r="P702" s="485"/>
      <c r="Q702" s="486"/>
      <c r="R702" s="519"/>
      <c r="S702" s="520"/>
      <c r="T702" s="489"/>
      <c r="U702" s="490"/>
      <c r="V702" s="493"/>
      <c r="W702" s="485"/>
      <c r="X702" s="496"/>
      <c r="Y702" s="486"/>
      <c r="Z702" s="499"/>
      <c r="AA702" s="504"/>
      <c r="AB702" s="505"/>
      <c r="AC702" s="476" t="s">
        <v>261</v>
      </c>
      <c r="AD702" s="477"/>
      <c r="AE702" s="478"/>
      <c r="AF702" s="102"/>
      <c r="AG702" s="102"/>
      <c r="AH702" s="102"/>
      <c r="AI702" s="102"/>
      <c r="AJ702" s="102"/>
      <c r="AK702" s="102"/>
      <c r="AL702" s="102"/>
      <c r="AM702" s="102"/>
      <c r="AN702" s="102"/>
      <c r="AO702" s="102"/>
      <c r="AP702" s="102"/>
      <c r="AQ702" s="103"/>
      <c r="AR702" s="105">
        <f t="shared" si="1302"/>
        <v>0</v>
      </c>
      <c r="AS702" s="131" t="s">
        <v>161</v>
      </c>
      <c r="AT702" s="132">
        <f t="shared" ref="AT702:AX702" si="1303">SUM(AT699:AT701)</f>
        <v>0</v>
      </c>
      <c r="AU702" s="132">
        <f t="shared" si="1303"/>
        <v>0</v>
      </c>
      <c r="AV702" s="132">
        <f t="shared" si="1303"/>
        <v>0</v>
      </c>
      <c r="AW702" s="133">
        <f t="shared" si="1303"/>
        <v>0</v>
      </c>
      <c r="AX702" s="127">
        <f t="shared" si="1303"/>
        <v>0</v>
      </c>
      <c r="AY702" s="144" t="s">
        <v>161</v>
      </c>
      <c r="AZ702" s="140">
        <f t="shared" ref="AZ702:BB702" si="1304">SUM(AZ699:AZ701)</f>
        <v>0</v>
      </c>
      <c r="BA702" s="140">
        <f t="shared" si="1304"/>
        <v>0</v>
      </c>
      <c r="BB702" s="140">
        <f t="shared" si="1304"/>
        <v>0</v>
      </c>
      <c r="BC702" s="479" t="s">
        <v>263</v>
      </c>
      <c r="BD702" s="480"/>
      <c r="BE702" s="15"/>
      <c r="BF702" s="18"/>
      <c r="BG702" s="15"/>
      <c r="BH702" s="18"/>
      <c r="BI702" s="15"/>
      <c r="BJ702" s="18"/>
      <c r="BK702" s="15"/>
      <c r="BL702" s="18"/>
      <c r="BM702" s="15"/>
      <c r="BN702" s="18"/>
      <c r="BO702" s="15"/>
      <c r="BP702" s="18"/>
      <c r="BQ702" s="109">
        <f t="shared" si="1269"/>
        <v>0</v>
      </c>
      <c r="BR702" s="568"/>
      <c r="BS702" s="573"/>
      <c r="BT702" s="574"/>
      <c r="BU702" s="559"/>
      <c r="BV702" s="562"/>
      <c r="BW702" s="565"/>
      <c r="BX702" s="617"/>
    </row>
    <row r="703" spans="1:76" ht="15.75" thickTop="1" x14ac:dyDescent="0.25">
      <c r="A703" s="585">
        <v>174</v>
      </c>
      <c r="B703" s="588"/>
      <c r="C703" s="589"/>
      <c r="D703" s="604"/>
      <c r="E703" s="515"/>
      <c r="F703" s="516"/>
      <c r="G703" s="521"/>
      <c r="H703" s="522"/>
      <c r="I703" s="527"/>
      <c r="J703" s="528"/>
      <c r="K703" s="512" t="e">
        <f t="shared" ref="K703" si="1305">INT(YEARFRAC(I703,AA703))</f>
        <v>#VALUE!</v>
      </c>
      <c r="L703" s="533">
        <f t="shared" ref="L703" ca="1" si="1306">INT(YEARFRAC(I703,TODAY()))</f>
        <v>121</v>
      </c>
      <c r="M703" s="536"/>
      <c r="N703" s="539"/>
      <c r="O703" s="540"/>
      <c r="P703" s="481"/>
      <c r="Q703" s="482"/>
      <c r="R703" s="515"/>
      <c r="S703" s="516"/>
      <c r="T703" s="487"/>
      <c r="U703" s="488"/>
      <c r="V703" s="491"/>
      <c r="W703" s="481"/>
      <c r="X703" s="494"/>
      <c r="Y703" s="482"/>
      <c r="Z703" s="497"/>
      <c r="AA703" s="500" t="s">
        <v>415</v>
      </c>
      <c r="AB703" s="501"/>
      <c r="AC703" s="506" t="s">
        <v>257</v>
      </c>
      <c r="AD703" s="507"/>
      <c r="AE703" s="507"/>
      <c r="AF703" s="510"/>
      <c r="AG703" s="510"/>
      <c r="AH703" s="510"/>
      <c r="AI703" s="510"/>
      <c r="AJ703" s="510"/>
      <c r="AK703" s="510"/>
      <c r="AL703" s="510"/>
      <c r="AM703" s="510"/>
      <c r="AN703" s="510"/>
      <c r="AO703" s="510"/>
      <c r="AP703" s="510"/>
      <c r="AQ703" s="465"/>
      <c r="AR703" s="467">
        <f t="shared" ref="AR703" si="1307">SUM(AF703:AQ704)</f>
        <v>0</v>
      </c>
      <c r="AS703" s="119" t="s">
        <v>257</v>
      </c>
      <c r="AT703" s="120"/>
      <c r="AU703" s="120"/>
      <c r="AV703" s="120"/>
      <c r="AW703" s="121"/>
      <c r="AX703" s="125">
        <f t="shared" ref="AX703:AX705" si="1308">SUM(AT703:AW703)</f>
        <v>0</v>
      </c>
      <c r="AY703" s="141" t="s">
        <v>257</v>
      </c>
      <c r="AZ703" s="137"/>
      <c r="BA703" s="137"/>
      <c r="BB703" s="134">
        <f t="shared" ref="BB703:BB705" si="1309">AZ703-BA703</f>
        <v>0</v>
      </c>
      <c r="BC703" s="469" t="s">
        <v>258</v>
      </c>
      <c r="BD703" s="470"/>
      <c r="BE703" s="13"/>
      <c r="BF703" s="16"/>
      <c r="BG703" s="13"/>
      <c r="BH703" s="16"/>
      <c r="BI703" s="13"/>
      <c r="BJ703" s="16"/>
      <c r="BK703" s="13"/>
      <c r="BL703" s="16"/>
      <c r="BM703" s="13"/>
      <c r="BN703" s="16"/>
      <c r="BO703" s="13"/>
      <c r="BP703" s="16"/>
      <c r="BQ703" s="106">
        <f t="shared" si="1269"/>
        <v>0</v>
      </c>
      <c r="BR703" s="566"/>
      <c r="BS703" s="569"/>
      <c r="BT703" s="570"/>
      <c r="BU703" s="557"/>
      <c r="BV703" s="560"/>
      <c r="BW703" s="563"/>
      <c r="BX703" s="615"/>
    </row>
    <row r="704" spans="1:76" x14ac:dyDescent="0.25">
      <c r="A704" s="586"/>
      <c r="B704" s="590"/>
      <c r="C704" s="591"/>
      <c r="D704" s="605"/>
      <c r="E704" s="517"/>
      <c r="F704" s="518"/>
      <c r="G704" s="523"/>
      <c r="H704" s="524"/>
      <c r="I704" s="529"/>
      <c r="J704" s="530"/>
      <c r="K704" s="513"/>
      <c r="L704" s="534"/>
      <c r="M704" s="537"/>
      <c r="N704" s="541"/>
      <c r="O704" s="542"/>
      <c r="P704" s="483"/>
      <c r="Q704" s="484"/>
      <c r="R704" s="517"/>
      <c r="S704" s="518"/>
      <c r="T704" s="487"/>
      <c r="U704" s="488"/>
      <c r="V704" s="492"/>
      <c r="W704" s="483"/>
      <c r="X704" s="495"/>
      <c r="Y704" s="484"/>
      <c r="Z704" s="498"/>
      <c r="AA704" s="502"/>
      <c r="AB704" s="503"/>
      <c r="AC704" s="508"/>
      <c r="AD704" s="509"/>
      <c r="AE704" s="509"/>
      <c r="AF704" s="511"/>
      <c r="AG704" s="511"/>
      <c r="AH704" s="511"/>
      <c r="AI704" s="511"/>
      <c r="AJ704" s="511"/>
      <c r="AK704" s="511"/>
      <c r="AL704" s="511"/>
      <c r="AM704" s="511"/>
      <c r="AN704" s="511"/>
      <c r="AO704" s="511"/>
      <c r="AP704" s="511"/>
      <c r="AQ704" s="466"/>
      <c r="AR704" s="468"/>
      <c r="AS704" s="122" t="s">
        <v>259</v>
      </c>
      <c r="AT704" s="123"/>
      <c r="AU704" s="123"/>
      <c r="AV704" s="123"/>
      <c r="AW704" s="124"/>
      <c r="AX704" s="126">
        <f t="shared" si="1308"/>
        <v>0</v>
      </c>
      <c r="AY704" s="142" t="s">
        <v>259</v>
      </c>
      <c r="AZ704" s="138"/>
      <c r="BA704" s="138"/>
      <c r="BB704" s="135">
        <f t="shared" si="1309"/>
        <v>0</v>
      </c>
      <c r="BC704" s="474" t="s">
        <v>260</v>
      </c>
      <c r="BD704" s="475"/>
      <c r="BE704" s="14"/>
      <c r="BF704" s="17"/>
      <c r="BG704" s="14"/>
      <c r="BH704" s="17"/>
      <c r="BI704" s="14"/>
      <c r="BJ704" s="17"/>
      <c r="BK704" s="14"/>
      <c r="BL704" s="17"/>
      <c r="BM704" s="14"/>
      <c r="BN704" s="17"/>
      <c r="BO704" s="14"/>
      <c r="BP704" s="17"/>
      <c r="BQ704" s="107">
        <f t="shared" si="1269"/>
        <v>0</v>
      </c>
      <c r="BR704" s="567"/>
      <c r="BS704" s="571"/>
      <c r="BT704" s="572"/>
      <c r="BU704" s="558"/>
      <c r="BV704" s="561"/>
      <c r="BW704" s="564"/>
      <c r="BX704" s="616"/>
    </row>
    <row r="705" spans="1:76" ht="15.75" thickBot="1" x14ac:dyDescent="0.3">
      <c r="A705" s="586"/>
      <c r="B705" s="590"/>
      <c r="C705" s="591"/>
      <c r="D705" s="605"/>
      <c r="E705" s="517"/>
      <c r="F705" s="518"/>
      <c r="G705" s="523"/>
      <c r="H705" s="524"/>
      <c r="I705" s="529"/>
      <c r="J705" s="530"/>
      <c r="K705" s="513"/>
      <c r="L705" s="534"/>
      <c r="M705" s="537"/>
      <c r="N705" s="541"/>
      <c r="O705" s="542"/>
      <c r="P705" s="483"/>
      <c r="Q705" s="484"/>
      <c r="R705" s="517"/>
      <c r="S705" s="518"/>
      <c r="T705" s="487"/>
      <c r="U705" s="488"/>
      <c r="V705" s="492"/>
      <c r="W705" s="483"/>
      <c r="X705" s="495"/>
      <c r="Y705" s="484"/>
      <c r="Z705" s="498"/>
      <c r="AA705" s="502"/>
      <c r="AB705" s="503"/>
      <c r="AC705" s="471" t="s">
        <v>259</v>
      </c>
      <c r="AD705" s="472"/>
      <c r="AE705" s="473"/>
      <c r="AF705" s="100"/>
      <c r="AG705" s="100"/>
      <c r="AH705" s="100"/>
      <c r="AI705" s="100"/>
      <c r="AJ705" s="100"/>
      <c r="AK705" s="100"/>
      <c r="AL705" s="100"/>
      <c r="AM705" s="100"/>
      <c r="AN705" s="100"/>
      <c r="AO705" s="100"/>
      <c r="AP705" s="100"/>
      <c r="AQ705" s="101"/>
      <c r="AR705" s="104">
        <f t="shared" ref="AR705:AR706" si="1310">SUM(AF705:AQ705)</f>
        <v>0</v>
      </c>
      <c r="AS705" s="128" t="s">
        <v>261</v>
      </c>
      <c r="AT705" s="129"/>
      <c r="AU705" s="129"/>
      <c r="AV705" s="129"/>
      <c r="AW705" s="130"/>
      <c r="AX705" s="126">
        <f t="shared" si="1308"/>
        <v>0</v>
      </c>
      <c r="AY705" s="143" t="s">
        <v>261</v>
      </c>
      <c r="AZ705" s="139"/>
      <c r="BA705" s="139"/>
      <c r="BB705" s="136">
        <f t="shared" si="1309"/>
        <v>0</v>
      </c>
      <c r="BC705" s="474" t="s">
        <v>262</v>
      </c>
      <c r="BD705" s="475"/>
      <c r="BE705" s="14"/>
      <c r="BF705" s="17"/>
      <c r="BG705" s="14"/>
      <c r="BH705" s="17"/>
      <c r="BI705" s="14"/>
      <c r="BJ705" s="17"/>
      <c r="BK705" s="14"/>
      <c r="BL705" s="17"/>
      <c r="BM705" s="14"/>
      <c r="BN705" s="17"/>
      <c r="BO705" s="14"/>
      <c r="BP705" s="17"/>
      <c r="BQ705" s="108">
        <f t="shared" si="1269"/>
        <v>0</v>
      </c>
      <c r="BR705" s="567"/>
      <c r="BS705" s="571"/>
      <c r="BT705" s="572"/>
      <c r="BU705" s="558"/>
      <c r="BV705" s="561"/>
      <c r="BW705" s="564"/>
      <c r="BX705" s="616"/>
    </row>
    <row r="706" spans="1:76" ht="15.75" thickBot="1" x14ac:dyDescent="0.3">
      <c r="A706" s="587"/>
      <c r="B706" s="592"/>
      <c r="C706" s="593"/>
      <c r="D706" s="606"/>
      <c r="E706" s="519"/>
      <c r="F706" s="520"/>
      <c r="G706" s="525"/>
      <c r="H706" s="526"/>
      <c r="I706" s="531"/>
      <c r="J706" s="532"/>
      <c r="K706" s="514"/>
      <c r="L706" s="535"/>
      <c r="M706" s="538"/>
      <c r="N706" s="543"/>
      <c r="O706" s="544"/>
      <c r="P706" s="485"/>
      <c r="Q706" s="486"/>
      <c r="R706" s="519"/>
      <c r="S706" s="520"/>
      <c r="T706" s="489"/>
      <c r="U706" s="490"/>
      <c r="V706" s="493"/>
      <c r="W706" s="485"/>
      <c r="X706" s="496"/>
      <c r="Y706" s="486"/>
      <c r="Z706" s="499"/>
      <c r="AA706" s="504"/>
      <c r="AB706" s="505"/>
      <c r="AC706" s="476" t="s">
        <v>261</v>
      </c>
      <c r="AD706" s="477"/>
      <c r="AE706" s="478"/>
      <c r="AF706" s="102"/>
      <c r="AG706" s="102"/>
      <c r="AH706" s="102"/>
      <c r="AI706" s="102"/>
      <c r="AJ706" s="102"/>
      <c r="AK706" s="102"/>
      <c r="AL706" s="102"/>
      <c r="AM706" s="102"/>
      <c r="AN706" s="102"/>
      <c r="AO706" s="102"/>
      <c r="AP706" s="102"/>
      <c r="AQ706" s="103"/>
      <c r="AR706" s="105">
        <f t="shared" si="1310"/>
        <v>0</v>
      </c>
      <c r="AS706" s="131" t="s">
        <v>161</v>
      </c>
      <c r="AT706" s="132">
        <f t="shared" ref="AT706:AX706" si="1311">SUM(AT703:AT705)</f>
        <v>0</v>
      </c>
      <c r="AU706" s="132">
        <f t="shared" si="1311"/>
        <v>0</v>
      </c>
      <c r="AV706" s="132">
        <f t="shared" si="1311"/>
        <v>0</v>
      </c>
      <c r="AW706" s="133">
        <f t="shared" si="1311"/>
        <v>0</v>
      </c>
      <c r="AX706" s="127">
        <f t="shared" si="1311"/>
        <v>0</v>
      </c>
      <c r="AY706" s="144" t="s">
        <v>161</v>
      </c>
      <c r="AZ706" s="140">
        <f t="shared" ref="AZ706:BB706" si="1312">SUM(AZ703:AZ705)</f>
        <v>0</v>
      </c>
      <c r="BA706" s="140">
        <f t="shared" si="1312"/>
        <v>0</v>
      </c>
      <c r="BB706" s="140">
        <f t="shared" si="1312"/>
        <v>0</v>
      </c>
      <c r="BC706" s="479" t="s">
        <v>263</v>
      </c>
      <c r="BD706" s="480"/>
      <c r="BE706" s="15"/>
      <c r="BF706" s="18"/>
      <c r="BG706" s="15"/>
      <c r="BH706" s="18"/>
      <c r="BI706" s="15"/>
      <c r="BJ706" s="18"/>
      <c r="BK706" s="15"/>
      <c r="BL706" s="18"/>
      <c r="BM706" s="15"/>
      <c r="BN706" s="18"/>
      <c r="BO706" s="15"/>
      <c r="BP706" s="18"/>
      <c r="BQ706" s="109">
        <f t="shared" si="1269"/>
        <v>0</v>
      </c>
      <c r="BR706" s="568"/>
      <c r="BS706" s="573"/>
      <c r="BT706" s="574"/>
      <c r="BU706" s="559"/>
      <c r="BV706" s="562"/>
      <c r="BW706" s="565"/>
      <c r="BX706" s="617"/>
    </row>
    <row r="707" spans="1:76" ht="15.75" thickTop="1" x14ac:dyDescent="0.25">
      <c r="A707" s="585">
        <v>175</v>
      </c>
      <c r="B707" s="588"/>
      <c r="C707" s="589"/>
      <c r="D707" s="604"/>
      <c r="E707" s="515"/>
      <c r="F707" s="516"/>
      <c r="G707" s="521"/>
      <c r="H707" s="522"/>
      <c r="I707" s="527"/>
      <c r="J707" s="528"/>
      <c r="K707" s="512" t="e">
        <f t="shared" ref="K707" si="1313">INT(YEARFRAC(I707,AA707))</f>
        <v>#VALUE!</v>
      </c>
      <c r="L707" s="533">
        <f t="shared" ref="L707" ca="1" si="1314">INT(YEARFRAC(I707,TODAY()))</f>
        <v>121</v>
      </c>
      <c r="M707" s="536"/>
      <c r="N707" s="539"/>
      <c r="O707" s="540"/>
      <c r="P707" s="481"/>
      <c r="Q707" s="482"/>
      <c r="R707" s="515"/>
      <c r="S707" s="516"/>
      <c r="T707" s="487"/>
      <c r="U707" s="488"/>
      <c r="V707" s="491"/>
      <c r="W707" s="481"/>
      <c r="X707" s="494"/>
      <c r="Y707" s="482"/>
      <c r="Z707" s="497"/>
      <c r="AA707" s="500" t="s">
        <v>416</v>
      </c>
      <c r="AB707" s="501"/>
      <c r="AC707" s="506" t="s">
        <v>257</v>
      </c>
      <c r="AD707" s="507"/>
      <c r="AE707" s="507"/>
      <c r="AF707" s="510"/>
      <c r="AG707" s="510"/>
      <c r="AH707" s="510"/>
      <c r="AI707" s="510"/>
      <c r="AJ707" s="510"/>
      <c r="AK707" s="510"/>
      <c r="AL707" s="510"/>
      <c r="AM707" s="510"/>
      <c r="AN707" s="510"/>
      <c r="AO707" s="510"/>
      <c r="AP707" s="510"/>
      <c r="AQ707" s="465"/>
      <c r="AR707" s="467">
        <f t="shared" ref="AR707" si="1315">SUM(AF707:AQ708)</f>
        <v>0</v>
      </c>
      <c r="AS707" s="119" t="s">
        <v>257</v>
      </c>
      <c r="AT707" s="120"/>
      <c r="AU707" s="120"/>
      <c r="AV707" s="120"/>
      <c r="AW707" s="121"/>
      <c r="AX707" s="125">
        <f t="shared" ref="AX707:AX709" si="1316">SUM(AT707:AW707)</f>
        <v>0</v>
      </c>
      <c r="AY707" s="141" t="s">
        <v>257</v>
      </c>
      <c r="AZ707" s="137"/>
      <c r="BA707" s="137"/>
      <c r="BB707" s="134">
        <f t="shared" ref="BB707:BB709" si="1317">AZ707-BA707</f>
        <v>0</v>
      </c>
      <c r="BC707" s="469" t="s">
        <v>258</v>
      </c>
      <c r="BD707" s="470"/>
      <c r="BE707" s="13"/>
      <c r="BF707" s="16"/>
      <c r="BG707" s="13"/>
      <c r="BH707" s="16"/>
      <c r="BI707" s="13"/>
      <c r="BJ707" s="16"/>
      <c r="BK707" s="13"/>
      <c r="BL707" s="16"/>
      <c r="BM707" s="13"/>
      <c r="BN707" s="16"/>
      <c r="BO707" s="13"/>
      <c r="BP707" s="16"/>
      <c r="BQ707" s="106">
        <f t="shared" si="1269"/>
        <v>0</v>
      </c>
      <c r="BR707" s="566"/>
      <c r="BS707" s="569"/>
      <c r="BT707" s="570"/>
      <c r="BU707" s="557"/>
      <c r="BV707" s="560"/>
      <c r="BW707" s="563"/>
      <c r="BX707" s="615"/>
    </row>
    <row r="708" spans="1:76" x14ac:dyDescent="0.25">
      <c r="A708" s="586"/>
      <c r="B708" s="590"/>
      <c r="C708" s="591"/>
      <c r="D708" s="605"/>
      <c r="E708" s="517"/>
      <c r="F708" s="518"/>
      <c r="G708" s="523"/>
      <c r="H708" s="524"/>
      <c r="I708" s="529"/>
      <c r="J708" s="530"/>
      <c r="K708" s="513"/>
      <c r="L708" s="534"/>
      <c r="M708" s="537"/>
      <c r="N708" s="541"/>
      <c r="O708" s="542"/>
      <c r="P708" s="483"/>
      <c r="Q708" s="484"/>
      <c r="R708" s="517"/>
      <c r="S708" s="518"/>
      <c r="T708" s="487"/>
      <c r="U708" s="488"/>
      <c r="V708" s="492"/>
      <c r="W708" s="483"/>
      <c r="X708" s="495"/>
      <c r="Y708" s="484"/>
      <c r="Z708" s="498"/>
      <c r="AA708" s="502"/>
      <c r="AB708" s="503"/>
      <c r="AC708" s="508"/>
      <c r="AD708" s="509"/>
      <c r="AE708" s="509"/>
      <c r="AF708" s="511"/>
      <c r="AG708" s="511"/>
      <c r="AH708" s="511"/>
      <c r="AI708" s="511"/>
      <c r="AJ708" s="511"/>
      <c r="AK708" s="511"/>
      <c r="AL708" s="511"/>
      <c r="AM708" s="511"/>
      <c r="AN708" s="511"/>
      <c r="AO708" s="511"/>
      <c r="AP708" s="511"/>
      <c r="AQ708" s="466"/>
      <c r="AR708" s="468"/>
      <c r="AS708" s="122" t="s">
        <v>259</v>
      </c>
      <c r="AT708" s="123"/>
      <c r="AU708" s="123"/>
      <c r="AV708" s="123"/>
      <c r="AW708" s="124"/>
      <c r="AX708" s="126">
        <f t="shared" si="1316"/>
        <v>0</v>
      </c>
      <c r="AY708" s="142" t="s">
        <v>259</v>
      </c>
      <c r="AZ708" s="138"/>
      <c r="BA708" s="138"/>
      <c r="BB708" s="135">
        <f t="shared" si="1317"/>
        <v>0</v>
      </c>
      <c r="BC708" s="474" t="s">
        <v>260</v>
      </c>
      <c r="BD708" s="475"/>
      <c r="BE708" s="14"/>
      <c r="BF708" s="17"/>
      <c r="BG708" s="14"/>
      <c r="BH708" s="17"/>
      <c r="BI708" s="14"/>
      <c r="BJ708" s="17"/>
      <c r="BK708" s="14"/>
      <c r="BL708" s="17"/>
      <c r="BM708" s="14"/>
      <c r="BN708" s="17"/>
      <c r="BO708" s="14"/>
      <c r="BP708" s="17"/>
      <c r="BQ708" s="107">
        <f t="shared" si="1269"/>
        <v>0</v>
      </c>
      <c r="BR708" s="567"/>
      <c r="BS708" s="571"/>
      <c r="BT708" s="572"/>
      <c r="BU708" s="558"/>
      <c r="BV708" s="561"/>
      <c r="BW708" s="564"/>
      <c r="BX708" s="616"/>
    </row>
    <row r="709" spans="1:76" ht="15.75" thickBot="1" x14ac:dyDescent="0.3">
      <c r="A709" s="586"/>
      <c r="B709" s="590"/>
      <c r="C709" s="591"/>
      <c r="D709" s="605"/>
      <c r="E709" s="517"/>
      <c r="F709" s="518"/>
      <c r="G709" s="523"/>
      <c r="H709" s="524"/>
      <c r="I709" s="529"/>
      <c r="J709" s="530"/>
      <c r="K709" s="513"/>
      <c r="L709" s="534"/>
      <c r="M709" s="537"/>
      <c r="N709" s="541"/>
      <c r="O709" s="542"/>
      <c r="P709" s="483"/>
      <c r="Q709" s="484"/>
      <c r="R709" s="517"/>
      <c r="S709" s="518"/>
      <c r="T709" s="487"/>
      <c r="U709" s="488"/>
      <c r="V709" s="492"/>
      <c r="W709" s="483"/>
      <c r="X709" s="495"/>
      <c r="Y709" s="484"/>
      <c r="Z709" s="498"/>
      <c r="AA709" s="502"/>
      <c r="AB709" s="503"/>
      <c r="AC709" s="471" t="s">
        <v>259</v>
      </c>
      <c r="AD709" s="472"/>
      <c r="AE709" s="473"/>
      <c r="AF709" s="100"/>
      <c r="AG709" s="100"/>
      <c r="AH709" s="100"/>
      <c r="AI709" s="100"/>
      <c r="AJ709" s="100"/>
      <c r="AK709" s="100"/>
      <c r="AL709" s="100"/>
      <c r="AM709" s="100"/>
      <c r="AN709" s="100"/>
      <c r="AO709" s="100"/>
      <c r="AP709" s="100"/>
      <c r="AQ709" s="101"/>
      <c r="AR709" s="104">
        <f t="shared" ref="AR709:AR710" si="1318">SUM(AF709:AQ709)</f>
        <v>0</v>
      </c>
      <c r="AS709" s="128" t="s">
        <v>261</v>
      </c>
      <c r="AT709" s="129"/>
      <c r="AU709" s="129"/>
      <c r="AV709" s="129"/>
      <c r="AW709" s="130"/>
      <c r="AX709" s="126">
        <f t="shared" si="1316"/>
        <v>0</v>
      </c>
      <c r="AY709" s="143" t="s">
        <v>261</v>
      </c>
      <c r="AZ709" s="139"/>
      <c r="BA709" s="139"/>
      <c r="BB709" s="136">
        <f t="shared" si="1317"/>
        <v>0</v>
      </c>
      <c r="BC709" s="474" t="s">
        <v>262</v>
      </c>
      <c r="BD709" s="475"/>
      <c r="BE709" s="14"/>
      <c r="BF709" s="17"/>
      <c r="BG709" s="14"/>
      <c r="BH709" s="17"/>
      <c r="BI709" s="14"/>
      <c r="BJ709" s="17"/>
      <c r="BK709" s="14"/>
      <c r="BL709" s="17"/>
      <c r="BM709" s="14"/>
      <c r="BN709" s="17"/>
      <c r="BO709" s="14"/>
      <c r="BP709" s="17"/>
      <c r="BQ709" s="108">
        <f t="shared" si="1269"/>
        <v>0</v>
      </c>
      <c r="BR709" s="567"/>
      <c r="BS709" s="571"/>
      <c r="BT709" s="572"/>
      <c r="BU709" s="558"/>
      <c r="BV709" s="561"/>
      <c r="BW709" s="564"/>
      <c r="BX709" s="616"/>
    </row>
    <row r="710" spans="1:76" ht="15.75" thickBot="1" x14ac:dyDescent="0.3">
      <c r="A710" s="587"/>
      <c r="B710" s="592"/>
      <c r="C710" s="593"/>
      <c r="D710" s="606"/>
      <c r="E710" s="519"/>
      <c r="F710" s="520"/>
      <c r="G710" s="525"/>
      <c r="H710" s="526"/>
      <c r="I710" s="531"/>
      <c r="J710" s="532"/>
      <c r="K710" s="514"/>
      <c r="L710" s="535"/>
      <c r="M710" s="538"/>
      <c r="N710" s="543"/>
      <c r="O710" s="544"/>
      <c r="P710" s="485"/>
      <c r="Q710" s="486"/>
      <c r="R710" s="519"/>
      <c r="S710" s="520"/>
      <c r="T710" s="489"/>
      <c r="U710" s="490"/>
      <c r="V710" s="493"/>
      <c r="W710" s="485"/>
      <c r="X710" s="496"/>
      <c r="Y710" s="486"/>
      <c r="Z710" s="499"/>
      <c r="AA710" s="504"/>
      <c r="AB710" s="505"/>
      <c r="AC710" s="476" t="s">
        <v>261</v>
      </c>
      <c r="AD710" s="477"/>
      <c r="AE710" s="478"/>
      <c r="AF710" s="102"/>
      <c r="AG710" s="102"/>
      <c r="AH710" s="102"/>
      <c r="AI710" s="102"/>
      <c r="AJ710" s="102"/>
      <c r="AK710" s="102"/>
      <c r="AL710" s="102"/>
      <c r="AM710" s="102"/>
      <c r="AN710" s="102"/>
      <c r="AO710" s="102"/>
      <c r="AP710" s="102"/>
      <c r="AQ710" s="103"/>
      <c r="AR710" s="105">
        <f t="shared" si="1318"/>
        <v>0</v>
      </c>
      <c r="AS710" s="131" t="s">
        <v>161</v>
      </c>
      <c r="AT710" s="132">
        <f t="shared" ref="AT710:AX710" si="1319">SUM(AT707:AT709)</f>
        <v>0</v>
      </c>
      <c r="AU710" s="132">
        <f t="shared" si="1319"/>
        <v>0</v>
      </c>
      <c r="AV710" s="132">
        <f t="shared" si="1319"/>
        <v>0</v>
      </c>
      <c r="AW710" s="133">
        <f t="shared" si="1319"/>
        <v>0</v>
      </c>
      <c r="AX710" s="127">
        <f t="shared" si="1319"/>
        <v>0</v>
      </c>
      <c r="AY710" s="144" t="s">
        <v>161</v>
      </c>
      <c r="AZ710" s="140">
        <f t="shared" ref="AZ710:BB710" si="1320">SUM(AZ707:AZ709)</f>
        <v>0</v>
      </c>
      <c r="BA710" s="140">
        <f t="shared" si="1320"/>
        <v>0</v>
      </c>
      <c r="BB710" s="140">
        <f t="shared" si="1320"/>
        <v>0</v>
      </c>
      <c r="BC710" s="479" t="s">
        <v>263</v>
      </c>
      <c r="BD710" s="480"/>
      <c r="BE710" s="15"/>
      <c r="BF710" s="18"/>
      <c r="BG710" s="15"/>
      <c r="BH710" s="18"/>
      <c r="BI710" s="15"/>
      <c r="BJ710" s="18"/>
      <c r="BK710" s="15"/>
      <c r="BL710" s="18"/>
      <c r="BM710" s="15"/>
      <c r="BN710" s="18"/>
      <c r="BO710" s="15"/>
      <c r="BP710" s="18"/>
      <c r="BQ710" s="109">
        <f t="shared" si="1269"/>
        <v>0</v>
      </c>
      <c r="BR710" s="568"/>
      <c r="BS710" s="573"/>
      <c r="BT710" s="574"/>
      <c r="BU710" s="559"/>
      <c r="BV710" s="562"/>
      <c r="BW710" s="565"/>
      <c r="BX710" s="617"/>
    </row>
    <row r="711" spans="1:76" ht="15.75" thickTop="1" x14ac:dyDescent="0.25">
      <c r="A711" s="585">
        <v>176</v>
      </c>
      <c r="B711" s="588"/>
      <c r="C711" s="589"/>
      <c r="D711" s="604"/>
      <c r="E711" s="515"/>
      <c r="F711" s="516"/>
      <c r="G711" s="521"/>
      <c r="H711" s="522"/>
      <c r="I711" s="527"/>
      <c r="J711" s="528"/>
      <c r="K711" s="512" t="e">
        <f t="shared" ref="K711" si="1321">INT(YEARFRAC(I711,AA711))</f>
        <v>#VALUE!</v>
      </c>
      <c r="L711" s="533">
        <f t="shared" ref="L711" ca="1" si="1322">INT(YEARFRAC(I711,TODAY()))</f>
        <v>121</v>
      </c>
      <c r="M711" s="536"/>
      <c r="N711" s="539"/>
      <c r="O711" s="540"/>
      <c r="P711" s="481"/>
      <c r="Q711" s="482"/>
      <c r="R711" s="515"/>
      <c r="S711" s="516"/>
      <c r="T711" s="487"/>
      <c r="U711" s="488"/>
      <c r="V711" s="491"/>
      <c r="W711" s="481"/>
      <c r="X711" s="494"/>
      <c r="Y711" s="482"/>
      <c r="Z711" s="497"/>
      <c r="AA711" s="500" t="s">
        <v>417</v>
      </c>
      <c r="AB711" s="501"/>
      <c r="AC711" s="506" t="s">
        <v>257</v>
      </c>
      <c r="AD711" s="507"/>
      <c r="AE711" s="507"/>
      <c r="AF711" s="510"/>
      <c r="AG711" s="510"/>
      <c r="AH711" s="510"/>
      <c r="AI711" s="510"/>
      <c r="AJ711" s="510"/>
      <c r="AK711" s="510"/>
      <c r="AL711" s="510"/>
      <c r="AM711" s="510"/>
      <c r="AN711" s="510"/>
      <c r="AO711" s="510"/>
      <c r="AP711" s="510"/>
      <c r="AQ711" s="465"/>
      <c r="AR711" s="467">
        <f t="shared" ref="AR711" si="1323">SUM(AF711:AQ712)</f>
        <v>0</v>
      </c>
      <c r="AS711" s="119" t="s">
        <v>257</v>
      </c>
      <c r="AT711" s="120"/>
      <c r="AU711" s="120"/>
      <c r="AV711" s="120"/>
      <c r="AW711" s="121"/>
      <c r="AX711" s="125">
        <f t="shared" ref="AX711:AX713" si="1324">SUM(AT711:AW711)</f>
        <v>0</v>
      </c>
      <c r="AY711" s="141" t="s">
        <v>257</v>
      </c>
      <c r="AZ711" s="137"/>
      <c r="BA711" s="137"/>
      <c r="BB711" s="134">
        <f t="shared" ref="BB711:BB713" si="1325">AZ711-BA711</f>
        <v>0</v>
      </c>
      <c r="BC711" s="469" t="s">
        <v>258</v>
      </c>
      <c r="BD711" s="470"/>
      <c r="BE711" s="13"/>
      <c r="BF711" s="16"/>
      <c r="BG711" s="13"/>
      <c r="BH711" s="16"/>
      <c r="BI711" s="13"/>
      <c r="BJ711" s="16"/>
      <c r="BK711" s="13"/>
      <c r="BL711" s="16"/>
      <c r="BM711" s="13"/>
      <c r="BN711" s="16"/>
      <c r="BO711" s="13"/>
      <c r="BP711" s="16"/>
      <c r="BQ711" s="106">
        <f t="shared" si="1269"/>
        <v>0</v>
      </c>
      <c r="BR711" s="566"/>
      <c r="BS711" s="569"/>
      <c r="BT711" s="570"/>
      <c r="BU711" s="557"/>
      <c r="BV711" s="560"/>
      <c r="BW711" s="563"/>
      <c r="BX711" s="615"/>
    </row>
    <row r="712" spans="1:76" x14ac:dyDescent="0.25">
      <c r="A712" s="586"/>
      <c r="B712" s="590"/>
      <c r="C712" s="591"/>
      <c r="D712" s="605"/>
      <c r="E712" s="517"/>
      <c r="F712" s="518"/>
      <c r="G712" s="523"/>
      <c r="H712" s="524"/>
      <c r="I712" s="529"/>
      <c r="J712" s="530"/>
      <c r="K712" s="513"/>
      <c r="L712" s="534"/>
      <c r="M712" s="537"/>
      <c r="N712" s="541"/>
      <c r="O712" s="542"/>
      <c r="P712" s="483"/>
      <c r="Q712" s="484"/>
      <c r="R712" s="517"/>
      <c r="S712" s="518"/>
      <c r="T712" s="487"/>
      <c r="U712" s="488"/>
      <c r="V712" s="492"/>
      <c r="W712" s="483"/>
      <c r="X712" s="495"/>
      <c r="Y712" s="484"/>
      <c r="Z712" s="498"/>
      <c r="AA712" s="502"/>
      <c r="AB712" s="503"/>
      <c r="AC712" s="508"/>
      <c r="AD712" s="509"/>
      <c r="AE712" s="509"/>
      <c r="AF712" s="511"/>
      <c r="AG712" s="511"/>
      <c r="AH712" s="511"/>
      <c r="AI712" s="511"/>
      <c r="AJ712" s="511"/>
      <c r="AK712" s="511"/>
      <c r="AL712" s="511"/>
      <c r="AM712" s="511"/>
      <c r="AN712" s="511"/>
      <c r="AO712" s="511"/>
      <c r="AP712" s="511"/>
      <c r="AQ712" s="466"/>
      <c r="AR712" s="468"/>
      <c r="AS712" s="122" t="s">
        <v>259</v>
      </c>
      <c r="AT712" s="123"/>
      <c r="AU712" s="123"/>
      <c r="AV712" s="123"/>
      <c r="AW712" s="124"/>
      <c r="AX712" s="126">
        <f t="shared" si="1324"/>
        <v>0</v>
      </c>
      <c r="AY712" s="142" t="s">
        <v>259</v>
      </c>
      <c r="AZ712" s="138"/>
      <c r="BA712" s="138"/>
      <c r="BB712" s="135">
        <f t="shared" si="1325"/>
        <v>0</v>
      </c>
      <c r="BC712" s="474" t="s">
        <v>260</v>
      </c>
      <c r="BD712" s="475"/>
      <c r="BE712" s="14"/>
      <c r="BF712" s="17"/>
      <c r="BG712" s="14"/>
      <c r="BH712" s="17"/>
      <c r="BI712" s="14"/>
      <c r="BJ712" s="17"/>
      <c r="BK712" s="14"/>
      <c r="BL712" s="17"/>
      <c r="BM712" s="14"/>
      <c r="BN712" s="17"/>
      <c r="BO712" s="14"/>
      <c r="BP712" s="17"/>
      <c r="BQ712" s="107">
        <f t="shared" si="1269"/>
        <v>0</v>
      </c>
      <c r="BR712" s="567"/>
      <c r="BS712" s="571"/>
      <c r="BT712" s="572"/>
      <c r="BU712" s="558"/>
      <c r="BV712" s="561"/>
      <c r="BW712" s="564"/>
      <c r="BX712" s="616"/>
    </row>
    <row r="713" spans="1:76" ht="15.75" thickBot="1" x14ac:dyDescent="0.3">
      <c r="A713" s="586"/>
      <c r="B713" s="590"/>
      <c r="C713" s="591"/>
      <c r="D713" s="605"/>
      <c r="E713" s="517"/>
      <c r="F713" s="518"/>
      <c r="G713" s="523"/>
      <c r="H713" s="524"/>
      <c r="I713" s="529"/>
      <c r="J713" s="530"/>
      <c r="K713" s="513"/>
      <c r="L713" s="534"/>
      <c r="M713" s="537"/>
      <c r="N713" s="541"/>
      <c r="O713" s="542"/>
      <c r="P713" s="483"/>
      <c r="Q713" s="484"/>
      <c r="R713" s="517"/>
      <c r="S713" s="518"/>
      <c r="T713" s="487"/>
      <c r="U713" s="488"/>
      <c r="V713" s="492"/>
      <c r="W713" s="483"/>
      <c r="X713" s="495"/>
      <c r="Y713" s="484"/>
      <c r="Z713" s="498"/>
      <c r="AA713" s="502"/>
      <c r="AB713" s="503"/>
      <c r="AC713" s="471" t="s">
        <v>259</v>
      </c>
      <c r="AD713" s="472"/>
      <c r="AE713" s="473"/>
      <c r="AF713" s="100"/>
      <c r="AG713" s="100"/>
      <c r="AH713" s="100"/>
      <c r="AI713" s="100"/>
      <c r="AJ713" s="100"/>
      <c r="AK713" s="100"/>
      <c r="AL713" s="100"/>
      <c r="AM713" s="100"/>
      <c r="AN713" s="100"/>
      <c r="AO713" s="100"/>
      <c r="AP713" s="100"/>
      <c r="AQ713" s="101"/>
      <c r="AR713" s="104">
        <f t="shared" ref="AR713:AR714" si="1326">SUM(AF713:AQ713)</f>
        <v>0</v>
      </c>
      <c r="AS713" s="128" t="s">
        <v>261</v>
      </c>
      <c r="AT713" s="129"/>
      <c r="AU713" s="129"/>
      <c r="AV713" s="129"/>
      <c r="AW713" s="130"/>
      <c r="AX713" s="126">
        <f t="shared" si="1324"/>
        <v>0</v>
      </c>
      <c r="AY713" s="143" t="s">
        <v>261</v>
      </c>
      <c r="AZ713" s="139"/>
      <c r="BA713" s="139"/>
      <c r="BB713" s="136">
        <f t="shared" si="1325"/>
        <v>0</v>
      </c>
      <c r="BC713" s="474" t="s">
        <v>262</v>
      </c>
      <c r="BD713" s="475"/>
      <c r="BE713" s="14"/>
      <c r="BF713" s="17"/>
      <c r="BG713" s="14"/>
      <c r="BH713" s="17"/>
      <c r="BI713" s="14"/>
      <c r="BJ713" s="17"/>
      <c r="BK713" s="14"/>
      <c r="BL713" s="17"/>
      <c r="BM713" s="14"/>
      <c r="BN713" s="17"/>
      <c r="BO713" s="14"/>
      <c r="BP713" s="17"/>
      <c r="BQ713" s="108">
        <f t="shared" si="1269"/>
        <v>0</v>
      </c>
      <c r="BR713" s="567"/>
      <c r="BS713" s="571"/>
      <c r="BT713" s="572"/>
      <c r="BU713" s="558"/>
      <c r="BV713" s="561"/>
      <c r="BW713" s="564"/>
      <c r="BX713" s="616"/>
    </row>
    <row r="714" spans="1:76" ht="15.75" thickBot="1" x14ac:dyDescent="0.3">
      <c r="A714" s="587"/>
      <c r="B714" s="592"/>
      <c r="C714" s="593"/>
      <c r="D714" s="606"/>
      <c r="E714" s="519"/>
      <c r="F714" s="520"/>
      <c r="G714" s="525"/>
      <c r="H714" s="526"/>
      <c r="I714" s="531"/>
      <c r="J714" s="532"/>
      <c r="K714" s="514"/>
      <c r="L714" s="535"/>
      <c r="M714" s="538"/>
      <c r="N714" s="543"/>
      <c r="O714" s="544"/>
      <c r="P714" s="485"/>
      <c r="Q714" s="486"/>
      <c r="R714" s="519"/>
      <c r="S714" s="520"/>
      <c r="T714" s="489"/>
      <c r="U714" s="490"/>
      <c r="V714" s="493"/>
      <c r="W714" s="485"/>
      <c r="X714" s="496"/>
      <c r="Y714" s="486"/>
      <c r="Z714" s="499"/>
      <c r="AA714" s="504"/>
      <c r="AB714" s="505"/>
      <c r="AC714" s="476" t="s">
        <v>261</v>
      </c>
      <c r="AD714" s="477"/>
      <c r="AE714" s="478"/>
      <c r="AF714" s="102"/>
      <c r="AG714" s="102"/>
      <c r="AH714" s="102"/>
      <c r="AI714" s="102"/>
      <c r="AJ714" s="102"/>
      <c r="AK714" s="102"/>
      <c r="AL714" s="102"/>
      <c r="AM714" s="102"/>
      <c r="AN714" s="102"/>
      <c r="AO714" s="102"/>
      <c r="AP714" s="102"/>
      <c r="AQ714" s="103"/>
      <c r="AR714" s="105">
        <f t="shared" si="1326"/>
        <v>0</v>
      </c>
      <c r="AS714" s="131" t="s">
        <v>161</v>
      </c>
      <c r="AT714" s="132">
        <f t="shared" ref="AT714:AX714" si="1327">SUM(AT711:AT713)</f>
        <v>0</v>
      </c>
      <c r="AU714" s="132">
        <f t="shared" si="1327"/>
        <v>0</v>
      </c>
      <c r="AV714" s="132">
        <f t="shared" si="1327"/>
        <v>0</v>
      </c>
      <c r="AW714" s="133">
        <f t="shared" si="1327"/>
        <v>0</v>
      </c>
      <c r="AX714" s="127">
        <f t="shared" si="1327"/>
        <v>0</v>
      </c>
      <c r="AY714" s="144" t="s">
        <v>161</v>
      </c>
      <c r="AZ714" s="140">
        <f t="shared" ref="AZ714:BB714" si="1328">SUM(AZ711:AZ713)</f>
        <v>0</v>
      </c>
      <c r="BA714" s="140">
        <f t="shared" si="1328"/>
        <v>0</v>
      </c>
      <c r="BB714" s="140">
        <f t="shared" si="1328"/>
        <v>0</v>
      </c>
      <c r="BC714" s="479" t="s">
        <v>263</v>
      </c>
      <c r="BD714" s="480"/>
      <c r="BE714" s="15"/>
      <c r="BF714" s="18"/>
      <c r="BG714" s="15"/>
      <c r="BH714" s="18"/>
      <c r="BI714" s="15"/>
      <c r="BJ714" s="18"/>
      <c r="BK714" s="15"/>
      <c r="BL714" s="18"/>
      <c r="BM714" s="15"/>
      <c r="BN714" s="18"/>
      <c r="BO714" s="15"/>
      <c r="BP714" s="18"/>
      <c r="BQ714" s="109">
        <f t="shared" si="1269"/>
        <v>0</v>
      </c>
      <c r="BR714" s="568"/>
      <c r="BS714" s="573"/>
      <c r="BT714" s="574"/>
      <c r="BU714" s="559"/>
      <c r="BV714" s="562"/>
      <c r="BW714" s="565"/>
      <c r="BX714" s="617"/>
    </row>
    <row r="715" spans="1:76" ht="15.75" thickTop="1" x14ac:dyDescent="0.25">
      <c r="A715" s="585">
        <v>177</v>
      </c>
      <c r="B715" s="588"/>
      <c r="C715" s="589"/>
      <c r="D715" s="604"/>
      <c r="E715" s="515"/>
      <c r="F715" s="516"/>
      <c r="G715" s="521"/>
      <c r="H715" s="522"/>
      <c r="I715" s="527"/>
      <c r="J715" s="528"/>
      <c r="K715" s="512" t="e">
        <f t="shared" ref="K715" si="1329">INT(YEARFRAC(I715,AA715))</f>
        <v>#VALUE!</v>
      </c>
      <c r="L715" s="533">
        <f t="shared" ref="L715" ca="1" si="1330">INT(YEARFRAC(I715,TODAY()))</f>
        <v>121</v>
      </c>
      <c r="M715" s="536"/>
      <c r="N715" s="539"/>
      <c r="O715" s="540"/>
      <c r="P715" s="481"/>
      <c r="Q715" s="482"/>
      <c r="R715" s="515"/>
      <c r="S715" s="516"/>
      <c r="T715" s="487"/>
      <c r="U715" s="488"/>
      <c r="V715" s="491"/>
      <c r="W715" s="481"/>
      <c r="X715" s="494"/>
      <c r="Y715" s="482"/>
      <c r="Z715" s="497"/>
      <c r="AA715" s="500" t="s">
        <v>418</v>
      </c>
      <c r="AB715" s="501"/>
      <c r="AC715" s="506" t="s">
        <v>257</v>
      </c>
      <c r="AD715" s="507"/>
      <c r="AE715" s="507"/>
      <c r="AF715" s="510"/>
      <c r="AG715" s="510"/>
      <c r="AH715" s="510"/>
      <c r="AI715" s="510"/>
      <c r="AJ715" s="510"/>
      <c r="AK715" s="510"/>
      <c r="AL715" s="510"/>
      <c r="AM715" s="510"/>
      <c r="AN715" s="510"/>
      <c r="AO715" s="510"/>
      <c r="AP715" s="510"/>
      <c r="AQ715" s="465"/>
      <c r="AR715" s="467">
        <f t="shared" ref="AR715" si="1331">SUM(AF715:AQ716)</f>
        <v>0</v>
      </c>
      <c r="AS715" s="119" t="s">
        <v>257</v>
      </c>
      <c r="AT715" s="120"/>
      <c r="AU715" s="120"/>
      <c r="AV715" s="120"/>
      <c r="AW715" s="121"/>
      <c r="AX715" s="125">
        <f t="shared" ref="AX715:AX717" si="1332">SUM(AT715:AW715)</f>
        <v>0</v>
      </c>
      <c r="AY715" s="141" t="s">
        <v>257</v>
      </c>
      <c r="AZ715" s="137"/>
      <c r="BA715" s="137"/>
      <c r="BB715" s="134">
        <f t="shared" ref="BB715:BB717" si="1333">AZ715-BA715</f>
        <v>0</v>
      </c>
      <c r="BC715" s="469" t="s">
        <v>258</v>
      </c>
      <c r="BD715" s="470"/>
      <c r="BE715" s="13"/>
      <c r="BF715" s="16"/>
      <c r="BG715" s="13"/>
      <c r="BH715" s="16"/>
      <c r="BI715" s="13"/>
      <c r="BJ715" s="16"/>
      <c r="BK715" s="13"/>
      <c r="BL715" s="16"/>
      <c r="BM715" s="13"/>
      <c r="BN715" s="16"/>
      <c r="BO715" s="13"/>
      <c r="BP715" s="16"/>
      <c r="BQ715" s="106">
        <f t="shared" si="1269"/>
        <v>0</v>
      </c>
      <c r="BR715" s="566"/>
      <c r="BS715" s="569"/>
      <c r="BT715" s="570"/>
      <c r="BU715" s="557"/>
      <c r="BV715" s="560"/>
      <c r="BW715" s="563"/>
      <c r="BX715" s="615"/>
    </row>
    <row r="716" spans="1:76" x14ac:dyDescent="0.25">
      <c r="A716" s="586"/>
      <c r="B716" s="590"/>
      <c r="C716" s="591"/>
      <c r="D716" s="605"/>
      <c r="E716" s="517"/>
      <c r="F716" s="518"/>
      <c r="G716" s="523"/>
      <c r="H716" s="524"/>
      <c r="I716" s="529"/>
      <c r="J716" s="530"/>
      <c r="K716" s="513"/>
      <c r="L716" s="534"/>
      <c r="M716" s="537"/>
      <c r="N716" s="541"/>
      <c r="O716" s="542"/>
      <c r="P716" s="483"/>
      <c r="Q716" s="484"/>
      <c r="R716" s="517"/>
      <c r="S716" s="518"/>
      <c r="T716" s="487"/>
      <c r="U716" s="488"/>
      <c r="V716" s="492"/>
      <c r="W716" s="483"/>
      <c r="X716" s="495"/>
      <c r="Y716" s="484"/>
      <c r="Z716" s="498"/>
      <c r="AA716" s="502"/>
      <c r="AB716" s="503"/>
      <c r="AC716" s="508"/>
      <c r="AD716" s="509"/>
      <c r="AE716" s="509"/>
      <c r="AF716" s="511"/>
      <c r="AG716" s="511"/>
      <c r="AH716" s="511"/>
      <c r="AI716" s="511"/>
      <c r="AJ716" s="511"/>
      <c r="AK716" s="511"/>
      <c r="AL716" s="511"/>
      <c r="AM716" s="511"/>
      <c r="AN716" s="511"/>
      <c r="AO716" s="511"/>
      <c r="AP716" s="511"/>
      <c r="AQ716" s="466"/>
      <c r="AR716" s="468"/>
      <c r="AS716" s="122" t="s">
        <v>259</v>
      </c>
      <c r="AT716" s="123"/>
      <c r="AU716" s="123"/>
      <c r="AV716" s="123"/>
      <c r="AW716" s="124"/>
      <c r="AX716" s="126">
        <f t="shared" si="1332"/>
        <v>0</v>
      </c>
      <c r="AY716" s="142" t="s">
        <v>259</v>
      </c>
      <c r="AZ716" s="138"/>
      <c r="BA716" s="138"/>
      <c r="BB716" s="135">
        <f t="shared" si="1333"/>
        <v>0</v>
      </c>
      <c r="BC716" s="474" t="s">
        <v>260</v>
      </c>
      <c r="BD716" s="475"/>
      <c r="BE716" s="14"/>
      <c r="BF716" s="17"/>
      <c r="BG716" s="14"/>
      <c r="BH716" s="17"/>
      <c r="BI716" s="14"/>
      <c r="BJ716" s="17"/>
      <c r="BK716" s="14"/>
      <c r="BL716" s="17"/>
      <c r="BM716" s="14"/>
      <c r="BN716" s="17"/>
      <c r="BO716" s="14"/>
      <c r="BP716" s="17"/>
      <c r="BQ716" s="107">
        <f t="shared" si="1269"/>
        <v>0</v>
      </c>
      <c r="BR716" s="567"/>
      <c r="BS716" s="571"/>
      <c r="BT716" s="572"/>
      <c r="BU716" s="558"/>
      <c r="BV716" s="561"/>
      <c r="BW716" s="564"/>
      <c r="BX716" s="616"/>
    </row>
    <row r="717" spans="1:76" ht="15.75" thickBot="1" x14ac:dyDescent="0.3">
      <c r="A717" s="586"/>
      <c r="B717" s="590"/>
      <c r="C717" s="591"/>
      <c r="D717" s="605"/>
      <c r="E717" s="517"/>
      <c r="F717" s="518"/>
      <c r="G717" s="523"/>
      <c r="H717" s="524"/>
      <c r="I717" s="529"/>
      <c r="J717" s="530"/>
      <c r="K717" s="513"/>
      <c r="L717" s="534"/>
      <c r="M717" s="537"/>
      <c r="N717" s="541"/>
      <c r="O717" s="542"/>
      <c r="P717" s="483"/>
      <c r="Q717" s="484"/>
      <c r="R717" s="517"/>
      <c r="S717" s="518"/>
      <c r="T717" s="487"/>
      <c r="U717" s="488"/>
      <c r="V717" s="492"/>
      <c r="W717" s="483"/>
      <c r="X717" s="495"/>
      <c r="Y717" s="484"/>
      <c r="Z717" s="498"/>
      <c r="AA717" s="502"/>
      <c r="AB717" s="503"/>
      <c r="AC717" s="471" t="s">
        <v>259</v>
      </c>
      <c r="AD717" s="472"/>
      <c r="AE717" s="473"/>
      <c r="AF717" s="100"/>
      <c r="AG717" s="100"/>
      <c r="AH717" s="100"/>
      <c r="AI717" s="100"/>
      <c r="AJ717" s="100"/>
      <c r="AK717" s="100"/>
      <c r="AL717" s="100"/>
      <c r="AM717" s="100"/>
      <c r="AN717" s="100"/>
      <c r="AO717" s="100"/>
      <c r="AP717" s="100"/>
      <c r="AQ717" s="101"/>
      <c r="AR717" s="104">
        <f t="shared" ref="AR717:AR718" si="1334">SUM(AF717:AQ717)</f>
        <v>0</v>
      </c>
      <c r="AS717" s="128" t="s">
        <v>261</v>
      </c>
      <c r="AT717" s="129"/>
      <c r="AU717" s="129"/>
      <c r="AV717" s="129"/>
      <c r="AW717" s="130"/>
      <c r="AX717" s="126">
        <f t="shared" si="1332"/>
        <v>0</v>
      </c>
      <c r="AY717" s="143" t="s">
        <v>261</v>
      </c>
      <c r="AZ717" s="139"/>
      <c r="BA717" s="139"/>
      <c r="BB717" s="136">
        <f t="shared" si="1333"/>
        <v>0</v>
      </c>
      <c r="BC717" s="474" t="s">
        <v>262</v>
      </c>
      <c r="BD717" s="475"/>
      <c r="BE717" s="14"/>
      <c r="BF717" s="17"/>
      <c r="BG717" s="14"/>
      <c r="BH717" s="17"/>
      <c r="BI717" s="14"/>
      <c r="BJ717" s="17"/>
      <c r="BK717" s="14"/>
      <c r="BL717" s="17"/>
      <c r="BM717" s="14"/>
      <c r="BN717" s="17"/>
      <c r="BO717" s="14"/>
      <c r="BP717" s="17"/>
      <c r="BQ717" s="108">
        <f t="shared" si="1269"/>
        <v>0</v>
      </c>
      <c r="BR717" s="567"/>
      <c r="BS717" s="571"/>
      <c r="BT717" s="572"/>
      <c r="BU717" s="558"/>
      <c r="BV717" s="561"/>
      <c r="BW717" s="564"/>
      <c r="BX717" s="616"/>
    </row>
    <row r="718" spans="1:76" ht="15.75" thickBot="1" x14ac:dyDescent="0.3">
      <c r="A718" s="587"/>
      <c r="B718" s="592"/>
      <c r="C718" s="593"/>
      <c r="D718" s="606"/>
      <c r="E718" s="519"/>
      <c r="F718" s="520"/>
      <c r="G718" s="525"/>
      <c r="H718" s="526"/>
      <c r="I718" s="531"/>
      <c r="J718" s="532"/>
      <c r="K718" s="514"/>
      <c r="L718" s="535"/>
      <c r="M718" s="538"/>
      <c r="N718" s="543"/>
      <c r="O718" s="544"/>
      <c r="P718" s="485"/>
      <c r="Q718" s="486"/>
      <c r="R718" s="519"/>
      <c r="S718" s="520"/>
      <c r="T718" s="489"/>
      <c r="U718" s="490"/>
      <c r="V718" s="493"/>
      <c r="W718" s="485"/>
      <c r="X718" s="496"/>
      <c r="Y718" s="486"/>
      <c r="Z718" s="499"/>
      <c r="AA718" s="504"/>
      <c r="AB718" s="505"/>
      <c r="AC718" s="476" t="s">
        <v>261</v>
      </c>
      <c r="AD718" s="477"/>
      <c r="AE718" s="478"/>
      <c r="AF718" s="102"/>
      <c r="AG718" s="102"/>
      <c r="AH718" s="102"/>
      <c r="AI718" s="102"/>
      <c r="AJ718" s="102"/>
      <c r="AK718" s="102"/>
      <c r="AL718" s="102"/>
      <c r="AM718" s="102"/>
      <c r="AN718" s="102"/>
      <c r="AO718" s="102"/>
      <c r="AP718" s="102"/>
      <c r="AQ718" s="103"/>
      <c r="AR718" s="105">
        <f t="shared" si="1334"/>
        <v>0</v>
      </c>
      <c r="AS718" s="131" t="s">
        <v>161</v>
      </c>
      <c r="AT718" s="132">
        <f t="shared" ref="AT718:AX718" si="1335">SUM(AT715:AT717)</f>
        <v>0</v>
      </c>
      <c r="AU718" s="132">
        <f t="shared" si="1335"/>
        <v>0</v>
      </c>
      <c r="AV718" s="132">
        <f t="shared" si="1335"/>
        <v>0</v>
      </c>
      <c r="AW718" s="133">
        <f t="shared" si="1335"/>
        <v>0</v>
      </c>
      <c r="AX718" s="127">
        <f t="shared" si="1335"/>
        <v>0</v>
      </c>
      <c r="AY718" s="144" t="s">
        <v>161</v>
      </c>
      <c r="AZ718" s="140">
        <f t="shared" ref="AZ718:BB718" si="1336">SUM(AZ715:AZ717)</f>
        <v>0</v>
      </c>
      <c r="BA718" s="140">
        <f t="shared" si="1336"/>
        <v>0</v>
      </c>
      <c r="BB718" s="140">
        <f t="shared" si="1336"/>
        <v>0</v>
      </c>
      <c r="BC718" s="479" t="s">
        <v>263</v>
      </c>
      <c r="BD718" s="480"/>
      <c r="BE718" s="15"/>
      <c r="BF718" s="18"/>
      <c r="BG718" s="15"/>
      <c r="BH718" s="18"/>
      <c r="BI718" s="15"/>
      <c r="BJ718" s="18"/>
      <c r="BK718" s="15"/>
      <c r="BL718" s="18"/>
      <c r="BM718" s="15"/>
      <c r="BN718" s="18"/>
      <c r="BO718" s="15"/>
      <c r="BP718" s="18"/>
      <c r="BQ718" s="109">
        <f t="shared" si="1269"/>
        <v>0</v>
      </c>
      <c r="BR718" s="568"/>
      <c r="BS718" s="573"/>
      <c r="BT718" s="574"/>
      <c r="BU718" s="559"/>
      <c r="BV718" s="562"/>
      <c r="BW718" s="565"/>
      <c r="BX718" s="617"/>
    </row>
    <row r="719" spans="1:76" ht="15.75" thickTop="1" x14ac:dyDescent="0.25">
      <c r="A719" s="585">
        <v>178</v>
      </c>
      <c r="B719" s="588"/>
      <c r="C719" s="589"/>
      <c r="D719" s="604"/>
      <c r="E719" s="515"/>
      <c r="F719" s="516"/>
      <c r="G719" s="521"/>
      <c r="H719" s="522"/>
      <c r="I719" s="527"/>
      <c r="J719" s="528"/>
      <c r="K719" s="512" t="e">
        <f t="shared" ref="K719" si="1337">INT(YEARFRAC(I719,AA719))</f>
        <v>#VALUE!</v>
      </c>
      <c r="L719" s="533">
        <f t="shared" ref="L719" ca="1" si="1338">INT(YEARFRAC(I719,TODAY()))</f>
        <v>121</v>
      </c>
      <c r="M719" s="536"/>
      <c r="N719" s="539"/>
      <c r="O719" s="540"/>
      <c r="P719" s="481"/>
      <c r="Q719" s="482"/>
      <c r="R719" s="515"/>
      <c r="S719" s="516"/>
      <c r="T719" s="487"/>
      <c r="U719" s="488"/>
      <c r="V719" s="491"/>
      <c r="W719" s="481"/>
      <c r="X719" s="494"/>
      <c r="Y719" s="482"/>
      <c r="Z719" s="497"/>
      <c r="AA719" s="500" t="s">
        <v>419</v>
      </c>
      <c r="AB719" s="501"/>
      <c r="AC719" s="506" t="s">
        <v>257</v>
      </c>
      <c r="AD719" s="507"/>
      <c r="AE719" s="507"/>
      <c r="AF719" s="510"/>
      <c r="AG719" s="510"/>
      <c r="AH719" s="510"/>
      <c r="AI719" s="510"/>
      <c r="AJ719" s="510"/>
      <c r="AK719" s="510"/>
      <c r="AL719" s="510"/>
      <c r="AM719" s="510"/>
      <c r="AN719" s="510"/>
      <c r="AO719" s="510"/>
      <c r="AP719" s="510"/>
      <c r="AQ719" s="465"/>
      <c r="AR719" s="467">
        <f t="shared" ref="AR719" si="1339">SUM(AF719:AQ720)</f>
        <v>0</v>
      </c>
      <c r="AS719" s="119" t="s">
        <v>257</v>
      </c>
      <c r="AT719" s="120"/>
      <c r="AU719" s="120"/>
      <c r="AV719" s="120"/>
      <c r="AW719" s="121"/>
      <c r="AX719" s="125">
        <f t="shared" ref="AX719:AX721" si="1340">SUM(AT719:AW719)</f>
        <v>0</v>
      </c>
      <c r="AY719" s="141" t="s">
        <v>257</v>
      </c>
      <c r="AZ719" s="137"/>
      <c r="BA719" s="137"/>
      <c r="BB719" s="134">
        <f t="shared" ref="BB719:BB721" si="1341">AZ719-BA719</f>
        <v>0</v>
      </c>
      <c r="BC719" s="469" t="s">
        <v>258</v>
      </c>
      <c r="BD719" s="470"/>
      <c r="BE719" s="13"/>
      <c r="BF719" s="16"/>
      <c r="BG719" s="13"/>
      <c r="BH719" s="16"/>
      <c r="BI719" s="13"/>
      <c r="BJ719" s="16"/>
      <c r="BK719" s="13"/>
      <c r="BL719" s="16"/>
      <c r="BM719" s="13"/>
      <c r="BN719" s="16"/>
      <c r="BO719" s="13"/>
      <c r="BP719" s="16"/>
      <c r="BQ719" s="106">
        <f t="shared" si="1269"/>
        <v>0</v>
      </c>
      <c r="BR719" s="566"/>
      <c r="BS719" s="569"/>
      <c r="BT719" s="570"/>
      <c r="BU719" s="557"/>
      <c r="BV719" s="560"/>
      <c r="BW719" s="563"/>
      <c r="BX719" s="615"/>
    </row>
    <row r="720" spans="1:76" x14ac:dyDescent="0.25">
      <c r="A720" s="586"/>
      <c r="B720" s="590"/>
      <c r="C720" s="591"/>
      <c r="D720" s="605"/>
      <c r="E720" s="517"/>
      <c r="F720" s="518"/>
      <c r="G720" s="523"/>
      <c r="H720" s="524"/>
      <c r="I720" s="529"/>
      <c r="J720" s="530"/>
      <c r="K720" s="513"/>
      <c r="L720" s="534"/>
      <c r="M720" s="537"/>
      <c r="N720" s="541"/>
      <c r="O720" s="542"/>
      <c r="P720" s="483"/>
      <c r="Q720" s="484"/>
      <c r="R720" s="517"/>
      <c r="S720" s="518"/>
      <c r="T720" s="487"/>
      <c r="U720" s="488"/>
      <c r="V720" s="492"/>
      <c r="W720" s="483"/>
      <c r="X720" s="495"/>
      <c r="Y720" s="484"/>
      <c r="Z720" s="498"/>
      <c r="AA720" s="502"/>
      <c r="AB720" s="503"/>
      <c r="AC720" s="508"/>
      <c r="AD720" s="509"/>
      <c r="AE720" s="509"/>
      <c r="AF720" s="511"/>
      <c r="AG720" s="511"/>
      <c r="AH720" s="511"/>
      <c r="AI720" s="511"/>
      <c r="AJ720" s="511"/>
      <c r="AK720" s="511"/>
      <c r="AL720" s="511"/>
      <c r="AM720" s="511"/>
      <c r="AN720" s="511"/>
      <c r="AO720" s="511"/>
      <c r="AP720" s="511"/>
      <c r="AQ720" s="466"/>
      <c r="AR720" s="468"/>
      <c r="AS720" s="122" t="s">
        <v>259</v>
      </c>
      <c r="AT720" s="123"/>
      <c r="AU720" s="123"/>
      <c r="AV720" s="123"/>
      <c r="AW720" s="124"/>
      <c r="AX720" s="126">
        <f t="shared" si="1340"/>
        <v>0</v>
      </c>
      <c r="AY720" s="142" t="s">
        <v>259</v>
      </c>
      <c r="AZ720" s="138"/>
      <c r="BA720" s="138"/>
      <c r="BB720" s="135">
        <f t="shared" si="1341"/>
        <v>0</v>
      </c>
      <c r="BC720" s="474" t="s">
        <v>260</v>
      </c>
      <c r="BD720" s="475"/>
      <c r="BE720" s="14"/>
      <c r="BF720" s="17"/>
      <c r="BG720" s="14"/>
      <c r="BH720" s="17"/>
      <c r="BI720" s="14"/>
      <c r="BJ720" s="17"/>
      <c r="BK720" s="14"/>
      <c r="BL720" s="17"/>
      <c r="BM720" s="14"/>
      <c r="BN720" s="17"/>
      <c r="BO720" s="14"/>
      <c r="BP720" s="17"/>
      <c r="BQ720" s="107">
        <f t="shared" si="1269"/>
        <v>0</v>
      </c>
      <c r="BR720" s="567"/>
      <c r="BS720" s="571"/>
      <c r="BT720" s="572"/>
      <c r="BU720" s="558"/>
      <c r="BV720" s="561"/>
      <c r="BW720" s="564"/>
      <c r="BX720" s="616"/>
    </row>
    <row r="721" spans="1:76" ht="15.75" thickBot="1" x14ac:dyDescent="0.3">
      <c r="A721" s="586"/>
      <c r="B721" s="590"/>
      <c r="C721" s="591"/>
      <c r="D721" s="605"/>
      <c r="E721" s="517"/>
      <c r="F721" s="518"/>
      <c r="G721" s="523"/>
      <c r="H721" s="524"/>
      <c r="I721" s="529"/>
      <c r="J721" s="530"/>
      <c r="K721" s="513"/>
      <c r="L721" s="534"/>
      <c r="M721" s="537"/>
      <c r="N721" s="541"/>
      <c r="O721" s="542"/>
      <c r="P721" s="483"/>
      <c r="Q721" s="484"/>
      <c r="R721" s="517"/>
      <c r="S721" s="518"/>
      <c r="T721" s="487"/>
      <c r="U721" s="488"/>
      <c r="V721" s="492"/>
      <c r="W721" s="483"/>
      <c r="X721" s="495"/>
      <c r="Y721" s="484"/>
      <c r="Z721" s="498"/>
      <c r="AA721" s="502"/>
      <c r="AB721" s="503"/>
      <c r="AC721" s="471" t="s">
        <v>259</v>
      </c>
      <c r="AD721" s="472"/>
      <c r="AE721" s="473"/>
      <c r="AF721" s="100"/>
      <c r="AG721" s="100"/>
      <c r="AH721" s="100"/>
      <c r="AI721" s="100"/>
      <c r="AJ721" s="100"/>
      <c r="AK721" s="100"/>
      <c r="AL721" s="100"/>
      <c r="AM721" s="100"/>
      <c r="AN721" s="100"/>
      <c r="AO721" s="100"/>
      <c r="AP721" s="100"/>
      <c r="AQ721" s="101"/>
      <c r="AR721" s="104">
        <f t="shared" ref="AR721:AR722" si="1342">SUM(AF721:AQ721)</f>
        <v>0</v>
      </c>
      <c r="AS721" s="128" t="s">
        <v>261</v>
      </c>
      <c r="AT721" s="129"/>
      <c r="AU721" s="129"/>
      <c r="AV721" s="129"/>
      <c r="AW721" s="130"/>
      <c r="AX721" s="126">
        <f t="shared" si="1340"/>
        <v>0</v>
      </c>
      <c r="AY721" s="143" t="s">
        <v>261</v>
      </c>
      <c r="AZ721" s="139"/>
      <c r="BA721" s="139"/>
      <c r="BB721" s="136">
        <f t="shared" si="1341"/>
        <v>0</v>
      </c>
      <c r="BC721" s="474" t="s">
        <v>262</v>
      </c>
      <c r="BD721" s="475"/>
      <c r="BE721" s="14"/>
      <c r="BF721" s="17"/>
      <c r="BG721" s="14"/>
      <c r="BH721" s="17"/>
      <c r="BI721" s="14"/>
      <c r="BJ721" s="17"/>
      <c r="BK721" s="14"/>
      <c r="BL721" s="17"/>
      <c r="BM721" s="14"/>
      <c r="BN721" s="17"/>
      <c r="BO721" s="14"/>
      <c r="BP721" s="17"/>
      <c r="BQ721" s="108">
        <f t="shared" si="1269"/>
        <v>0</v>
      </c>
      <c r="BR721" s="567"/>
      <c r="BS721" s="571"/>
      <c r="BT721" s="572"/>
      <c r="BU721" s="558"/>
      <c r="BV721" s="561"/>
      <c r="BW721" s="564"/>
      <c r="BX721" s="616"/>
    </row>
    <row r="722" spans="1:76" ht="15.75" thickBot="1" x14ac:dyDescent="0.3">
      <c r="A722" s="587"/>
      <c r="B722" s="592"/>
      <c r="C722" s="593"/>
      <c r="D722" s="606"/>
      <c r="E722" s="519"/>
      <c r="F722" s="520"/>
      <c r="G722" s="525"/>
      <c r="H722" s="526"/>
      <c r="I722" s="531"/>
      <c r="J722" s="532"/>
      <c r="K722" s="514"/>
      <c r="L722" s="535"/>
      <c r="M722" s="538"/>
      <c r="N722" s="543"/>
      <c r="O722" s="544"/>
      <c r="P722" s="485"/>
      <c r="Q722" s="486"/>
      <c r="R722" s="519"/>
      <c r="S722" s="520"/>
      <c r="T722" s="489"/>
      <c r="U722" s="490"/>
      <c r="V722" s="493"/>
      <c r="W722" s="485"/>
      <c r="X722" s="496"/>
      <c r="Y722" s="486"/>
      <c r="Z722" s="499"/>
      <c r="AA722" s="504"/>
      <c r="AB722" s="505"/>
      <c r="AC722" s="476" t="s">
        <v>261</v>
      </c>
      <c r="AD722" s="477"/>
      <c r="AE722" s="478"/>
      <c r="AF722" s="102"/>
      <c r="AG722" s="102"/>
      <c r="AH722" s="102"/>
      <c r="AI722" s="102"/>
      <c r="AJ722" s="102"/>
      <c r="AK722" s="102"/>
      <c r="AL722" s="102"/>
      <c r="AM722" s="102"/>
      <c r="AN722" s="102"/>
      <c r="AO722" s="102"/>
      <c r="AP722" s="102"/>
      <c r="AQ722" s="103"/>
      <c r="AR722" s="105">
        <f t="shared" si="1342"/>
        <v>0</v>
      </c>
      <c r="AS722" s="131" t="s">
        <v>161</v>
      </c>
      <c r="AT722" s="132">
        <f t="shared" ref="AT722:AX722" si="1343">SUM(AT719:AT721)</f>
        <v>0</v>
      </c>
      <c r="AU722" s="132">
        <f t="shared" si="1343"/>
        <v>0</v>
      </c>
      <c r="AV722" s="132">
        <f t="shared" si="1343"/>
        <v>0</v>
      </c>
      <c r="AW722" s="133">
        <f t="shared" si="1343"/>
        <v>0</v>
      </c>
      <c r="AX722" s="127">
        <f t="shared" si="1343"/>
        <v>0</v>
      </c>
      <c r="AY722" s="144" t="s">
        <v>161</v>
      </c>
      <c r="AZ722" s="140">
        <f t="shared" ref="AZ722:BB722" si="1344">SUM(AZ719:AZ721)</f>
        <v>0</v>
      </c>
      <c r="BA722" s="140">
        <f t="shared" si="1344"/>
        <v>0</v>
      </c>
      <c r="BB722" s="140">
        <f t="shared" si="1344"/>
        <v>0</v>
      </c>
      <c r="BC722" s="479" t="s">
        <v>263</v>
      </c>
      <c r="BD722" s="480"/>
      <c r="BE722" s="15"/>
      <c r="BF722" s="18"/>
      <c r="BG722" s="15"/>
      <c r="BH722" s="18"/>
      <c r="BI722" s="15"/>
      <c r="BJ722" s="18"/>
      <c r="BK722" s="15"/>
      <c r="BL722" s="18"/>
      <c r="BM722" s="15"/>
      <c r="BN722" s="18"/>
      <c r="BO722" s="15"/>
      <c r="BP722" s="18"/>
      <c r="BQ722" s="109">
        <f t="shared" si="1269"/>
        <v>0</v>
      </c>
      <c r="BR722" s="568"/>
      <c r="BS722" s="573"/>
      <c r="BT722" s="574"/>
      <c r="BU722" s="559"/>
      <c r="BV722" s="562"/>
      <c r="BW722" s="565"/>
      <c r="BX722" s="617"/>
    </row>
    <row r="723" spans="1:76" ht="15.75" thickTop="1" x14ac:dyDescent="0.25">
      <c r="A723" s="585">
        <v>179</v>
      </c>
      <c r="B723" s="588"/>
      <c r="C723" s="589"/>
      <c r="D723" s="604"/>
      <c r="E723" s="515"/>
      <c r="F723" s="516"/>
      <c r="G723" s="521"/>
      <c r="H723" s="522"/>
      <c r="I723" s="527"/>
      <c r="J723" s="528"/>
      <c r="K723" s="512" t="e">
        <f t="shared" ref="K723" si="1345">INT(YEARFRAC(I723,AA723))</f>
        <v>#VALUE!</v>
      </c>
      <c r="L723" s="533">
        <f t="shared" ref="L723" ca="1" si="1346">INT(YEARFRAC(I723,TODAY()))</f>
        <v>121</v>
      </c>
      <c r="M723" s="536"/>
      <c r="N723" s="539"/>
      <c r="O723" s="540"/>
      <c r="P723" s="481"/>
      <c r="Q723" s="482"/>
      <c r="R723" s="515"/>
      <c r="S723" s="516"/>
      <c r="T723" s="487"/>
      <c r="U723" s="488"/>
      <c r="V723" s="491"/>
      <c r="W723" s="481"/>
      <c r="X723" s="494"/>
      <c r="Y723" s="482"/>
      <c r="Z723" s="497"/>
      <c r="AA723" s="500" t="s">
        <v>420</v>
      </c>
      <c r="AB723" s="501"/>
      <c r="AC723" s="506" t="s">
        <v>257</v>
      </c>
      <c r="AD723" s="507"/>
      <c r="AE723" s="507"/>
      <c r="AF723" s="510"/>
      <c r="AG723" s="510"/>
      <c r="AH723" s="510"/>
      <c r="AI723" s="510"/>
      <c r="AJ723" s="510"/>
      <c r="AK723" s="510"/>
      <c r="AL723" s="510"/>
      <c r="AM723" s="510"/>
      <c r="AN723" s="510"/>
      <c r="AO723" s="510"/>
      <c r="AP723" s="510"/>
      <c r="AQ723" s="465"/>
      <c r="AR723" s="467">
        <f t="shared" ref="AR723" si="1347">SUM(AF723:AQ724)</f>
        <v>0</v>
      </c>
      <c r="AS723" s="119" t="s">
        <v>257</v>
      </c>
      <c r="AT723" s="120"/>
      <c r="AU723" s="120"/>
      <c r="AV723" s="120"/>
      <c r="AW723" s="121"/>
      <c r="AX723" s="125">
        <f t="shared" ref="AX723:AX725" si="1348">SUM(AT723:AW723)</f>
        <v>0</v>
      </c>
      <c r="AY723" s="141" t="s">
        <v>257</v>
      </c>
      <c r="AZ723" s="137"/>
      <c r="BA723" s="137"/>
      <c r="BB723" s="134">
        <f t="shared" ref="BB723:BB725" si="1349">AZ723-BA723</f>
        <v>0</v>
      </c>
      <c r="BC723" s="469" t="s">
        <v>258</v>
      </c>
      <c r="BD723" s="470"/>
      <c r="BE723" s="13"/>
      <c r="BF723" s="16"/>
      <c r="BG723" s="13"/>
      <c r="BH723" s="16"/>
      <c r="BI723" s="13"/>
      <c r="BJ723" s="16"/>
      <c r="BK723" s="13"/>
      <c r="BL723" s="16"/>
      <c r="BM723" s="13"/>
      <c r="BN723" s="16"/>
      <c r="BO723" s="13"/>
      <c r="BP723" s="16"/>
      <c r="BQ723" s="106">
        <f t="shared" si="1269"/>
        <v>0</v>
      </c>
      <c r="BR723" s="566"/>
      <c r="BS723" s="569"/>
      <c r="BT723" s="570"/>
      <c r="BU723" s="557"/>
      <c r="BV723" s="560"/>
      <c r="BW723" s="563"/>
      <c r="BX723" s="615"/>
    </row>
    <row r="724" spans="1:76" x14ac:dyDescent="0.25">
      <c r="A724" s="586"/>
      <c r="B724" s="590"/>
      <c r="C724" s="591"/>
      <c r="D724" s="605"/>
      <c r="E724" s="517"/>
      <c r="F724" s="518"/>
      <c r="G724" s="523"/>
      <c r="H724" s="524"/>
      <c r="I724" s="529"/>
      <c r="J724" s="530"/>
      <c r="K724" s="513"/>
      <c r="L724" s="534"/>
      <c r="M724" s="537"/>
      <c r="N724" s="541"/>
      <c r="O724" s="542"/>
      <c r="P724" s="483"/>
      <c r="Q724" s="484"/>
      <c r="R724" s="517"/>
      <c r="S724" s="518"/>
      <c r="T724" s="487"/>
      <c r="U724" s="488"/>
      <c r="V724" s="492"/>
      <c r="W724" s="483"/>
      <c r="X724" s="495"/>
      <c r="Y724" s="484"/>
      <c r="Z724" s="498"/>
      <c r="AA724" s="502"/>
      <c r="AB724" s="503"/>
      <c r="AC724" s="508"/>
      <c r="AD724" s="509"/>
      <c r="AE724" s="509"/>
      <c r="AF724" s="511"/>
      <c r="AG724" s="511"/>
      <c r="AH724" s="511"/>
      <c r="AI724" s="511"/>
      <c r="AJ724" s="511"/>
      <c r="AK724" s="511"/>
      <c r="AL724" s="511"/>
      <c r="AM724" s="511"/>
      <c r="AN724" s="511"/>
      <c r="AO724" s="511"/>
      <c r="AP724" s="511"/>
      <c r="AQ724" s="466"/>
      <c r="AR724" s="468"/>
      <c r="AS724" s="122" t="s">
        <v>259</v>
      </c>
      <c r="AT724" s="123"/>
      <c r="AU724" s="123"/>
      <c r="AV724" s="123"/>
      <c r="AW724" s="124"/>
      <c r="AX724" s="126">
        <f t="shared" si="1348"/>
        <v>0</v>
      </c>
      <c r="AY724" s="142" t="s">
        <v>259</v>
      </c>
      <c r="AZ724" s="138"/>
      <c r="BA724" s="138"/>
      <c r="BB724" s="135">
        <f t="shared" si="1349"/>
        <v>0</v>
      </c>
      <c r="BC724" s="474" t="s">
        <v>260</v>
      </c>
      <c r="BD724" s="475"/>
      <c r="BE724" s="14"/>
      <c r="BF724" s="17"/>
      <c r="BG724" s="14"/>
      <c r="BH724" s="17"/>
      <c r="BI724" s="14"/>
      <c r="BJ724" s="17"/>
      <c r="BK724" s="14"/>
      <c r="BL724" s="17"/>
      <c r="BM724" s="14"/>
      <c r="BN724" s="17"/>
      <c r="BO724" s="14"/>
      <c r="BP724" s="17"/>
      <c r="BQ724" s="107">
        <f t="shared" si="1269"/>
        <v>0</v>
      </c>
      <c r="BR724" s="567"/>
      <c r="BS724" s="571"/>
      <c r="BT724" s="572"/>
      <c r="BU724" s="558"/>
      <c r="BV724" s="561"/>
      <c r="BW724" s="564"/>
      <c r="BX724" s="616"/>
    </row>
    <row r="725" spans="1:76" ht="15.75" thickBot="1" x14ac:dyDescent="0.3">
      <c r="A725" s="586"/>
      <c r="B725" s="590"/>
      <c r="C725" s="591"/>
      <c r="D725" s="605"/>
      <c r="E725" s="517"/>
      <c r="F725" s="518"/>
      <c r="G725" s="523"/>
      <c r="H725" s="524"/>
      <c r="I725" s="529"/>
      <c r="J725" s="530"/>
      <c r="K725" s="513"/>
      <c r="L725" s="534"/>
      <c r="M725" s="537"/>
      <c r="N725" s="541"/>
      <c r="O725" s="542"/>
      <c r="P725" s="483"/>
      <c r="Q725" s="484"/>
      <c r="R725" s="517"/>
      <c r="S725" s="518"/>
      <c r="T725" s="487"/>
      <c r="U725" s="488"/>
      <c r="V725" s="492"/>
      <c r="W725" s="483"/>
      <c r="X725" s="495"/>
      <c r="Y725" s="484"/>
      <c r="Z725" s="498"/>
      <c r="AA725" s="502"/>
      <c r="AB725" s="503"/>
      <c r="AC725" s="471" t="s">
        <v>259</v>
      </c>
      <c r="AD725" s="472"/>
      <c r="AE725" s="473"/>
      <c r="AF725" s="100"/>
      <c r="AG725" s="100"/>
      <c r="AH725" s="100"/>
      <c r="AI725" s="100"/>
      <c r="AJ725" s="100"/>
      <c r="AK725" s="100"/>
      <c r="AL725" s="100"/>
      <c r="AM725" s="100"/>
      <c r="AN725" s="100"/>
      <c r="AO725" s="100"/>
      <c r="AP725" s="100"/>
      <c r="AQ725" s="101"/>
      <c r="AR725" s="104">
        <f t="shared" ref="AR725:AR726" si="1350">SUM(AF725:AQ725)</f>
        <v>0</v>
      </c>
      <c r="AS725" s="128" t="s">
        <v>261</v>
      </c>
      <c r="AT725" s="129"/>
      <c r="AU725" s="129"/>
      <c r="AV725" s="129"/>
      <c r="AW725" s="130"/>
      <c r="AX725" s="126">
        <f t="shared" si="1348"/>
        <v>0</v>
      </c>
      <c r="AY725" s="143" t="s">
        <v>261</v>
      </c>
      <c r="AZ725" s="139"/>
      <c r="BA725" s="139"/>
      <c r="BB725" s="136">
        <f t="shared" si="1349"/>
        <v>0</v>
      </c>
      <c r="BC725" s="474" t="s">
        <v>262</v>
      </c>
      <c r="BD725" s="475"/>
      <c r="BE725" s="14"/>
      <c r="BF725" s="17"/>
      <c r="BG725" s="14"/>
      <c r="BH725" s="17"/>
      <c r="BI725" s="14"/>
      <c r="BJ725" s="17"/>
      <c r="BK725" s="14"/>
      <c r="BL725" s="17"/>
      <c r="BM725" s="14"/>
      <c r="BN725" s="17"/>
      <c r="BO725" s="14"/>
      <c r="BP725" s="17"/>
      <c r="BQ725" s="108">
        <f t="shared" si="1269"/>
        <v>0</v>
      </c>
      <c r="BR725" s="567"/>
      <c r="BS725" s="571"/>
      <c r="BT725" s="572"/>
      <c r="BU725" s="558"/>
      <c r="BV725" s="561"/>
      <c r="BW725" s="564"/>
      <c r="BX725" s="616"/>
    </row>
    <row r="726" spans="1:76" ht="15.75" thickBot="1" x14ac:dyDescent="0.3">
      <c r="A726" s="587"/>
      <c r="B726" s="592"/>
      <c r="C726" s="593"/>
      <c r="D726" s="606"/>
      <c r="E726" s="519"/>
      <c r="F726" s="520"/>
      <c r="G726" s="525"/>
      <c r="H726" s="526"/>
      <c r="I726" s="531"/>
      <c r="J726" s="532"/>
      <c r="K726" s="514"/>
      <c r="L726" s="535"/>
      <c r="M726" s="538"/>
      <c r="N726" s="543"/>
      <c r="O726" s="544"/>
      <c r="P726" s="485"/>
      <c r="Q726" s="486"/>
      <c r="R726" s="519"/>
      <c r="S726" s="520"/>
      <c r="T726" s="489"/>
      <c r="U726" s="490"/>
      <c r="V726" s="493"/>
      <c r="W726" s="485"/>
      <c r="X726" s="496"/>
      <c r="Y726" s="486"/>
      <c r="Z726" s="499"/>
      <c r="AA726" s="504"/>
      <c r="AB726" s="505"/>
      <c r="AC726" s="476" t="s">
        <v>261</v>
      </c>
      <c r="AD726" s="477"/>
      <c r="AE726" s="478"/>
      <c r="AF726" s="102"/>
      <c r="AG726" s="102"/>
      <c r="AH726" s="102"/>
      <c r="AI726" s="102"/>
      <c r="AJ726" s="102"/>
      <c r="AK726" s="102"/>
      <c r="AL726" s="102"/>
      <c r="AM726" s="102"/>
      <c r="AN726" s="102"/>
      <c r="AO726" s="102"/>
      <c r="AP726" s="102"/>
      <c r="AQ726" s="103"/>
      <c r="AR726" s="105">
        <f t="shared" si="1350"/>
        <v>0</v>
      </c>
      <c r="AS726" s="131" t="s">
        <v>161</v>
      </c>
      <c r="AT726" s="132">
        <f t="shared" ref="AT726:AX726" si="1351">SUM(AT723:AT725)</f>
        <v>0</v>
      </c>
      <c r="AU726" s="132">
        <f t="shared" si="1351"/>
        <v>0</v>
      </c>
      <c r="AV726" s="132">
        <f t="shared" si="1351"/>
        <v>0</v>
      </c>
      <c r="AW726" s="133">
        <f t="shared" si="1351"/>
        <v>0</v>
      </c>
      <c r="AX726" s="127">
        <f t="shared" si="1351"/>
        <v>0</v>
      </c>
      <c r="AY726" s="144" t="s">
        <v>161</v>
      </c>
      <c r="AZ726" s="140">
        <f t="shared" ref="AZ726:BB726" si="1352">SUM(AZ723:AZ725)</f>
        <v>0</v>
      </c>
      <c r="BA726" s="140">
        <f t="shared" si="1352"/>
        <v>0</v>
      </c>
      <c r="BB726" s="140">
        <f t="shared" si="1352"/>
        <v>0</v>
      </c>
      <c r="BC726" s="479" t="s">
        <v>263</v>
      </c>
      <c r="BD726" s="480"/>
      <c r="BE726" s="15"/>
      <c r="BF726" s="18"/>
      <c r="BG726" s="15"/>
      <c r="BH726" s="18"/>
      <c r="BI726" s="15"/>
      <c r="BJ726" s="18"/>
      <c r="BK726" s="15"/>
      <c r="BL726" s="18"/>
      <c r="BM726" s="15"/>
      <c r="BN726" s="18"/>
      <c r="BO726" s="15"/>
      <c r="BP726" s="18"/>
      <c r="BQ726" s="109">
        <f t="shared" si="1269"/>
        <v>0</v>
      </c>
      <c r="BR726" s="568"/>
      <c r="BS726" s="573"/>
      <c r="BT726" s="574"/>
      <c r="BU726" s="559"/>
      <c r="BV726" s="562"/>
      <c r="BW726" s="565"/>
      <c r="BX726" s="617"/>
    </row>
    <row r="727" spans="1:76" ht="15.75" thickTop="1" x14ac:dyDescent="0.25">
      <c r="A727" s="585">
        <v>180</v>
      </c>
      <c r="B727" s="588"/>
      <c r="C727" s="589"/>
      <c r="D727" s="604"/>
      <c r="E727" s="515"/>
      <c r="F727" s="516"/>
      <c r="G727" s="521"/>
      <c r="H727" s="522"/>
      <c r="I727" s="527"/>
      <c r="J727" s="528"/>
      <c r="K727" s="512" t="e">
        <f t="shared" ref="K727" si="1353">INT(YEARFRAC(I727,AA727))</f>
        <v>#VALUE!</v>
      </c>
      <c r="L727" s="533">
        <f t="shared" ref="L727" ca="1" si="1354">INT(YEARFRAC(I727,TODAY()))</f>
        <v>121</v>
      </c>
      <c r="M727" s="536"/>
      <c r="N727" s="539"/>
      <c r="O727" s="540"/>
      <c r="P727" s="481"/>
      <c r="Q727" s="482"/>
      <c r="R727" s="515"/>
      <c r="S727" s="516"/>
      <c r="T727" s="487"/>
      <c r="U727" s="488"/>
      <c r="V727" s="491"/>
      <c r="W727" s="481"/>
      <c r="X727" s="494"/>
      <c r="Y727" s="482"/>
      <c r="Z727" s="497"/>
      <c r="AA727" s="500" t="s">
        <v>421</v>
      </c>
      <c r="AB727" s="501"/>
      <c r="AC727" s="506" t="s">
        <v>257</v>
      </c>
      <c r="AD727" s="507"/>
      <c r="AE727" s="507"/>
      <c r="AF727" s="510"/>
      <c r="AG727" s="510"/>
      <c r="AH727" s="510"/>
      <c r="AI727" s="510"/>
      <c r="AJ727" s="510"/>
      <c r="AK727" s="510"/>
      <c r="AL727" s="510"/>
      <c r="AM727" s="510"/>
      <c r="AN727" s="510"/>
      <c r="AO727" s="510"/>
      <c r="AP727" s="510"/>
      <c r="AQ727" s="465"/>
      <c r="AR727" s="467">
        <f t="shared" ref="AR727" si="1355">SUM(AF727:AQ728)</f>
        <v>0</v>
      </c>
      <c r="AS727" s="119" t="s">
        <v>257</v>
      </c>
      <c r="AT727" s="120"/>
      <c r="AU727" s="120"/>
      <c r="AV727" s="120"/>
      <c r="AW727" s="121"/>
      <c r="AX727" s="125">
        <f t="shared" ref="AX727:AX729" si="1356">SUM(AT727:AW727)</f>
        <v>0</v>
      </c>
      <c r="AY727" s="141" t="s">
        <v>257</v>
      </c>
      <c r="AZ727" s="137"/>
      <c r="BA727" s="137"/>
      <c r="BB727" s="134">
        <f t="shared" ref="BB727:BB729" si="1357">AZ727-BA727</f>
        <v>0</v>
      </c>
      <c r="BC727" s="469" t="s">
        <v>258</v>
      </c>
      <c r="BD727" s="470"/>
      <c r="BE727" s="13"/>
      <c r="BF727" s="16"/>
      <c r="BG727" s="13"/>
      <c r="BH727" s="16"/>
      <c r="BI727" s="13"/>
      <c r="BJ727" s="16"/>
      <c r="BK727" s="13"/>
      <c r="BL727" s="16"/>
      <c r="BM727" s="13"/>
      <c r="BN727" s="16"/>
      <c r="BO727" s="13"/>
      <c r="BP727" s="16"/>
      <c r="BQ727" s="106">
        <f t="shared" si="1269"/>
        <v>0</v>
      </c>
      <c r="BR727" s="566"/>
      <c r="BS727" s="569"/>
      <c r="BT727" s="570"/>
      <c r="BU727" s="557"/>
      <c r="BV727" s="560"/>
      <c r="BW727" s="563"/>
      <c r="BX727" s="615"/>
    </row>
    <row r="728" spans="1:76" x14ac:dyDescent="0.25">
      <c r="A728" s="586"/>
      <c r="B728" s="590"/>
      <c r="C728" s="591"/>
      <c r="D728" s="605"/>
      <c r="E728" s="517"/>
      <c r="F728" s="518"/>
      <c r="G728" s="523"/>
      <c r="H728" s="524"/>
      <c r="I728" s="529"/>
      <c r="J728" s="530"/>
      <c r="K728" s="513"/>
      <c r="L728" s="534"/>
      <c r="M728" s="537"/>
      <c r="N728" s="541"/>
      <c r="O728" s="542"/>
      <c r="P728" s="483"/>
      <c r="Q728" s="484"/>
      <c r="R728" s="517"/>
      <c r="S728" s="518"/>
      <c r="T728" s="487"/>
      <c r="U728" s="488"/>
      <c r="V728" s="492"/>
      <c r="W728" s="483"/>
      <c r="X728" s="495"/>
      <c r="Y728" s="484"/>
      <c r="Z728" s="498"/>
      <c r="AA728" s="502"/>
      <c r="AB728" s="503"/>
      <c r="AC728" s="508"/>
      <c r="AD728" s="509"/>
      <c r="AE728" s="509"/>
      <c r="AF728" s="511"/>
      <c r="AG728" s="511"/>
      <c r="AH728" s="511"/>
      <c r="AI728" s="511"/>
      <c r="AJ728" s="511"/>
      <c r="AK728" s="511"/>
      <c r="AL728" s="511"/>
      <c r="AM728" s="511"/>
      <c r="AN728" s="511"/>
      <c r="AO728" s="511"/>
      <c r="AP728" s="511"/>
      <c r="AQ728" s="466"/>
      <c r="AR728" s="468"/>
      <c r="AS728" s="122" t="s">
        <v>259</v>
      </c>
      <c r="AT728" s="123"/>
      <c r="AU728" s="123"/>
      <c r="AV728" s="123"/>
      <c r="AW728" s="124"/>
      <c r="AX728" s="126">
        <f t="shared" si="1356"/>
        <v>0</v>
      </c>
      <c r="AY728" s="142" t="s">
        <v>259</v>
      </c>
      <c r="AZ728" s="138"/>
      <c r="BA728" s="138"/>
      <c r="BB728" s="135">
        <f t="shared" si="1357"/>
        <v>0</v>
      </c>
      <c r="BC728" s="474" t="s">
        <v>260</v>
      </c>
      <c r="BD728" s="475"/>
      <c r="BE728" s="14"/>
      <c r="BF728" s="17"/>
      <c r="BG728" s="14"/>
      <c r="BH728" s="17"/>
      <c r="BI728" s="14"/>
      <c r="BJ728" s="17"/>
      <c r="BK728" s="14"/>
      <c r="BL728" s="17"/>
      <c r="BM728" s="14"/>
      <c r="BN728" s="17"/>
      <c r="BO728" s="14"/>
      <c r="BP728" s="17"/>
      <c r="BQ728" s="107">
        <f t="shared" si="1269"/>
        <v>0</v>
      </c>
      <c r="BR728" s="567"/>
      <c r="BS728" s="571"/>
      <c r="BT728" s="572"/>
      <c r="BU728" s="558"/>
      <c r="BV728" s="561"/>
      <c r="BW728" s="564"/>
      <c r="BX728" s="616"/>
    </row>
    <row r="729" spans="1:76" ht="15.75" thickBot="1" x14ac:dyDescent="0.3">
      <c r="A729" s="586"/>
      <c r="B729" s="590"/>
      <c r="C729" s="591"/>
      <c r="D729" s="605"/>
      <c r="E729" s="517"/>
      <c r="F729" s="518"/>
      <c r="G729" s="523"/>
      <c r="H729" s="524"/>
      <c r="I729" s="529"/>
      <c r="J729" s="530"/>
      <c r="K729" s="513"/>
      <c r="L729" s="534"/>
      <c r="M729" s="537"/>
      <c r="N729" s="541"/>
      <c r="O729" s="542"/>
      <c r="P729" s="483"/>
      <c r="Q729" s="484"/>
      <c r="R729" s="517"/>
      <c r="S729" s="518"/>
      <c r="T729" s="487"/>
      <c r="U729" s="488"/>
      <c r="V729" s="492"/>
      <c r="W729" s="483"/>
      <c r="X729" s="495"/>
      <c r="Y729" s="484"/>
      <c r="Z729" s="498"/>
      <c r="AA729" s="502"/>
      <c r="AB729" s="503"/>
      <c r="AC729" s="471" t="s">
        <v>259</v>
      </c>
      <c r="AD729" s="472"/>
      <c r="AE729" s="473"/>
      <c r="AF729" s="100"/>
      <c r="AG729" s="100"/>
      <c r="AH729" s="100"/>
      <c r="AI729" s="100"/>
      <c r="AJ729" s="100"/>
      <c r="AK729" s="100"/>
      <c r="AL729" s="100"/>
      <c r="AM729" s="100"/>
      <c r="AN729" s="100"/>
      <c r="AO729" s="100"/>
      <c r="AP729" s="100"/>
      <c r="AQ729" s="101"/>
      <c r="AR729" s="104">
        <f t="shared" ref="AR729:AR730" si="1358">SUM(AF729:AQ729)</f>
        <v>0</v>
      </c>
      <c r="AS729" s="128" t="s">
        <v>261</v>
      </c>
      <c r="AT729" s="129"/>
      <c r="AU729" s="129"/>
      <c r="AV729" s="129"/>
      <c r="AW729" s="130"/>
      <c r="AX729" s="126">
        <f t="shared" si="1356"/>
        <v>0</v>
      </c>
      <c r="AY729" s="143" t="s">
        <v>261</v>
      </c>
      <c r="AZ729" s="139"/>
      <c r="BA729" s="139"/>
      <c r="BB729" s="136">
        <f t="shared" si="1357"/>
        <v>0</v>
      </c>
      <c r="BC729" s="474" t="s">
        <v>262</v>
      </c>
      <c r="BD729" s="475"/>
      <c r="BE729" s="14"/>
      <c r="BF729" s="17"/>
      <c r="BG729" s="14"/>
      <c r="BH729" s="17"/>
      <c r="BI729" s="14"/>
      <c r="BJ729" s="17"/>
      <c r="BK729" s="14"/>
      <c r="BL729" s="17"/>
      <c r="BM729" s="14"/>
      <c r="BN729" s="17"/>
      <c r="BO729" s="14"/>
      <c r="BP729" s="17"/>
      <c r="BQ729" s="108">
        <f t="shared" si="1269"/>
        <v>0</v>
      </c>
      <c r="BR729" s="567"/>
      <c r="BS729" s="571"/>
      <c r="BT729" s="572"/>
      <c r="BU729" s="558"/>
      <c r="BV729" s="561"/>
      <c r="BW729" s="564"/>
      <c r="BX729" s="616"/>
    </row>
    <row r="730" spans="1:76" ht="15.75" thickBot="1" x14ac:dyDescent="0.3">
      <c r="A730" s="587"/>
      <c r="B730" s="592"/>
      <c r="C730" s="593"/>
      <c r="D730" s="606"/>
      <c r="E730" s="519"/>
      <c r="F730" s="520"/>
      <c r="G730" s="525"/>
      <c r="H730" s="526"/>
      <c r="I730" s="531"/>
      <c r="J730" s="532"/>
      <c r="K730" s="514"/>
      <c r="L730" s="535"/>
      <c r="M730" s="538"/>
      <c r="N730" s="543"/>
      <c r="O730" s="544"/>
      <c r="P730" s="485"/>
      <c r="Q730" s="486"/>
      <c r="R730" s="519"/>
      <c r="S730" s="520"/>
      <c r="T730" s="489"/>
      <c r="U730" s="490"/>
      <c r="V730" s="493"/>
      <c r="W730" s="485"/>
      <c r="X730" s="496"/>
      <c r="Y730" s="486"/>
      <c r="Z730" s="499"/>
      <c r="AA730" s="504"/>
      <c r="AB730" s="505"/>
      <c r="AC730" s="476" t="s">
        <v>261</v>
      </c>
      <c r="AD730" s="477"/>
      <c r="AE730" s="478"/>
      <c r="AF730" s="102"/>
      <c r="AG730" s="102"/>
      <c r="AH730" s="102"/>
      <c r="AI730" s="102"/>
      <c r="AJ730" s="102"/>
      <c r="AK730" s="102"/>
      <c r="AL730" s="102"/>
      <c r="AM730" s="102"/>
      <c r="AN730" s="102"/>
      <c r="AO730" s="102"/>
      <c r="AP730" s="102"/>
      <c r="AQ730" s="103"/>
      <c r="AR730" s="105">
        <f t="shared" si="1358"/>
        <v>0</v>
      </c>
      <c r="AS730" s="131" t="s">
        <v>161</v>
      </c>
      <c r="AT730" s="132">
        <f t="shared" ref="AT730:AX730" si="1359">SUM(AT727:AT729)</f>
        <v>0</v>
      </c>
      <c r="AU730" s="132">
        <f t="shared" si="1359"/>
        <v>0</v>
      </c>
      <c r="AV730" s="132">
        <f t="shared" si="1359"/>
        <v>0</v>
      </c>
      <c r="AW730" s="133">
        <f t="shared" si="1359"/>
        <v>0</v>
      </c>
      <c r="AX730" s="127">
        <f t="shared" si="1359"/>
        <v>0</v>
      </c>
      <c r="AY730" s="144" t="s">
        <v>161</v>
      </c>
      <c r="AZ730" s="140">
        <f t="shared" ref="AZ730:BB730" si="1360">SUM(AZ727:AZ729)</f>
        <v>0</v>
      </c>
      <c r="BA730" s="140">
        <f t="shared" si="1360"/>
        <v>0</v>
      </c>
      <c r="BB730" s="140">
        <f t="shared" si="1360"/>
        <v>0</v>
      </c>
      <c r="BC730" s="479" t="s">
        <v>263</v>
      </c>
      <c r="BD730" s="480"/>
      <c r="BE730" s="15"/>
      <c r="BF730" s="18"/>
      <c r="BG730" s="15"/>
      <c r="BH730" s="18"/>
      <c r="BI730" s="15"/>
      <c r="BJ730" s="18"/>
      <c r="BK730" s="15"/>
      <c r="BL730" s="18"/>
      <c r="BM730" s="15"/>
      <c r="BN730" s="18"/>
      <c r="BO730" s="15"/>
      <c r="BP730" s="18"/>
      <c r="BQ730" s="109">
        <f t="shared" si="1269"/>
        <v>0</v>
      </c>
      <c r="BR730" s="568"/>
      <c r="BS730" s="573"/>
      <c r="BT730" s="574"/>
      <c r="BU730" s="559"/>
      <c r="BV730" s="562"/>
      <c r="BW730" s="565"/>
      <c r="BX730" s="617"/>
    </row>
    <row r="731" spans="1:76" ht="15.75" thickTop="1" x14ac:dyDescent="0.25">
      <c r="A731" s="585">
        <v>181</v>
      </c>
      <c r="B731" s="588"/>
      <c r="C731" s="589"/>
      <c r="D731" s="604"/>
      <c r="E731" s="515"/>
      <c r="F731" s="516"/>
      <c r="G731" s="521"/>
      <c r="H731" s="522"/>
      <c r="I731" s="527"/>
      <c r="J731" s="528"/>
      <c r="K731" s="512" t="e">
        <f t="shared" ref="K731" si="1361">INT(YEARFRAC(I731,AA731))</f>
        <v>#VALUE!</v>
      </c>
      <c r="L731" s="533">
        <f t="shared" ref="L731" ca="1" si="1362">INT(YEARFRAC(I731,TODAY()))</f>
        <v>121</v>
      </c>
      <c r="M731" s="536"/>
      <c r="N731" s="539"/>
      <c r="O731" s="540"/>
      <c r="P731" s="481"/>
      <c r="Q731" s="482"/>
      <c r="R731" s="515"/>
      <c r="S731" s="516"/>
      <c r="T731" s="487"/>
      <c r="U731" s="488"/>
      <c r="V731" s="491"/>
      <c r="W731" s="481"/>
      <c r="X731" s="494"/>
      <c r="Y731" s="482"/>
      <c r="Z731" s="497"/>
      <c r="AA731" s="500" t="s">
        <v>422</v>
      </c>
      <c r="AB731" s="501"/>
      <c r="AC731" s="506" t="s">
        <v>257</v>
      </c>
      <c r="AD731" s="507"/>
      <c r="AE731" s="507"/>
      <c r="AF731" s="510"/>
      <c r="AG731" s="510"/>
      <c r="AH731" s="510"/>
      <c r="AI731" s="510"/>
      <c r="AJ731" s="510"/>
      <c r="AK731" s="510"/>
      <c r="AL731" s="510"/>
      <c r="AM731" s="510"/>
      <c r="AN731" s="510"/>
      <c r="AO731" s="510"/>
      <c r="AP731" s="510"/>
      <c r="AQ731" s="465"/>
      <c r="AR731" s="467">
        <f t="shared" ref="AR731" si="1363">SUM(AF731:AQ732)</f>
        <v>0</v>
      </c>
      <c r="AS731" s="119" t="s">
        <v>257</v>
      </c>
      <c r="AT731" s="120"/>
      <c r="AU731" s="120"/>
      <c r="AV731" s="120"/>
      <c r="AW731" s="121"/>
      <c r="AX731" s="125">
        <f t="shared" ref="AX731:AX733" si="1364">SUM(AT731:AW731)</f>
        <v>0</v>
      </c>
      <c r="AY731" s="141" t="s">
        <v>257</v>
      </c>
      <c r="AZ731" s="137"/>
      <c r="BA731" s="137"/>
      <c r="BB731" s="134">
        <f t="shared" ref="BB731:BB733" si="1365">AZ731-BA731</f>
        <v>0</v>
      </c>
      <c r="BC731" s="469" t="s">
        <v>258</v>
      </c>
      <c r="BD731" s="470"/>
      <c r="BE731" s="13"/>
      <c r="BF731" s="16"/>
      <c r="BG731" s="13"/>
      <c r="BH731" s="16"/>
      <c r="BI731" s="13"/>
      <c r="BJ731" s="16"/>
      <c r="BK731" s="13"/>
      <c r="BL731" s="16"/>
      <c r="BM731" s="13"/>
      <c r="BN731" s="16"/>
      <c r="BO731" s="13"/>
      <c r="BP731" s="16"/>
      <c r="BQ731" s="106">
        <f t="shared" si="1269"/>
        <v>0</v>
      </c>
      <c r="BR731" s="566"/>
      <c r="BS731" s="569"/>
      <c r="BT731" s="570"/>
      <c r="BU731" s="557"/>
      <c r="BV731" s="560"/>
      <c r="BW731" s="563"/>
      <c r="BX731" s="615"/>
    </row>
    <row r="732" spans="1:76" x14ac:dyDescent="0.25">
      <c r="A732" s="586"/>
      <c r="B732" s="590"/>
      <c r="C732" s="591"/>
      <c r="D732" s="605"/>
      <c r="E732" s="517"/>
      <c r="F732" s="518"/>
      <c r="G732" s="523"/>
      <c r="H732" s="524"/>
      <c r="I732" s="529"/>
      <c r="J732" s="530"/>
      <c r="K732" s="513"/>
      <c r="L732" s="534"/>
      <c r="M732" s="537"/>
      <c r="N732" s="541"/>
      <c r="O732" s="542"/>
      <c r="P732" s="483"/>
      <c r="Q732" s="484"/>
      <c r="R732" s="517"/>
      <c r="S732" s="518"/>
      <c r="T732" s="487"/>
      <c r="U732" s="488"/>
      <c r="V732" s="492"/>
      <c r="W732" s="483"/>
      <c r="X732" s="495"/>
      <c r="Y732" s="484"/>
      <c r="Z732" s="498"/>
      <c r="AA732" s="502"/>
      <c r="AB732" s="503"/>
      <c r="AC732" s="508"/>
      <c r="AD732" s="509"/>
      <c r="AE732" s="509"/>
      <c r="AF732" s="511"/>
      <c r="AG732" s="511"/>
      <c r="AH732" s="511"/>
      <c r="AI732" s="511"/>
      <c r="AJ732" s="511"/>
      <c r="AK732" s="511"/>
      <c r="AL732" s="511"/>
      <c r="AM732" s="511"/>
      <c r="AN732" s="511"/>
      <c r="AO732" s="511"/>
      <c r="AP732" s="511"/>
      <c r="AQ732" s="466"/>
      <c r="AR732" s="468"/>
      <c r="AS732" s="122" t="s">
        <v>259</v>
      </c>
      <c r="AT732" s="123"/>
      <c r="AU732" s="123"/>
      <c r="AV732" s="123"/>
      <c r="AW732" s="124"/>
      <c r="AX732" s="126">
        <f t="shared" si="1364"/>
        <v>0</v>
      </c>
      <c r="AY732" s="142" t="s">
        <v>259</v>
      </c>
      <c r="AZ732" s="138"/>
      <c r="BA732" s="138"/>
      <c r="BB732" s="135">
        <f t="shared" si="1365"/>
        <v>0</v>
      </c>
      <c r="BC732" s="474" t="s">
        <v>260</v>
      </c>
      <c r="BD732" s="475"/>
      <c r="BE732" s="14"/>
      <c r="BF732" s="17"/>
      <c r="BG732" s="14"/>
      <c r="BH732" s="17"/>
      <c r="BI732" s="14"/>
      <c r="BJ732" s="17"/>
      <c r="BK732" s="14"/>
      <c r="BL732" s="17"/>
      <c r="BM732" s="14"/>
      <c r="BN732" s="17"/>
      <c r="BO732" s="14"/>
      <c r="BP732" s="17"/>
      <c r="BQ732" s="107">
        <f t="shared" si="1269"/>
        <v>0</v>
      </c>
      <c r="BR732" s="567"/>
      <c r="BS732" s="571"/>
      <c r="BT732" s="572"/>
      <c r="BU732" s="558"/>
      <c r="BV732" s="561"/>
      <c r="BW732" s="564"/>
      <c r="BX732" s="616"/>
    </row>
    <row r="733" spans="1:76" ht="15.75" thickBot="1" x14ac:dyDescent="0.3">
      <c r="A733" s="586"/>
      <c r="B733" s="590"/>
      <c r="C733" s="591"/>
      <c r="D733" s="605"/>
      <c r="E733" s="517"/>
      <c r="F733" s="518"/>
      <c r="G733" s="523"/>
      <c r="H733" s="524"/>
      <c r="I733" s="529"/>
      <c r="J733" s="530"/>
      <c r="K733" s="513"/>
      <c r="L733" s="534"/>
      <c r="M733" s="537"/>
      <c r="N733" s="541"/>
      <c r="O733" s="542"/>
      <c r="P733" s="483"/>
      <c r="Q733" s="484"/>
      <c r="R733" s="517"/>
      <c r="S733" s="518"/>
      <c r="T733" s="487"/>
      <c r="U733" s="488"/>
      <c r="V733" s="492"/>
      <c r="W733" s="483"/>
      <c r="X733" s="495"/>
      <c r="Y733" s="484"/>
      <c r="Z733" s="498"/>
      <c r="AA733" s="502"/>
      <c r="AB733" s="503"/>
      <c r="AC733" s="471" t="s">
        <v>259</v>
      </c>
      <c r="AD733" s="472"/>
      <c r="AE733" s="473"/>
      <c r="AF733" s="100"/>
      <c r="AG733" s="100"/>
      <c r="AH733" s="100"/>
      <c r="AI733" s="100"/>
      <c r="AJ733" s="100"/>
      <c r="AK733" s="100"/>
      <c r="AL733" s="100"/>
      <c r="AM733" s="100"/>
      <c r="AN733" s="100"/>
      <c r="AO733" s="100"/>
      <c r="AP733" s="100"/>
      <c r="AQ733" s="101"/>
      <c r="AR733" s="104">
        <f t="shared" ref="AR733:AR734" si="1366">SUM(AF733:AQ733)</f>
        <v>0</v>
      </c>
      <c r="AS733" s="128" t="s">
        <v>261</v>
      </c>
      <c r="AT733" s="129"/>
      <c r="AU733" s="129"/>
      <c r="AV733" s="129"/>
      <c r="AW733" s="130"/>
      <c r="AX733" s="126">
        <f t="shared" si="1364"/>
        <v>0</v>
      </c>
      <c r="AY733" s="143" t="s">
        <v>261</v>
      </c>
      <c r="AZ733" s="139"/>
      <c r="BA733" s="139"/>
      <c r="BB733" s="136">
        <f t="shared" si="1365"/>
        <v>0</v>
      </c>
      <c r="BC733" s="474" t="s">
        <v>262</v>
      </c>
      <c r="BD733" s="475"/>
      <c r="BE733" s="14"/>
      <c r="BF733" s="17"/>
      <c r="BG733" s="14"/>
      <c r="BH733" s="17"/>
      <c r="BI733" s="14"/>
      <c r="BJ733" s="17"/>
      <c r="BK733" s="14"/>
      <c r="BL733" s="17"/>
      <c r="BM733" s="14"/>
      <c r="BN733" s="17"/>
      <c r="BO733" s="14"/>
      <c r="BP733" s="17"/>
      <c r="BQ733" s="108">
        <f t="shared" si="1269"/>
        <v>0</v>
      </c>
      <c r="BR733" s="567"/>
      <c r="BS733" s="571"/>
      <c r="BT733" s="572"/>
      <c r="BU733" s="558"/>
      <c r="BV733" s="561"/>
      <c r="BW733" s="564"/>
      <c r="BX733" s="616"/>
    </row>
    <row r="734" spans="1:76" ht="15.75" thickBot="1" x14ac:dyDescent="0.3">
      <c r="A734" s="587"/>
      <c r="B734" s="592"/>
      <c r="C734" s="593"/>
      <c r="D734" s="606"/>
      <c r="E734" s="519"/>
      <c r="F734" s="520"/>
      <c r="G734" s="525"/>
      <c r="H734" s="526"/>
      <c r="I734" s="531"/>
      <c r="J734" s="532"/>
      <c r="K734" s="514"/>
      <c r="L734" s="535"/>
      <c r="M734" s="538"/>
      <c r="N734" s="543"/>
      <c r="O734" s="544"/>
      <c r="P734" s="485"/>
      <c r="Q734" s="486"/>
      <c r="R734" s="519"/>
      <c r="S734" s="520"/>
      <c r="T734" s="489"/>
      <c r="U734" s="490"/>
      <c r="V734" s="493"/>
      <c r="W734" s="485"/>
      <c r="X734" s="496"/>
      <c r="Y734" s="486"/>
      <c r="Z734" s="499"/>
      <c r="AA734" s="504"/>
      <c r="AB734" s="505"/>
      <c r="AC734" s="476" t="s">
        <v>261</v>
      </c>
      <c r="AD734" s="477"/>
      <c r="AE734" s="478"/>
      <c r="AF734" s="102"/>
      <c r="AG734" s="102"/>
      <c r="AH734" s="102"/>
      <c r="AI734" s="102"/>
      <c r="AJ734" s="102"/>
      <c r="AK734" s="102"/>
      <c r="AL734" s="102"/>
      <c r="AM734" s="102"/>
      <c r="AN734" s="102"/>
      <c r="AO734" s="102"/>
      <c r="AP734" s="102"/>
      <c r="AQ734" s="103"/>
      <c r="AR734" s="105">
        <f t="shared" si="1366"/>
        <v>0</v>
      </c>
      <c r="AS734" s="131" t="s">
        <v>161</v>
      </c>
      <c r="AT734" s="132">
        <f t="shared" ref="AT734:AX734" si="1367">SUM(AT731:AT733)</f>
        <v>0</v>
      </c>
      <c r="AU734" s="132">
        <f t="shared" si="1367"/>
        <v>0</v>
      </c>
      <c r="AV734" s="132">
        <f t="shared" si="1367"/>
        <v>0</v>
      </c>
      <c r="AW734" s="133">
        <f t="shared" si="1367"/>
        <v>0</v>
      </c>
      <c r="AX734" s="127">
        <f t="shared" si="1367"/>
        <v>0</v>
      </c>
      <c r="AY734" s="144" t="s">
        <v>161</v>
      </c>
      <c r="AZ734" s="140">
        <f t="shared" ref="AZ734:BB734" si="1368">SUM(AZ731:AZ733)</f>
        <v>0</v>
      </c>
      <c r="BA734" s="140">
        <f t="shared" si="1368"/>
        <v>0</v>
      </c>
      <c r="BB734" s="140">
        <f t="shared" si="1368"/>
        <v>0</v>
      </c>
      <c r="BC734" s="479" t="s">
        <v>263</v>
      </c>
      <c r="BD734" s="480"/>
      <c r="BE734" s="15"/>
      <c r="BF734" s="18"/>
      <c r="BG734" s="15"/>
      <c r="BH734" s="18"/>
      <c r="BI734" s="15"/>
      <c r="BJ734" s="18"/>
      <c r="BK734" s="15"/>
      <c r="BL734" s="18"/>
      <c r="BM734" s="15"/>
      <c r="BN734" s="18"/>
      <c r="BO734" s="15"/>
      <c r="BP734" s="18"/>
      <c r="BQ734" s="109">
        <f t="shared" si="1269"/>
        <v>0</v>
      </c>
      <c r="BR734" s="568"/>
      <c r="BS734" s="573"/>
      <c r="BT734" s="574"/>
      <c r="BU734" s="559"/>
      <c r="BV734" s="562"/>
      <c r="BW734" s="565"/>
      <c r="BX734" s="617"/>
    </row>
    <row r="735" spans="1:76" ht="15.75" thickTop="1" x14ac:dyDescent="0.25">
      <c r="A735" s="585">
        <v>182</v>
      </c>
      <c r="B735" s="588"/>
      <c r="C735" s="589"/>
      <c r="D735" s="604"/>
      <c r="E735" s="515"/>
      <c r="F735" s="516"/>
      <c r="G735" s="521"/>
      <c r="H735" s="522"/>
      <c r="I735" s="527"/>
      <c r="J735" s="528"/>
      <c r="K735" s="512" t="e">
        <f t="shared" ref="K735" si="1369">INT(YEARFRAC(I735,AA735))</f>
        <v>#VALUE!</v>
      </c>
      <c r="L735" s="533">
        <f t="shared" ref="L735" ca="1" si="1370">INT(YEARFRAC(I735,TODAY()))</f>
        <v>121</v>
      </c>
      <c r="M735" s="536"/>
      <c r="N735" s="539"/>
      <c r="O735" s="540"/>
      <c r="P735" s="481"/>
      <c r="Q735" s="482"/>
      <c r="R735" s="515"/>
      <c r="S735" s="516"/>
      <c r="T735" s="487"/>
      <c r="U735" s="488"/>
      <c r="V735" s="491"/>
      <c r="W735" s="481"/>
      <c r="X735" s="494"/>
      <c r="Y735" s="482"/>
      <c r="Z735" s="497"/>
      <c r="AA735" s="500" t="s">
        <v>423</v>
      </c>
      <c r="AB735" s="501"/>
      <c r="AC735" s="506" t="s">
        <v>257</v>
      </c>
      <c r="AD735" s="507"/>
      <c r="AE735" s="507"/>
      <c r="AF735" s="510"/>
      <c r="AG735" s="510"/>
      <c r="AH735" s="510"/>
      <c r="AI735" s="510"/>
      <c r="AJ735" s="510"/>
      <c r="AK735" s="510"/>
      <c r="AL735" s="510"/>
      <c r="AM735" s="510"/>
      <c r="AN735" s="510"/>
      <c r="AO735" s="510"/>
      <c r="AP735" s="510"/>
      <c r="AQ735" s="465"/>
      <c r="AR735" s="467">
        <f t="shared" ref="AR735" si="1371">SUM(AF735:AQ736)</f>
        <v>0</v>
      </c>
      <c r="AS735" s="119" t="s">
        <v>257</v>
      </c>
      <c r="AT735" s="120"/>
      <c r="AU735" s="120"/>
      <c r="AV735" s="120"/>
      <c r="AW735" s="121"/>
      <c r="AX735" s="125">
        <f t="shared" ref="AX735:AX737" si="1372">SUM(AT735:AW735)</f>
        <v>0</v>
      </c>
      <c r="AY735" s="141" t="s">
        <v>257</v>
      </c>
      <c r="AZ735" s="137"/>
      <c r="BA735" s="137"/>
      <c r="BB735" s="134">
        <f t="shared" ref="BB735:BB737" si="1373">AZ735-BA735</f>
        <v>0</v>
      </c>
      <c r="BC735" s="469" t="s">
        <v>258</v>
      </c>
      <c r="BD735" s="470"/>
      <c r="BE735" s="13"/>
      <c r="BF735" s="16"/>
      <c r="BG735" s="13"/>
      <c r="BH735" s="16"/>
      <c r="BI735" s="13"/>
      <c r="BJ735" s="16"/>
      <c r="BK735" s="13"/>
      <c r="BL735" s="16"/>
      <c r="BM735" s="13"/>
      <c r="BN735" s="16"/>
      <c r="BO735" s="13"/>
      <c r="BP735" s="16"/>
      <c r="BQ735" s="106">
        <f t="shared" si="1269"/>
        <v>0</v>
      </c>
      <c r="BR735" s="566"/>
      <c r="BS735" s="569"/>
      <c r="BT735" s="570"/>
      <c r="BU735" s="557"/>
      <c r="BV735" s="560"/>
      <c r="BW735" s="563"/>
      <c r="BX735" s="615"/>
    </row>
    <row r="736" spans="1:76" x14ac:dyDescent="0.25">
      <c r="A736" s="586"/>
      <c r="B736" s="590"/>
      <c r="C736" s="591"/>
      <c r="D736" s="605"/>
      <c r="E736" s="517"/>
      <c r="F736" s="518"/>
      <c r="G736" s="523"/>
      <c r="H736" s="524"/>
      <c r="I736" s="529"/>
      <c r="J736" s="530"/>
      <c r="K736" s="513"/>
      <c r="L736" s="534"/>
      <c r="M736" s="537"/>
      <c r="N736" s="541"/>
      <c r="O736" s="542"/>
      <c r="P736" s="483"/>
      <c r="Q736" s="484"/>
      <c r="R736" s="517"/>
      <c r="S736" s="518"/>
      <c r="T736" s="487"/>
      <c r="U736" s="488"/>
      <c r="V736" s="492"/>
      <c r="W736" s="483"/>
      <c r="X736" s="495"/>
      <c r="Y736" s="484"/>
      <c r="Z736" s="498"/>
      <c r="AA736" s="502"/>
      <c r="AB736" s="503"/>
      <c r="AC736" s="508"/>
      <c r="AD736" s="509"/>
      <c r="AE736" s="509"/>
      <c r="AF736" s="511"/>
      <c r="AG736" s="511"/>
      <c r="AH736" s="511"/>
      <c r="AI736" s="511"/>
      <c r="AJ736" s="511"/>
      <c r="AK736" s="511"/>
      <c r="AL736" s="511"/>
      <c r="AM736" s="511"/>
      <c r="AN736" s="511"/>
      <c r="AO736" s="511"/>
      <c r="AP736" s="511"/>
      <c r="AQ736" s="466"/>
      <c r="AR736" s="468"/>
      <c r="AS736" s="122" t="s">
        <v>259</v>
      </c>
      <c r="AT736" s="123"/>
      <c r="AU736" s="123"/>
      <c r="AV736" s="123"/>
      <c r="AW736" s="124"/>
      <c r="AX736" s="126">
        <f t="shared" si="1372"/>
        <v>0</v>
      </c>
      <c r="AY736" s="142" t="s">
        <v>259</v>
      </c>
      <c r="AZ736" s="138"/>
      <c r="BA736" s="138"/>
      <c r="BB736" s="135">
        <f t="shared" si="1373"/>
        <v>0</v>
      </c>
      <c r="BC736" s="474" t="s">
        <v>260</v>
      </c>
      <c r="BD736" s="475"/>
      <c r="BE736" s="14"/>
      <c r="BF736" s="17"/>
      <c r="BG736" s="14"/>
      <c r="BH736" s="17"/>
      <c r="BI736" s="14"/>
      <c r="BJ736" s="17"/>
      <c r="BK736" s="14"/>
      <c r="BL736" s="17"/>
      <c r="BM736" s="14"/>
      <c r="BN736" s="17"/>
      <c r="BO736" s="14"/>
      <c r="BP736" s="17"/>
      <c r="BQ736" s="107">
        <f t="shared" si="1269"/>
        <v>0</v>
      </c>
      <c r="BR736" s="567"/>
      <c r="BS736" s="571"/>
      <c r="BT736" s="572"/>
      <c r="BU736" s="558"/>
      <c r="BV736" s="561"/>
      <c r="BW736" s="564"/>
      <c r="BX736" s="616"/>
    </row>
    <row r="737" spans="1:76" ht="15.75" thickBot="1" x14ac:dyDescent="0.3">
      <c r="A737" s="586"/>
      <c r="B737" s="590"/>
      <c r="C737" s="591"/>
      <c r="D737" s="605"/>
      <c r="E737" s="517"/>
      <c r="F737" s="518"/>
      <c r="G737" s="523"/>
      <c r="H737" s="524"/>
      <c r="I737" s="529"/>
      <c r="J737" s="530"/>
      <c r="K737" s="513"/>
      <c r="L737" s="534"/>
      <c r="M737" s="537"/>
      <c r="N737" s="541"/>
      <c r="O737" s="542"/>
      <c r="P737" s="483"/>
      <c r="Q737" s="484"/>
      <c r="R737" s="517"/>
      <c r="S737" s="518"/>
      <c r="T737" s="487"/>
      <c r="U737" s="488"/>
      <c r="V737" s="492"/>
      <c r="W737" s="483"/>
      <c r="X737" s="495"/>
      <c r="Y737" s="484"/>
      <c r="Z737" s="498"/>
      <c r="AA737" s="502"/>
      <c r="AB737" s="503"/>
      <c r="AC737" s="471" t="s">
        <v>259</v>
      </c>
      <c r="AD737" s="472"/>
      <c r="AE737" s="473"/>
      <c r="AF737" s="100"/>
      <c r="AG737" s="100"/>
      <c r="AH737" s="100"/>
      <c r="AI737" s="100"/>
      <c r="AJ737" s="100"/>
      <c r="AK737" s="100"/>
      <c r="AL737" s="100"/>
      <c r="AM737" s="100"/>
      <c r="AN737" s="100"/>
      <c r="AO737" s="100"/>
      <c r="AP737" s="100"/>
      <c r="AQ737" s="101"/>
      <c r="AR737" s="104">
        <f t="shared" ref="AR737:AR738" si="1374">SUM(AF737:AQ737)</f>
        <v>0</v>
      </c>
      <c r="AS737" s="128" t="s">
        <v>261</v>
      </c>
      <c r="AT737" s="129"/>
      <c r="AU737" s="129"/>
      <c r="AV737" s="129"/>
      <c r="AW737" s="130"/>
      <c r="AX737" s="126">
        <f t="shared" si="1372"/>
        <v>0</v>
      </c>
      <c r="AY737" s="143" t="s">
        <v>261</v>
      </c>
      <c r="AZ737" s="139"/>
      <c r="BA737" s="139"/>
      <c r="BB737" s="136">
        <f t="shared" si="1373"/>
        <v>0</v>
      </c>
      <c r="BC737" s="474" t="s">
        <v>262</v>
      </c>
      <c r="BD737" s="475"/>
      <c r="BE737" s="14"/>
      <c r="BF737" s="17"/>
      <c r="BG737" s="14"/>
      <c r="BH737" s="17"/>
      <c r="BI737" s="14"/>
      <c r="BJ737" s="17"/>
      <c r="BK737" s="14"/>
      <c r="BL737" s="17"/>
      <c r="BM737" s="14"/>
      <c r="BN737" s="17"/>
      <c r="BO737" s="14"/>
      <c r="BP737" s="17"/>
      <c r="BQ737" s="108">
        <f t="shared" si="1269"/>
        <v>0</v>
      </c>
      <c r="BR737" s="567"/>
      <c r="BS737" s="571"/>
      <c r="BT737" s="572"/>
      <c r="BU737" s="558"/>
      <c r="BV737" s="561"/>
      <c r="BW737" s="564"/>
      <c r="BX737" s="616"/>
    </row>
    <row r="738" spans="1:76" ht="15.75" thickBot="1" x14ac:dyDescent="0.3">
      <c r="A738" s="587"/>
      <c r="B738" s="592"/>
      <c r="C738" s="593"/>
      <c r="D738" s="606"/>
      <c r="E738" s="519"/>
      <c r="F738" s="520"/>
      <c r="G738" s="525"/>
      <c r="H738" s="526"/>
      <c r="I738" s="531"/>
      <c r="J738" s="532"/>
      <c r="K738" s="514"/>
      <c r="L738" s="535"/>
      <c r="M738" s="538"/>
      <c r="N738" s="543"/>
      <c r="O738" s="544"/>
      <c r="P738" s="485"/>
      <c r="Q738" s="486"/>
      <c r="R738" s="519"/>
      <c r="S738" s="520"/>
      <c r="T738" s="489"/>
      <c r="U738" s="490"/>
      <c r="V738" s="493"/>
      <c r="W738" s="485"/>
      <c r="X738" s="496"/>
      <c r="Y738" s="486"/>
      <c r="Z738" s="499"/>
      <c r="AA738" s="504"/>
      <c r="AB738" s="505"/>
      <c r="AC738" s="476" t="s">
        <v>261</v>
      </c>
      <c r="AD738" s="477"/>
      <c r="AE738" s="478"/>
      <c r="AF738" s="102"/>
      <c r="AG738" s="102"/>
      <c r="AH738" s="102"/>
      <c r="AI738" s="102"/>
      <c r="AJ738" s="102"/>
      <c r="AK738" s="102"/>
      <c r="AL738" s="102"/>
      <c r="AM738" s="102"/>
      <c r="AN738" s="102"/>
      <c r="AO738" s="102"/>
      <c r="AP738" s="102"/>
      <c r="AQ738" s="103"/>
      <c r="AR738" s="105">
        <f t="shared" si="1374"/>
        <v>0</v>
      </c>
      <c r="AS738" s="131" t="s">
        <v>161</v>
      </c>
      <c r="AT738" s="132">
        <f t="shared" ref="AT738:AX738" si="1375">SUM(AT735:AT737)</f>
        <v>0</v>
      </c>
      <c r="AU738" s="132">
        <f t="shared" si="1375"/>
        <v>0</v>
      </c>
      <c r="AV738" s="132">
        <f t="shared" si="1375"/>
        <v>0</v>
      </c>
      <c r="AW738" s="133">
        <f t="shared" si="1375"/>
        <v>0</v>
      </c>
      <c r="AX738" s="127">
        <f t="shared" si="1375"/>
        <v>0</v>
      </c>
      <c r="AY738" s="144" t="s">
        <v>161</v>
      </c>
      <c r="AZ738" s="140">
        <f t="shared" ref="AZ738:BB738" si="1376">SUM(AZ735:AZ737)</f>
        <v>0</v>
      </c>
      <c r="BA738" s="140">
        <f t="shared" si="1376"/>
        <v>0</v>
      </c>
      <c r="BB738" s="140">
        <f t="shared" si="1376"/>
        <v>0</v>
      </c>
      <c r="BC738" s="479" t="s">
        <v>263</v>
      </c>
      <c r="BD738" s="480"/>
      <c r="BE738" s="15"/>
      <c r="BF738" s="18"/>
      <c r="BG738" s="15"/>
      <c r="BH738" s="18"/>
      <c r="BI738" s="15"/>
      <c r="BJ738" s="18"/>
      <c r="BK738" s="15"/>
      <c r="BL738" s="18"/>
      <c r="BM738" s="15"/>
      <c r="BN738" s="18"/>
      <c r="BO738" s="15"/>
      <c r="BP738" s="18"/>
      <c r="BQ738" s="109">
        <f t="shared" si="1269"/>
        <v>0</v>
      </c>
      <c r="BR738" s="568"/>
      <c r="BS738" s="573"/>
      <c r="BT738" s="574"/>
      <c r="BU738" s="559"/>
      <c r="BV738" s="562"/>
      <c r="BW738" s="565"/>
      <c r="BX738" s="617"/>
    </row>
    <row r="739" spans="1:76" ht="15.75" thickTop="1" x14ac:dyDescent="0.25">
      <c r="A739" s="585">
        <v>183</v>
      </c>
      <c r="B739" s="588"/>
      <c r="C739" s="589"/>
      <c r="D739" s="604"/>
      <c r="E739" s="515"/>
      <c r="F739" s="516"/>
      <c r="G739" s="521"/>
      <c r="H739" s="522"/>
      <c r="I739" s="527"/>
      <c r="J739" s="528"/>
      <c r="K739" s="512" t="e">
        <f t="shared" ref="K739" si="1377">INT(YEARFRAC(I739,AA739))</f>
        <v>#VALUE!</v>
      </c>
      <c r="L739" s="533">
        <f t="shared" ref="L739" ca="1" si="1378">INT(YEARFRAC(I739,TODAY()))</f>
        <v>121</v>
      </c>
      <c r="M739" s="536"/>
      <c r="N739" s="539"/>
      <c r="O739" s="540"/>
      <c r="P739" s="481"/>
      <c r="Q739" s="482"/>
      <c r="R739" s="515"/>
      <c r="S739" s="516"/>
      <c r="T739" s="487"/>
      <c r="U739" s="488"/>
      <c r="V739" s="491"/>
      <c r="W739" s="481"/>
      <c r="X739" s="494"/>
      <c r="Y739" s="482"/>
      <c r="Z739" s="497"/>
      <c r="AA739" s="500" t="s">
        <v>424</v>
      </c>
      <c r="AB739" s="501"/>
      <c r="AC739" s="506" t="s">
        <v>257</v>
      </c>
      <c r="AD739" s="507"/>
      <c r="AE739" s="507"/>
      <c r="AF739" s="510"/>
      <c r="AG739" s="510"/>
      <c r="AH739" s="510"/>
      <c r="AI739" s="510"/>
      <c r="AJ739" s="510"/>
      <c r="AK739" s="510"/>
      <c r="AL739" s="510"/>
      <c r="AM739" s="510"/>
      <c r="AN739" s="510"/>
      <c r="AO739" s="510"/>
      <c r="AP739" s="510"/>
      <c r="AQ739" s="465"/>
      <c r="AR739" s="467">
        <f t="shared" ref="AR739" si="1379">SUM(AF739:AQ740)</f>
        <v>0</v>
      </c>
      <c r="AS739" s="119" t="s">
        <v>257</v>
      </c>
      <c r="AT739" s="120"/>
      <c r="AU739" s="120"/>
      <c r="AV739" s="120"/>
      <c r="AW739" s="121"/>
      <c r="AX739" s="125">
        <f t="shared" ref="AX739:AX741" si="1380">SUM(AT739:AW739)</f>
        <v>0</v>
      </c>
      <c r="AY739" s="141" t="s">
        <v>257</v>
      </c>
      <c r="AZ739" s="137"/>
      <c r="BA739" s="137"/>
      <c r="BB739" s="134">
        <f t="shared" ref="BB739:BB741" si="1381">AZ739-BA739</f>
        <v>0</v>
      </c>
      <c r="BC739" s="469" t="s">
        <v>258</v>
      </c>
      <c r="BD739" s="470"/>
      <c r="BE739" s="13"/>
      <c r="BF739" s="16"/>
      <c r="BG739" s="13"/>
      <c r="BH739" s="16"/>
      <c r="BI739" s="13"/>
      <c r="BJ739" s="16"/>
      <c r="BK739" s="13"/>
      <c r="BL739" s="16"/>
      <c r="BM739" s="13"/>
      <c r="BN739" s="16"/>
      <c r="BO739" s="13"/>
      <c r="BP739" s="16"/>
      <c r="BQ739" s="106">
        <f t="shared" si="1269"/>
        <v>0</v>
      </c>
      <c r="BR739" s="566"/>
      <c r="BS739" s="569"/>
      <c r="BT739" s="570"/>
      <c r="BU739" s="557"/>
      <c r="BV739" s="560"/>
      <c r="BW739" s="563"/>
      <c r="BX739" s="615"/>
    </row>
    <row r="740" spans="1:76" x14ac:dyDescent="0.25">
      <c r="A740" s="586"/>
      <c r="B740" s="590"/>
      <c r="C740" s="591"/>
      <c r="D740" s="605"/>
      <c r="E740" s="517"/>
      <c r="F740" s="518"/>
      <c r="G740" s="523"/>
      <c r="H740" s="524"/>
      <c r="I740" s="529"/>
      <c r="J740" s="530"/>
      <c r="K740" s="513"/>
      <c r="L740" s="534"/>
      <c r="M740" s="537"/>
      <c r="N740" s="541"/>
      <c r="O740" s="542"/>
      <c r="P740" s="483"/>
      <c r="Q740" s="484"/>
      <c r="R740" s="517"/>
      <c r="S740" s="518"/>
      <c r="T740" s="487"/>
      <c r="U740" s="488"/>
      <c r="V740" s="492"/>
      <c r="W740" s="483"/>
      <c r="X740" s="495"/>
      <c r="Y740" s="484"/>
      <c r="Z740" s="498"/>
      <c r="AA740" s="502"/>
      <c r="AB740" s="503"/>
      <c r="AC740" s="508"/>
      <c r="AD740" s="509"/>
      <c r="AE740" s="509"/>
      <c r="AF740" s="511"/>
      <c r="AG740" s="511"/>
      <c r="AH740" s="511"/>
      <c r="AI740" s="511"/>
      <c r="AJ740" s="511"/>
      <c r="AK740" s="511"/>
      <c r="AL740" s="511"/>
      <c r="AM740" s="511"/>
      <c r="AN740" s="511"/>
      <c r="AO740" s="511"/>
      <c r="AP740" s="511"/>
      <c r="AQ740" s="466"/>
      <c r="AR740" s="468"/>
      <c r="AS740" s="122" t="s">
        <v>259</v>
      </c>
      <c r="AT740" s="123"/>
      <c r="AU740" s="123"/>
      <c r="AV740" s="123"/>
      <c r="AW740" s="124"/>
      <c r="AX740" s="126">
        <f t="shared" si="1380"/>
        <v>0</v>
      </c>
      <c r="AY740" s="142" t="s">
        <v>259</v>
      </c>
      <c r="AZ740" s="138"/>
      <c r="BA740" s="138"/>
      <c r="BB740" s="135">
        <f t="shared" si="1381"/>
        <v>0</v>
      </c>
      <c r="BC740" s="474" t="s">
        <v>260</v>
      </c>
      <c r="BD740" s="475"/>
      <c r="BE740" s="14"/>
      <c r="BF740" s="17"/>
      <c r="BG740" s="14"/>
      <c r="BH740" s="17"/>
      <c r="BI740" s="14"/>
      <c r="BJ740" s="17"/>
      <c r="BK740" s="14"/>
      <c r="BL740" s="17"/>
      <c r="BM740" s="14"/>
      <c r="BN740" s="17"/>
      <c r="BO740" s="14"/>
      <c r="BP740" s="17"/>
      <c r="BQ740" s="107">
        <f t="shared" si="1269"/>
        <v>0</v>
      </c>
      <c r="BR740" s="567"/>
      <c r="BS740" s="571"/>
      <c r="BT740" s="572"/>
      <c r="BU740" s="558"/>
      <c r="BV740" s="561"/>
      <c r="BW740" s="564"/>
      <c r="BX740" s="616"/>
    </row>
    <row r="741" spans="1:76" ht="15.75" thickBot="1" x14ac:dyDescent="0.3">
      <c r="A741" s="586"/>
      <c r="B741" s="590"/>
      <c r="C741" s="591"/>
      <c r="D741" s="605"/>
      <c r="E741" s="517"/>
      <c r="F741" s="518"/>
      <c r="G741" s="523"/>
      <c r="H741" s="524"/>
      <c r="I741" s="529"/>
      <c r="J741" s="530"/>
      <c r="K741" s="513"/>
      <c r="L741" s="534"/>
      <c r="M741" s="537"/>
      <c r="N741" s="541"/>
      <c r="O741" s="542"/>
      <c r="P741" s="483"/>
      <c r="Q741" s="484"/>
      <c r="R741" s="517"/>
      <c r="S741" s="518"/>
      <c r="T741" s="487"/>
      <c r="U741" s="488"/>
      <c r="V741" s="492"/>
      <c r="W741" s="483"/>
      <c r="X741" s="495"/>
      <c r="Y741" s="484"/>
      <c r="Z741" s="498"/>
      <c r="AA741" s="502"/>
      <c r="AB741" s="503"/>
      <c r="AC741" s="471" t="s">
        <v>259</v>
      </c>
      <c r="AD741" s="472"/>
      <c r="AE741" s="473"/>
      <c r="AF741" s="100"/>
      <c r="AG741" s="100"/>
      <c r="AH741" s="100"/>
      <c r="AI741" s="100"/>
      <c r="AJ741" s="100"/>
      <c r="AK741" s="100"/>
      <c r="AL741" s="100"/>
      <c r="AM741" s="100"/>
      <c r="AN741" s="100"/>
      <c r="AO741" s="100"/>
      <c r="AP741" s="100"/>
      <c r="AQ741" s="101"/>
      <c r="AR741" s="104">
        <f t="shared" ref="AR741:AR742" si="1382">SUM(AF741:AQ741)</f>
        <v>0</v>
      </c>
      <c r="AS741" s="128" t="s">
        <v>261</v>
      </c>
      <c r="AT741" s="129"/>
      <c r="AU741" s="129"/>
      <c r="AV741" s="129"/>
      <c r="AW741" s="130"/>
      <c r="AX741" s="126">
        <f t="shared" si="1380"/>
        <v>0</v>
      </c>
      <c r="AY741" s="143" t="s">
        <v>261</v>
      </c>
      <c r="AZ741" s="139"/>
      <c r="BA741" s="139"/>
      <c r="BB741" s="136">
        <f t="shared" si="1381"/>
        <v>0</v>
      </c>
      <c r="BC741" s="474" t="s">
        <v>262</v>
      </c>
      <c r="BD741" s="475"/>
      <c r="BE741" s="14"/>
      <c r="BF741" s="17"/>
      <c r="BG741" s="14"/>
      <c r="BH741" s="17"/>
      <c r="BI741" s="14"/>
      <c r="BJ741" s="17"/>
      <c r="BK741" s="14"/>
      <c r="BL741" s="17"/>
      <c r="BM741" s="14"/>
      <c r="BN741" s="17"/>
      <c r="BO741" s="14"/>
      <c r="BP741" s="17"/>
      <c r="BQ741" s="108">
        <f t="shared" si="1269"/>
        <v>0</v>
      </c>
      <c r="BR741" s="567"/>
      <c r="BS741" s="571"/>
      <c r="BT741" s="572"/>
      <c r="BU741" s="558"/>
      <c r="BV741" s="561"/>
      <c r="BW741" s="564"/>
      <c r="BX741" s="616"/>
    </row>
    <row r="742" spans="1:76" ht="15.75" thickBot="1" x14ac:dyDescent="0.3">
      <c r="A742" s="587"/>
      <c r="B742" s="592"/>
      <c r="C742" s="593"/>
      <c r="D742" s="606"/>
      <c r="E742" s="519"/>
      <c r="F742" s="520"/>
      <c r="G742" s="525"/>
      <c r="H742" s="526"/>
      <c r="I742" s="531"/>
      <c r="J742" s="532"/>
      <c r="K742" s="514"/>
      <c r="L742" s="535"/>
      <c r="M742" s="538"/>
      <c r="N742" s="543"/>
      <c r="O742" s="544"/>
      <c r="P742" s="485"/>
      <c r="Q742" s="486"/>
      <c r="R742" s="519"/>
      <c r="S742" s="520"/>
      <c r="T742" s="489"/>
      <c r="U742" s="490"/>
      <c r="V742" s="493"/>
      <c r="W742" s="485"/>
      <c r="X742" s="496"/>
      <c r="Y742" s="486"/>
      <c r="Z742" s="499"/>
      <c r="AA742" s="504"/>
      <c r="AB742" s="505"/>
      <c r="AC742" s="476" t="s">
        <v>261</v>
      </c>
      <c r="AD742" s="477"/>
      <c r="AE742" s="478"/>
      <c r="AF742" s="102"/>
      <c r="AG742" s="102"/>
      <c r="AH742" s="102"/>
      <c r="AI742" s="102"/>
      <c r="AJ742" s="102"/>
      <c r="AK742" s="102"/>
      <c r="AL742" s="102"/>
      <c r="AM742" s="102"/>
      <c r="AN742" s="102"/>
      <c r="AO742" s="102"/>
      <c r="AP742" s="102"/>
      <c r="AQ742" s="103"/>
      <c r="AR742" s="105">
        <f t="shared" si="1382"/>
        <v>0</v>
      </c>
      <c r="AS742" s="131" t="s">
        <v>161</v>
      </c>
      <c r="AT742" s="132">
        <f t="shared" ref="AT742:AX742" si="1383">SUM(AT739:AT741)</f>
        <v>0</v>
      </c>
      <c r="AU742" s="132">
        <f t="shared" si="1383"/>
        <v>0</v>
      </c>
      <c r="AV742" s="132">
        <f t="shared" si="1383"/>
        <v>0</v>
      </c>
      <c r="AW742" s="133">
        <f t="shared" si="1383"/>
        <v>0</v>
      </c>
      <c r="AX742" s="127">
        <f t="shared" si="1383"/>
        <v>0</v>
      </c>
      <c r="AY742" s="144" t="s">
        <v>161</v>
      </c>
      <c r="AZ742" s="140">
        <f t="shared" ref="AZ742:BB742" si="1384">SUM(AZ739:AZ741)</f>
        <v>0</v>
      </c>
      <c r="BA742" s="140">
        <f t="shared" si="1384"/>
        <v>0</v>
      </c>
      <c r="BB742" s="140">
        <f t="shared" si="1384"/>
        <v>0</v>
      </c>
      <c r="BC742" s="479" t="s">
        <v>263</v>
      </c>
      <c r="BD742" s="480"/>
      <c r="BE742" s="15"/>
      <c r="BF742" s="18"/>
      <c r="BG742" s="15"/>
      <c r="BH742" s="18"/>
      <c r="BI742" s="15"/>
      <c r="BJ742" s="18"/>
      <c r="BK742" s="15"/>
      <c r="BL742" s="18"/>
      <c r="BM742" s="15"/>
      <c r="BN742" s="18"/>
      <c r="BO742" s="15"/>
      <c r="BP742" s="18"/>
      <c r="BQ742" s="109">
        <f t="shared" si="1269"/>
        <v>0</v>
      </c>
      <c r="BR742" s="568"/>
      <c r="BS742" s="573"/>
      <c r="BT742" s="574"/>
      <c r="BU742" s="559"/>
      <c r="BV742" s="562"/>
      <c r="BW742" s="565"/>
      <c r="BX742" s="617"/>
    </row>
    <row r="743" spans="1:76" ht="15.75" thickTop="1" x14ac:dyDescent="0.25">
      <c r="A743" s="585">
        <v>184</v>
      </c>
      <c r="B743" s="588"/>
      <c r="C743" s="589"/>
      <c r="D743" s="604"/>
      <c r="E743" s="515"/>
      <c r="F743" s="516"/>
      <c r="G743" s="521"/>
      <c r="H743" s="522"/>
      <c r="I743" s="527"/>
      <c r="J743" s="528"/>
      <c r="K743" s="512" t="e">
        <f t="shared" ref="K743" si="1385">INT(YEARFRAC(I743,AA743))</f>
        <v>#VALUE!</v>
      </c>
      <c r="L743" s="533">
        <f t="shared" ref="L743" ca="1" si="1386">INT(YEARFRAC(I743,TODAY()))</f>
        <v>121</v>
      </c>
      <c r="M743" s="536"/>
      <c r="N743" s="539"/>
      <c r="O743" s="540"/>
      <c r="P743" s="481"/>
      <c r="Q743" s="482"/>
      <c r="R743" s="515"/>
      <c r="S743" s="516"/>
      <c r="T743" s="487"/>
      <c r="U743" s="488"/>
      <c r="V743" s="491"/>
      <c r="W743" s="481"/>
      <c r="X743" s="494"/>
      <c r="Y743" s="482"/>
      <c r="Z743" s="497"/>
      <c r="AA743" s="500" t="s">
        <v>425</v>
      </c>
      <c r="AB743" s="501"/>
      <c r="AC743" s="506" t="s">
        <v>257</v>
      </c>
      <c r="AD743" s="507"/>
      <c r="AE743" s="507"/>
      <c r="AF743" s="510"/>
      <c r="AG743" s="510"/>
      <c r="AH743" s="510"/>
      <c r="AI743" s="510"/>
      <c r="AJ743" s="510"/>
      <c r="AK743" s="510"/>
      <c r="AL743" s="510"/>
      <c r="AM743" s="510"/>
      <c r="AN743" s="510"/>
      <c r="AO743" s="510"/>
      <c r="AP743" s="510"/>
      <c r="AQ743" s="465"/>
      <c r="AR743" s="467">
        <f t="shared" ref="AR743" si="1387">SUM(AF743:AQ744)</f>
        <v>0</v>
      </c>
      <c r="AS743" s="119" t="s">
        <v>257</v>
      </c>
      <c r="AT743" s="120"/>
      <c r="AU743" s="120"/>
      <c r="AV743" s="120"/>
      <c r="AW743" s="121"/>
      <c r="AX743" s="125">
        <f t="shared" ref="AX743:AX745" si="1388">SUM(AT743:AW743)</f>
        <v>0</v>
      </c>
      <c r="AY743" s="141" t="s">
        <v>257</v>
      </c>
      <c r="AZ743" s="137"/>
      <c r="BA743" s="137"/>
      <c r="BB743" s="134">
        <f t="shared" ref="BB743:BB745" si="1389">AZ743-BA743</f>
        <v>0</v>
      </c>
      <c r="BC743" s="469" t="s">
        <v>258</v>
      </c>
      <c r="BD743" s="470"/>
      <c r="BE743" s="13"/>
      <c r="BF743" s="16"/>
      <c r="BG743" s="13"/>
      <c r="BH743" s="16"/>
      <c r="BI743" s="13"/>
      <c r="BJ743" s="16"/>
      <c r="BK743" s="13"/>
      <c r="BL743" s="16"/>
      <c r="BM743" s="13"/>
      <c r="BN743" s="16"/>
      <c r="BO743" s="13"/>
      <c r="BP743" s="16"/>
      <c r="BQ743" s="106">
        <f t="shared" si="1269"/>
        <v>0</v>
      </c>
      <c r="BR743" s="566"/>
      <c r="BS743" s="569"/>
      <c r="BT743" s="570"/>
      <c r="BU743" s="557"/>
      <c r="BV743" s="560"/>
      <c r="BW743" s="563"/>
      <c r="BX743" s="615"/>
    </row>
    <row r="744" spans="1:76" x14ac:dyDescent="0.25">
      <c r="A744" s="586"/>
      <c r="B744" s="590"/>
      <c r="C744" s="591"/>
      <c r="D744" s="605"/>
      <c r="E744" s="517"/>
      <c r="F744" s="518"/>
      <c r="G744" s="523"/>
      <c r="H744" s="524"/>
      <c r="I744" s="529"/>
      <c r="J744" s="530"/>
      <c r="K744" s="513"/>
      <c r="L744" s="534"/>
      <c r="M744" s="537"/>
      <c r="N744" s="541"/>
      <c r="O744" s="542"/>
      <c r="P744" s="483"/>
      <c r="Q744" s="484"/>
      <c r="R744" s="517"/>
      <c r="S744" s="518"/>
      <c r="T744" s="487"/>
      <c r="U744" s="488"/>
      <c r="V744" s="492"/>
      <c r="W744" s="483"/>
      <c r="X744" s="495"/>
      <c r="Y744" s="484"/>
      <c r="Z744" s="498"/>
      <c r="AA744" s="502"/>
      <c r="AB744" s="503"/>
      <c r="AC744" s="508"/>
      <c r="AD744" s="509"/>
      <c r="AE744" s="509"/>
      <c r="AF744" s="511"/>
      <c r="AG744" s="511"/>
      <c r="AH744" s="511"/>
      <c r="AI744" s="511"/>
      <c r="AJ744" s="511"/>
      <c r="AK744" s="511"/>
      <c r="AL744" s="511"/>
      <c r="AM744" s="511"/>
      <c r="AN744" s="511"/>
      <c r="AO744" s="511"/>
      <c r="AP744" s="511"/>
      <c r="AQ744" s="466"/>
      <c r="AR744" s="468"/>
      <c r="AS744" s="122" t="s">
        <v>259</v>
      </c>
      <c r="AT744" s="123"/>
      <c r="AU744" s="123"/>
      <c r="AV744" s="123"/>
      <c r="AW744" s="124"/>
      <c r="AX744" s="126">
        <f t="shared" si="1388"/>
        <v>0</v>
      </c>
      <c r="AY744" s="142" t="s">
        <v>259</v>
      </c>
      <c r="AZ744" s="138"/>
      <c r="BA744" s="138"/>
      <c r="BB744" s="135">
        <f t="shared" si="1389"/>
        <v>0</v>
      </c>
      <c r="BC744" s="474" t="s">
        <v>260</v>
      </c>
      <c r="BD744" s="475"/>
      <c r="BE744" s="14"/>
      <c r="BF744" s="17"/>
      <c r="BG744" s="14"/>
      <c r="BH744" s="17"/>
      <c r="BI744" s="14"/>
      <c r="BJ744" s="17"/>
      <c r="BK744" s="14"/>
      <c r="BL744" s="17"/>
      <c r="BM744" s="14"/>
      <c r="BN744" s="17"/>
      <c r="BO744" s="14"/>
      <c r="BP744" s="17"/>
      <c r="BQ744" s="107">
        <f t="shared" si="1269"/>
        <v>0</v>
      </c>
      <c r="BR744" s="567"/>
      <c r="BS744" s="571"/>
      <c r="BT744" s="572"/>
      <c r="BU744" s="558"/>
      <c r="BV744" s="561"/>
      <c r="BW744" s="564"/>
      <c r="BX744" s="616"/>
    </row>
    <row r="745" spans="1:76" ht="15.75" thickBot="1" x14ac:dyDescent="0.3">
      <c r="A745" s="586"/>
      <c r="B745" s="590"/>
      <c r="C745" s="591"/>
      <c r="D745" s="605"/>
      <c r="E745" s="517"/>
      <c r="F745" s="518"/>
      <c r="G745" s="523"/>
      <c r="H745" s="524"/>
      <c r="I745" s="529"/>
      <c r="J745" s="530"/>
      <c r="K745" s="513"/>
      <c r="L745" s="534"/>
      <c r="M745" s="537"/>
      <c r="N745" s="541"/>
      <c r="O745" s="542"/>
      <c r="P745" s="483"/>
      <c r="Q745" s="484"/>
      <c r="R745" s="517"/>
      <c r="S745" s="518"/>
      <c r="T745" s="487"/>
      <c r="U745" s="488"/>
      <c r="V745" s="492"/>
      <c r="W745" s="483"/>
      <c r="X745" s="495"/>
      <c r="Y745" s="484"/>
      <c r="Z745" s="498"/>
      <c r="AA745" s="502"/>
      <c r="AB745" s="503"/>
      <c r="AC745" s="471" t="s">
        <v>259</v>
      </c>
      <c r="AD745" s="472"/>
      <c r="AE745" s="473"/>
      <c r="AF745" s="100"/>
      <c r="AG745" s="100"/>
      <c r="AH745" s="100"/>
      <c r="AI745" s="100"/>
      <c r="AJ745" s="100"/>
      <c r="AK745" s="100"/>
      <c r="AL745" s="100"/>
      <c r="AM745" s="100"/>
      <c r="AN745" s="100"/>
      <c r="AO745" s="100"/>
      <c r="AP745" s="100"/>
      <c r="AQ745" s="101"/>
      <c r="AR745" s="104">
        <f t="shared" ref="AR745:AR746" si="1390">SUM(AF745:AQ745)</f>
        <v>0</v>
      </c>
      <c r="AS745" s="128" t="s">
        <v>261</v>
      </c>
      <c r="AT745" s="129"/>
      <c r="AU745" s="129"/>
      <c r="AV745" s="129"/>
      <c r="AW745" s="130"/>
      <c r="AX745" s="126">
        <f t="shared" si="1388"/>
        <v>0</v>
      </c>
      <c r="AY745" s="143" t="s">
        <v>261</v>
      </c>
      <c r="AZ745" s="139"/>
      <c r="BA745" s="139"/>
      <c r="BB745" s="136">
        <f t="shared" si="1389"/>
        <v>0</v>
      </c>
      <c r="BC745" s="474" t="s">
        <v>262</v>
      </c>
      <c r="BD745" s="475"/>
      <c r="BE745" s="14"/>
      <c r="BF745" s="17"/>
      <c r="BG745" s="14"/>
      <c r="BH745" s="17"/>
      <c r="BI745" s="14"/>
      <c r="BJ745" s="17"/>
      <c r="BK745" s="14"/>
      <c r="BL745" s="17"/>
      <c r="BM745" s="14"/>
      <c r="BN745" s="17"/>
      <c r="BO745" s="14"/>
      <c r="BP745" s="17"/>
      <c r="BQ745" s="108">
        <f t="shared" si="1269"/>
        <v>0</v>
      </c>
      <c r="BR745" s="567"/>
      <c r="BS745" s="571"/>
      <c r="BT745" s="572"/>
      <c r="BU745" s="558"/>
      <c r="BV745" s="561"/>
      <c r="BW745" s="564"/>
      <c r="BX745" s="616"/>
    </row>
    <row r="746" spans="1:76" ht="15.75" thickBot="1" x14ac:dyDescent="0.3">
      <c r="A746" s="587"/>
      <c r="B746" s="592"/>
      <c r="C746" s="593"/>
      <c r="D746" s="606"/>
      <c r="E746" s="519"/>
      <c r="F746" s="520"/>
      <c r="G746" s="525"/>
      <c r="H746" s="526"/>
      <c r="I746" s="531"/>
      <c r="J746" s="532"/>
      <c r="K746" s="514"/>
      <c r="L746" s="535"/>
      <c r="M746" s="538"/>
      <c r="N746" s="543"/>
      <c r="O746" s="544"/>
      <c r="P746" s="485"/>
      <c r="Q746" s="486"/>
      <c r="R746" s="519"/>
      <c r="S746" s="520"/>
      <c r="T746" s="489"/>
      <c r="U746" s="490"/>
      <c r="V746" s="493"/>
      <c r="W746" s="485"/>
      <c r="X746" s="496"/>
      <c r="Y746" s="486"/>
      <c r="Z746" s="499"/>
      <c r="AA746" s="504"/>
      <c r="AB746" s="505"/>
      <c r="AC746" s="476" t="s">
        <v>261</v>
      </c>
      <c r="AD746" s="477"/>
      <c r="AE746" s="478"/>
      <c r="AF746" s="102"/>
      <c r="AG746" s="102"/>
      <c r="AH746" s="102"/>
      <c r="AI746" s="102"/>
      <c r="AJ746" s="102"/>
      <c r="AK746" s="102"/>
      <c r="AL746" s="102"/>
      <c r="AM746" s="102"/>
      <c r="AN746" s="102"/>
      <c r="AO746" s="102"/>
      <c r="AP746" s="102"/>
      <c r="AQ746" s="103"/>
      <c r="AR746" s="105">
        <f t="shared" si="1390"/>
        <v>0</v>
      </c>
      <c r="AS746" s="131" t="s">
        <v>161</v>
      </c>
      <c r="AT746" s="132">
        <f t="shared" ref="AT746:AX746" si="1391">SUM(AT743:AT745)</f>
        <v>0</v>
      </c>
      <c r="AU746" s="132">
        <f t="shared" si="1391"/>
        <v>0</v>
      </c>
      <c r="AV746" s="132">
        <f t="shared" si="1391"/>
        <v>0</v>
      </c>
      <c r="AW746" s="133">
        <f t="shared" si="1391"/>
        <v>0</v>
      </c>
      <c r="AX746" s="127">
        <f t="shared" si="1391"/>
        <v>0</v>
      </c>
      <c r="AY746" s="144" t="s">
        <v>161</v>
      </c>
      <c r="AZ746" s="140">
        <f t="shared" ref="AZ746:BB746" si="1392">SUM(AZ743:AZ745)</f>
        <v>0</v>
      </c>
      <c r="BA746" s="140">
        <f t="shared" si="1392"/>
        <v>0</v>
      </c>
      <c r="BB746" s="140">
        <f t="shared" si="1392"/>
        <v>0</v>
      </c>
      <c r="BC746" s="479" t="s">
        <v>263</v>
      </c>
      <c r="BD746" s="480"/>
      <c r="BE746" s="15"/>
      <c r="BF746" s="18"/>
      <c r="BG746" s="15"/>
      <c r="BH746" s="18"/>
      <c r="BI746" s="15"/>
      <c r="BJ746" s="18"/>
      <c r="BK746" s="15"/>
      <c r="BL746" s="18"/>
      <c r="BM746" s="15"/>
      <c r="BN746" s="18"/>
      <c r="BO746" s="15"/>
      <c r="BP746" s="18"/>
      <c r="BQ746" s="109">
        <f t="shared" si="1269"/>
        <v>0</v>
      </c>
      <c r="BR746" s="568"/>
      <c r="BS746" s="573"/>
      <c r="BT746" s="574"/>
      <c r="BU746" s="559"/>
      <c r="BV746" s="562"/>
      <c r="BW746" s="565"/>
      <c r="BX746" s="617"/>
    </row>
    <row r="747" spans="1:76" ht="15.75" thickTop="1" x14ac:dyDescent="0.25">
      <c r="A747" s="585">
        <v>185</v>
      </c>
      <c r="B747" s="588"/>
      <c r="C747" s="589"/>
      <c r="D747" s="604"/>
      <c r="E747" s="515"/>
      <c r="F747" s="516"/>
      <c r="G747" s="521"/>
      <c r="H747" s="522"/>
      <c r="I747" s="527"/>
      <c r="J747" s="528"/>
      <c r="K747" s="512" t="e">
        <f t="shared" ref="K747" si="1393">INT(YEARFRAC(I747,AA747))</f>
        <v>#VALUE!</v>
      </c>
      <c r="L747" s="533">
        <f t="shared" ref="L747" ca="1" si="1394">INT(YEARFRAC(I747,TODAY()))</f>
        <v>121</v>
      </c>
      <c r="M747" s="536"/>
      <c r="N747" s="539"/>
      <c r="O747" s="540"/>
      <c r="P747" s="481"/>
      <c r="Q747" s="482"/>
      <c r="R747" s="515"/>
      <c r="S747" s="516"/>
      <c r="T747" s="487"/>
      <c r="U747" s="488"/>
      <c r="V747" s="491"/>
      <c r="W747" s="481"/>
      <c r="X747" s="494"/>
      <c r="Y747" s="482"/>
      <c r="Z747" s="497"/>
      <c r="AA747" s="500" t="s">
        <v>426</v>
      </c>
      <c r="AB747" s="501"/>
      <c r="AC747" s="506" t="s">
        <v>257</v>
      </c>
      <c r="AD747" s="507"/>
      <c r="AE747" s="507"/>
      <c r="AF747" s="510"/>
      <c r="AG747" s="510"/>
      <c r="AH747" s="510"/>
      <c r="AI747" s="510"/>
      <c r="AJ747" s="510"/>
      <c r="AK747" s="510"/>
      <c r="AL747" s="510"/>
      <c r="AM747" s="510"/>
      <c r="AN747" s="510"/>
      <c r="AO747" s="510"/>
      <c r="AP747" s="510"/>
      <c r="AQ747" s="465"/>
      <c r="AR747" s="467">
        <f t="shared" ref="AR747" si="1395">SUM(AF747:AQ748)</f>
        <v>0</v>
      </c>
      <c r="AS747" s="119" t="s">
        <v>257</v>
      </c>
      <c r="AT747" s="120"/>
      <c r="AU747" s="120"/>
      <c r="AV747" s="120"/>
      <c r="AW747" s="121"/>
      <c r="AX747" s="125">
        <f t="shared" ref="AX747:AX749" si="1396">SUM(AT747:AW747)</f>
        <v>0</v>
      </c>
      <c r="AY747" s="141" t="s">
        <v>257</v>
      </c>
      <c r="AZ747" s="137"/>
      <c r="BA747" s="137"/>
      <c r="BB747" s="134">
        <f t="shared" ref="BB747:BB749" si="1397">AZ747-BA747</f>
        <v>0</v>
      </c>
      <c r="BC747" s="469" t="s">
        <v>258</v>
      </c>
      <c r="BD747" s="470"/>
      <c r="BE747" s="13"/>
      <c r="BF747" s="16"/>
      <c r="BG747" s="13"/>
      <c r="BH747" s="16"/>
      <c r="BI747" s="13"/>
      <c r="BJ747" s="16"/>
      <c r="BK747" s="13"/>
      <c r="BL747" s="16"/>
      <c r="BM747" s="13"/>
      <c r="BN747" s="16"/>
      <c r="BO747" s="13"/>
      <c r="BP747" s="16"/>
      <c r="BQ747" s="106">
        <f t="shared" ref="BQ747:BQ810" si="1398">SUM(BE747:BP747)</f>
        <v>0</v>
      </c>
      <c r="BR747" s="566"/>
      <c r="BS747" s="569"/>
      <c r="BT747" s="570"/>
      <c r="BU747" s="557"/>
      <c r="BV747" s="560"/>
      <c r="BW747" s="563"/>
      <c r="BX747" s="615"/>
    </row>
    <row r="748" spans="1:76" x14ac:dyDescent="0.25">
      <c r="A748" s="586"/>
      <c r="B748" s="590"/>
      <c r="C748" s="591"/>
      <c r="D748" s="605"/>
      <c r="E748" s="517"/>
      <c r="F748" s="518"/>
      <c r="G748" s="523"/>
      <c r="H748" s="524"/>
      <c r="I748" s="529"/>
      <c r="J748" s="530"/>
      <c r="K748" s="513"/>
      <c r="L748" s="534"/>
      <c r="M748" s="537"/>
      <c r="N748" s="541"/>
      <c r="O748" s="542"/>
      <c r="P748" s="483"/>
      <c r="Q748" s="484"/>
      <c r="R748" s="517"/>
      <c r="S748" s="518"/>
      <c r="T748" s="487"/>
      <c r="U748" s="488"/>
      <c r="V748" s="492"/>
      <c r="W748" s="483"/>
      <c r="X748" s="495"/>
      <c r="Y748" s="484"/>
      <c r="Z748" s="498"/>
      <c r="AA748" s="502"/>
      <c r="AB748" s="503"/>
      <c r="AC748" s="508"/>
      <c r="AD748" s="509"/>
      <c r="AE748" s="509"/>
      <c r="AF748" s="511"/>
      <c r="AG748" s="511"/>
      <c r="AH748" s="511"/>
      <c r="AI748" s="511"/>
      <c r="AJ748" s="511"/>
      <c r="AK748" s="511"/>
      <c r="AL748" s="511"/>
      <c r="AM748" s="511"/>
      <c r="AN748" s="511"/>
      <c r="AO748" s="511"/>
      <c r="AP748" s="511"/>
      <c r="AQ748" s="466"/>
      <c r="AR748" s="468"/>
      <c r="AS748" s="122" t="s">
        <v>259</v>
      </c>
      <c r="AT748" s="123"/>
      <c r="AU748" s="123"/>
      <c r="AV748" s="123"/>
      <c r="AW748" s="124"/>
      <c r="AX748" s="126">
        <f t="shared" si="1396"/>
        <v>0</v>
      </c>
      <c r="AY748" s="142" t="s">
        <v>259</v>
      </c>
      <c r="AZ748" s="138"/>
      <c r="BA748" s="138"/>
      <c r="BB748" s="135">
        <f t="shared" si="1397"/>
        <v>0</v>
      </c>
      <c r="BC748" s="474" t="s">
        <v>260</v>
      </c>
      <c r="BD748" s="475"/>
      <c r="BE748" s="14"/>
      <c r="BF748" s="17"/>
      <c r="BG748" s="14"/>
      <c r="BH748" s="17"/>
      <c r="BI748" s="14"/>
      <c r="BJ748" s="17"/>
      <c r="BK748" s="14"/>
      <c r="BL748" s="17"/>
      <c r="BM748" s="14"/>
      <c r="BN748" s="17"/>
      <c r="BO748" s="14"/>
      <c r="BP748" s="17"/>
      <c r="BQ748" s="107">
        <f t="shared" si="1398"/>
        <v>0</v>
      </c>
      <c r="BR748" s="567"/>
      <c r="BS748" s="571"/>
      <c r="BT748" s="572"/>
      <c r="BU748" s="558"/>
      <c r="BV748" s="561"/>
      <c r="BW748" s="564"/>
      <c r="BX748" s="616"/>
    </row>
    <row r="749" spans="1:76" ht="15.75" thickBot="1" x14ac:dyDescent="0.3">
      <c r="A749" s="586"/>
      <c r="B749" s="590"/>
      <c r="C749" s="591"/>
      <c r="D749" s="605"/>
      <c r="E749" s="517"/>
      <c r="F749" s="518"/>
      <c r="G749" s="523"/>
      <c r="H749" s="524"/>
      <c r="I749" s="529"/>
      <c r="J749" s="530"/>
      <c r="K749" s="513"/>
      <c r="L749" s="534"/>
      <c r="M749" s="537"/>
      <c r="N749" s="541"/>
      <c r="O749" s="542"/>
      <c r="P749" s="483"/>
      <c r="Q749" s="484"/>
      <c r="R749" s="517"/>
      <c r="S749" s="518"/>
      <c r="T749" s="487"/>
      <c r="U749" s="488"/>
      <c r="V749" s="492"/>
      <c r="W749" s="483"/>
      <c r="X749" s="495"/>
      <c r="Y749" s="484"/>
      <c r="Z749" s="498"/>
      <c r="AA749" s="502"/>
      <c r="AB749" s="503"/>
      <c r="AC749" s="471" t="s">
        <v>259</v>
      </c>
      <c r="AD749" s="472"/>
      <c r="AE749" s="473"/>
      <c r="AF749" s="100"/>
      <c r="AG749" s="100"/>
      <c r="AH749" s="100"/>
      <c r="AI749" s="100"/>
      <c r="AJ749" s="100"/>
      <c r="AK749" s="100"/>
      <c r="AL749" s="100"/>
      <c r="AM749" s="100"/>
      <c r="AN749" s="100"/>
      <c r="AO749" s="100"/>
      <c r="AP749" s="100"/>
      <c r="AQ749" s="101"/>
      <c r="AR749" s="104">
        <f t="shared" ref="AR749:AR750" si="1399">SUM(AF749:AQ749)</f>
        <v>0</v>
      </c>
      <c r="AS749" s="128" t="s">
        <v>261</v>
      </c>
      <c r="AT749" s="129"/>
      <c r="AU749" s="129"/>
      <c r="AV749" s="129"/>
      <c r="AW749" s="130"/>
      <c r="AX749" s="126">
        <f t="shared" si="1396"/>
        <v>0</v>
      </c>
      <c r="AY749" s="143" t="s">
        <v>261</v>
      </c>
      <c r="AZ749" s="139"/>
      <c r="BA749" s="139"/>
      <c r="BB749" s="136">
        <f t="shared" si="1397"/>
        <v>0</v>
      </c>
      <c r="BC749" s="474" t="s">
        <v>262</v>
      </c>
      <c r="BD749" s="475"/>
      <c r="BE749" s="14"/>
      <c r="BF749" s="17"/>
      <c r="BG749" s="14"/>
      <c r="BH749" s="17"/>
      <c r="BI749" s="14"/>
      <c r="BJ749" s="17"/>
      <c r="BK749" s="14"/>
      <c r="BL749" s="17"/>
      <c r="BM749" s="14"/>
      <c r="BN749" s="17"/>
      <c r="BO749" s="14"/>
      <c r="BP749" s="17"/>
      <c r="BQ749" s="108">
        <f t="shared" si="1398"/>
        <v>0</v>
      </c>
      <c r="BR749" s="567"/>
      <c r="BS749" s="571"/>
      <c r="BT749" s="572"/>
      <c r="BU749" s="558"/>
      <c r="BV749" s="561"/>
      <c r="BW749" s="564"/>
      <c r="BX749" s="616"/>
    </row>
    <row r="750" spans="1:76" ht="15.75" thickBot="1" x14ac:dyDescent="0.3">
      <c r="A750" s="587"/>
      <c r="B750" s="592"/>
      <c r="C750" s="593"/>
      <c r="D750" s="606"/>
      <c r="E750" s="519"/>
      <c r="F750" s="520"/>
      <c r="G750" s="525"/>
      <c r="H750" s="526"/>
      <c r="I750" s="531"/>
      <c r="J750" s="532"/>
      <c r="K750" s="514"/>
      <c r="L750" s="535"/>
      <c r="M750" s="538"/>
      <c r="N750" s="543"/>
      <c r="O750" s="544"/>
      <c r="P750" s="485"/>
      <c r="Q750" s="486"/>
      <c r="R750" s="519"/>
      <c r="S750" s="520"/>
      <c r="T750" s="489"/>
      <c r="U750" s="490"/>
      <c r="V750" s="493"/>
      <c r="W750" s="485"/>
      <c r="X750" s="496"/>
      <c r="Y750" s="486"/>
      <c r="Z750" s="499"/>
      <c r="AA750" s="504"/>
      <c r="AB750" s="505"/>
      <c r="AC750" s="476" t="s">
        <v>261</v>
      </c>
      <c r="AD750" s="477"/>
      <c r="AE750" s="478"/>
      <c r="AF750" s="102"/>
      <c r="AG750" s="102"/>
      <c r="AH750" s="102"/>
      <c r="AI750" s="102"/>
      <c r="AJ750" s="102"/>
      <c r="AK750" s="102"/>
      <c r="AL750" s="102"/>
      <c r="AM750" s="102"/>
      <c r="AN750" s="102"/>
      <c r="AO750" s="102"/>
      <c r="AP750" s="102"/>
      <c r="AQ750" s="103"/>
      <c r="AR750" s="105">
        <f t="shared" si="1399"/>
        <v>0</v>
      </c>
      <c r="AS750" s="131" t="s">
        <v>161</v>
      </c>
      <c r="AT750" s="132">
        <f t="shared" ref="AT750:AX750" si="1400">SUM(AT747:AT749)</f>
        <v>0</v>
      </c>
      <c r="AU750" s="132">
        <f t="shared" si="1400"/>
        <v>0</v>
      </c>
      <c r="AV750" s="132">
        <f t="shared" si="1400"/>
        <v>0</v>
      </c>
      <c r="AW750" s="133">
        <f t="shared" si="1400"/>
        <v>0</v>
      </c>
      <c r="AX750" s="127">
        <f t="shared" si="1400"/>
        <v>0</v>
      </c>
      <c r="AY750" s="144" t="s">
        <v>161</v>
      </c>
      <c r="AZ750" s="140">
        <f t="shared" ref="AZ750:BB750" si="1401">SUM(AZ747:AZ749)</f>
        <v>0</v>
      </c>
      <c r="BA750" s="140">
        <f t="shared" si="1401"/>
        <v>0</v>
      </c>
      <c r="BB750" s="140">
        <f t="shared" si="1401"/>
        <v>0</v>
      </c>
      <c r="BC750" s="479" t="s">
        <v>263</v>
      </c>
      <c r="BD750" s="480"/>
      <c r="BE750" s="15"/>
      <c r="BF750" s="18"/>
      <c r="BG750" s="15"/>
      <c r="BH750" s="18"/>
      <c r="BI750" s="15"/>
      <c r="BJ750" s="18"/>
      <c r="BK750" s="15"/>
      <c r="BL750" s="18"/>
      <c r="BM750" s="15"/>
      <c r="BN750" s="18"/>
      <c r="BO750" s="15"/>
      <c r="BP750" s="18"/>
      <c r="BQ750" s="109">
        <f t="shared" si="1398"/>
        <v>0</v>
      </c>
      <c r="BR750" s="568"/>
      <c r="BS750" s="573"/>
      <c r="BT750" s="574"/>
      <c r="BU750" s="559"/>
      <c r="BV750" s="562"/>
      <c r="BW750" s="565"/>
      <c r="BX750" s="617"/>
    </row>
    <row r="751" spans="1:76" ht="15.75" thickTop="1" x14ac:dyDescent="0.25">
      <c r="A751" s="585">
        <v>186</v>
      </c>
      <c r="B751" s="588"/>
      <c r="C751" s="589"/>
      <c r="D751" s="604"/>
      <c r="E751" s="515"/>
      <c r="F751" s="516"/>
      <c r="G751" s="521"/>
      <c r="H751" s="522"/>
      <c r="I751" s="527"/>
      <c r="J751" s="528"/>
      <c r="K751" s="512" t="e">
        <f t="shared" ref="K751" si="1402">INT(YEARFRAC(I751,AA751))</f>
        <v>#VALUE!</v>
      </c>
      <c r="L751" s="533">
        <f t="shared" ref="L751" ca="1" si="1403">INT(YEARFRAC(I751,TODAY()))</f>
        <v>121</v>
      </c>
      <c r="M751" s="536"/>
      <c r="N751" s="539"/>
      <c r="O751" s="540"/>
      <c r="P751" s="481"/>
      <c r="Q751" s="482"/>
      <c r="R751" s="515"/>
      <c r="S751" s="516"/>
      <c r="T751" s="487"/>
      <c r="U751" s="488"/>
      <c r="V751" s="491"/>
      <c r="W751" s="481"/>
      <c r="X751" s="494"/>
      <c r="Y751" s="482"/>
      <c r="Z751" s="497"/>
      <c r="AA751" s="500" t="s">
        <v>427</v>
      </c>
      <c r="AB751" s="501"/>
      <c r="AC751" s="506" t="s">
        <v>257</v>
      </c>
      <c r="AD751" s="507"/>
      <c r="AE751" s="507"/>
      <c r="AF751" s="510"/>
      <c r="AG751" s="510"/>
      <c r="AH751" s="510"/>
      <c r="AI751" s="510"/>
      <c r="AJ751" s="510"/>
      <c r="AK751" s="510"/>
      <c r="AL751" s="510"/>
      <c r="AM751" s="510"/>
      <c r="AN751" s="510"/>
      <c r="AO751" s="510"/>
      <c r="AP751" s="510"/>
      <c r="AQ751" s="465"/>
      <c r="AR751" s="467">
        <f t="shared" ref="AR751" si="1404">SUM(AF751:AQ752)</f>
        <v>0</v>
      </c>
      <c r="AS751" s="119" t="s">
        <v>257</v>
      </c>
      <c r="AT751" s="120"/>
      <c r="AU751" s="120"/>
      <c r="AV751" s="120"/>
      <c r="AW751" s="121"/>
      <c r="AX751" s="125">
        <f t="shared" ref="AX751:AX753" si="1405">SUM(AT751:AW751)</f>
        <v>0</v>
      </c>
      <c r="AY751" s="141" t="s">
        <v>257</v>
      </c>
      <c r="AZ751" s="137"/>
      <c r="BA751" s="137"/>
      <c r="BB751" s="134">
        <f t="shared" ref="BB751:BB753" si="1406">AZ751-BA751</f>
        <v>0</v>
      </c>
      <c r="BC751" s="469" t="s">
        <v>258</v>
      </c>
      <c r="BD751" s="470"/>
      <c r="BE751" s="13"/>
      <c r="BF751" s="16"/>
      <c r="BG751" s="13"/>
      <c r="BH751" s="16"/>
      <c r="BI751" s="13"/>
      <c r="BJ751" s="16"/>
      <c r="BK751" s="13"/>
      <c r="BL751" s="16"/>
      <c r="BM751" s="13"/>
      <c r="BN751" s="16"/>
      <c r="BO751" s="13"/>
      <c r="BP751" s="16"/>
      <c r="BQ751" s="106">
        <f t="shared" si="1398"/>
        <v>0</v>
      </c>
      <c r="BR751" s="566"/>
      <c r="BS751" s="569"/>
      <c r="BT751" s="570"/>
      <c r="BU751" s="557"/>
      <c r="BV751" s="560"/>
      <c r="BW751" s="563"/>
      <c r="BX751" s="615"/>
    </row>
    <row r="752" spans="1:76" x14ac:dyDescent="0.25">
      <c r="A752" s="586"/>
      <c r="B752" s="590"/>
      <c r="C752" s="591"/>
      <c r="D752" s="605"/>
      <c r="E752" s="517"/>
      <c r="F752" s="518"/>
      <c r="G752" s="523"/>
      <c r="H752" s="524"/>
      <c r="I752" s="529"/>
      <c r="J752" s="530"/>
      <c r="K752" s="513"/>
      <c r="L752" s="534"/>
      <c r="M752" s="537"/>
      <c r="N752" s="541"/>
      <c r="O752" s="542"/>
      <c r="P752" s="483"/>
      <c r="Q752" s="484"/>
      <c r="R752" s="517"/>
      <c r="S752" s="518"/>
      <c r="T752" s="487"/>
      <c r="U752" s="488"/>
      <c r="V752" s="492"/>
      <c r="W752" s="483"/>
      <c r="X752" s="495"/>
      <c r="Y752" s="484"/>
      <c r="Z752" s="498"/>
      <c r="AA752" s="502"/>
      <c r="AB752" s="503"/>
      <c r="AC752" s="508"/>
      <c r="AD752" s="509"/>
      <c r="AE752" s="509"/>
      <c r="AF752" s="511"/>
      <c r="AG752" s="511"/>
      <c r="AH752" s="511"/>
      <c r="AI752" s="511"/>
      <c r="AJ752" s="511"/>
      <c r="AK752" s="511"/>
      <c r="AL752" s="511"/>
      <c r="AM752" s="511"/>
      <c r="AN752" s="511"/>
      <c r="AO752" s="511"/>
      <c r="AP752" s="511"/>
      <c r="AQ752" s="466"/>
      <c r="AR752" s="468"/>
      <c r="AS752" s="122" t="s">
        <v>259</v>
      </c>
      <c r="AT752" s="123"/>
      <c r="AU752" s="123"/>
      <c r="AV752" s="123"/>
      <c r="AW752" s="124"/>
      <c r="AX752" s="126">
        <f t="shared" si="1405"/>
        <v>0</v>
      </c>
      <c r="AY752" s="142" t="s">
        <v>259</v>
      </c>
      <c r="AZ752" s="138"/>
      <c r="BA752" s="138"/>
      <c r="BB752" s="135">
        <f t="shared" si="1406"/>
        <v>0</v>
      </c>
      <c r="BC752" s="474" t="s">
        <v>260</v>
      </c>
      <c r="BD752" s="475"/>
      <c r="BE752" s="14"/>
      <c r="BF752" s="17"/>
      <c r="BG752" s="14"/>
      <c r="BH752" s="17"/>
      <c r="BI752" s="14"/>
      <c r="BJ752" s="17"/>
      <c r="BK752" s="14"/>
      <c r="BL752" s="17"/>
      <c r="BM752" s="14"/>
      <c r="BN752" s="17"/>
      <c r="BO752" s="14"/>
      <c r="BP752" s="17"/>
      <c r="BQ752" s="107">
        <f t="shared" si="1398"/>
        <v>0</v>
      </c>
      <c r="BR752" s="567"/>
      <c r="BS752" s="571"/>
      <c r="BT752" s="572"/>
      <c r="BU752" s="558"/>
      <c r="BV752" s="561"/>
      <c r="BW752" s="564"/>
      <c r="BX752" s="616"/>
    </row>
    <row r="753" spans="1:76" ht="15.75" thickBot="1" x14ac:dyDescent="0.3">
      <c r="A753" s="586"/>
      <c r="B753" s="590"/>
      <c r="C753" s="591"/>
      <c r="D753" s="605"/>
      <c r="E753" s="517"/>
      <c r="F753" s="518"/>
      <c r="G753" s="523"/>
      <c r="H753" s="524"/>
      <c r="I753" s="529"/>
      <c r="J753" s="530"/>
      <c r="K753" s="513"/>
      <c r="L753" s="534"/>
      <c r="M753" s="537"/>
      <c r="N753" s="541"/>
      <c r="O753" s="542"/>
      <c r="P753" s="483"/>
      <c r="Q753" s="484"/>
      <c r="R753" s="517"/>
      <c r="S753" s="518"/>
      <c r="T753" s="487"/>
      <c r="U753" s="488"/>
      <c r="V753" s="492"/>
      <c r="W753" s="483"/>
      <c r="X753" s="495"/>
      <c r="Y753" s="484"/>
      <c r="Z753" s="498"/>
      <c r="AA753" s="502"/>
      <c r="AB753" s="503"/>
      <c r="AC753" s="471" t="s">
        <v>259</v>
      </c>
      <c r="AD753" s="472"/>
      <c r="AE753" s="473"/>
      <c r="AF753" s="100"/>
      <c r="AG753" s="100"/>
      <c r="AH753" s="100"/>
      <c r="AI753" s="100"/>
      <c r="AJ753" s="100"/>
      <c r="AK753" s="100"/>
      <c r="AL753" s="100"/>
      <c r="AM753" s="100"/>
      <c r="AN753" s="100"/>
      <c r="AO753" s="100"/>
      <c r="AP753" s="100"/>
      <c r="AQ753" s="101"/>
      <c r="AR753" s="104">
        <f t="shared" ref="AR753:AR754" si="1407">SUM(AF753:AQ753)</f>
        <v>0</v>
      </c>
      <c r="AS753" s="128" t="s">
        <v>261</v>
      </c>
      <c r="AT753" s="129"/>
      <c r="AU753" s="129"/>
      <c r="AV753" s="129"/>
      <c r="AW753" s="130"/>
      <c r="AX753" s="126">
        <f t="shared" si="1405"/>
        <v>0</v>
      </c>
      <c r="AY753" s="143" t="s">
        <v>261</v>
      </c>
      <c r="AZ753" s="139"/>
      <c r="BA753" s="139"/>
      <c r="BB753" s="136">
        <f t="shared" si="1406"/>
        <v>0</v>
      </c>
      <c r="BC753" s="474" t="s">
        <v>262</v>
      </c>
      <c r="BD753" s="475"/>
      <c r="BE753" s="14"/>
      <c r="BF753" s="17"/>
      <c r="BG753" s="14"/>
      <c r="BH753" s="17"/>
      <c r="BI753" s="14"/>
      <c r="BJ753" s="17"/>
      <c r="BK753" s="14"/>
      <c r="BL753" s="17"/>
      <c r="BM753" s="14"/>
      <c r="BN753" s="17"/>
      <c r="BO753" s="14"/>
      <c r="BP753" s="17"/>
      <c r="BQ753" s="108">
        <f t="shared" si="1398"/>
        <v>0</v>
      </c>
      <c r="BR753" s="567"/>
      <c r="BS753" s="571"/>
      <c r="BT753" s="572"/>
      <c r="BU753" s="558"/>
      <c r="BV753" s="561"/>
      <c r="BW753" s="564"/>
      <c r="BX753" s="616"/>
    </row>
    <row r="754" spans="1:76" ht="15.75" thickBot="1" x14ac:dyDescent="0.3">
      <c r="A754" s="587"/>
      <c r="B754" s="592"/>
      <c r="C754" s="593"/>
      <c r="D754" s="606"/>
      <c r="E754" s="519"/>
      <c r="F754" s="520"/>
      <c r="G754" s="525"/>
      <c r="H754" s="526"/>
      <c r="I754" s="531"/>
      <c r="J754" s="532"/>
      <c r="K754" s="514"/>
      <c r="L754" s="535"/>
      <c r="M754" s="538"/>
      <c r="N754" s="543"/>
      <c r="O754" s="544"/>
      <c r="P754" s="485"/>
      <c r="Q754" s="486"/>
      <c r="R754" s="519"/>
      <c r="S754" s="520"/>
      <c r="T754" s="489"/>
      <c r="U754" s="490"/>
      <c r="V754" s="493"/>
      <c r="W754" s="485"/>
      <c r="X754" s="496"/>
      <c r="Y754" s="486"/>
      <c r="Z754" s="499"/>
      <c r="AA754" s="504"/>
      <c r="AB754" s="505"/>
      <c r="AC754" s="476" t="s">
        <v>261</v>
      </c>
      <c r="AD754" s="477"/>
      <c r="AE754" s="478"/>
      <c r="AF754" s="102"/>
      <c r="AG754" s="102"/>
      <c r="AH754" s="102"/>
      <c r="AI754" s="102"/>
      <c r="AJ754" s="102"/>
      <c r="AK754" s="102"/>
      <c r="AL754" s="102"/>
      <c r="AM754" s="102"/>
      <c r="AN754" s="102"/>
      <c r="AO754" s="102"/>
      <c r="AP754" s="102"/>
      <c r="AQ754" s="103"/>
      <c r="AR754" s="105">
        <f t="shared" si="1407"/>
        <v>0</v>
      </c>
      <c r="AS754" s="131" t="s">
        <v>161</v>
      </c>
      <c r="AT754" s="132">
        <f t="shared" ref="AT754:AX754" si="1408">SUM(AT751:AT753)</f>
        <v>0</v>
      </c>
      <c r="AU754" s="132">
        <f t="shared" si="1408"/>
        <v>0</v>
      </c>
      <c r="AV754" s="132">
        <f t="shared" si="1408"/>
        <v>0</v>
      </c>
      <c r="AW754" s="133">
        <f t="shared" si="1408"/>
        <v>0</v>
      </c>
      <c r="AX754" s="127">
        <f t="shared" si="1408"/>
        <v>0</v>
      </c>
      <c r="AY754" s="144" t="s">
        <v>161</v>
      </c>
      <c r="AZ754" s="140">
        <f t="shared" ref="AZ754:BB754" si="1409">SUM(AZ751:AZ753)</f>
        <v>0</v>
      </c>
      <c r="BA754" s="140">
        <f t="shared" si="1409"/>
        <v>0</v>
      </c>
      <c r="BB754" s="140">
        <f t="shared" si="1409"/>
        <v>0</v>
      </c>
      <c r="BC754" s="479" t="s">
        <v>263</v>
      </c>
      <c r="BD754" s="480"/>
      <c r="BE754" s="15"/>
      <c r="BF754" s="18"/>
      <c r="BG754" s="15"/>
      <c r="BH754" s="18"/>
      <c r="BI754" s="15"/>
      <c r="BJ754" s="18"/>
      <c r="BK754" s="15"/>
      <c r="BL754" s="18"/>
      <c r="BM754" s="15"/>
      <c r="BN754" s="18"/>
      <c r="BO754" s="15"/>
      <c r="BP754" s="18"/>
      <c r="BQ754" s="109">
        <f t="shared" si="1398"/>
        <v>0</v>
      </c>
      <c r="BR754" s="568"/>
      <c r="BS754" s="573"/>
      <c r="BT754" s="574"/>
      <c r="BU754" s="559"/>
      <c r="BV754" s="562"/>
      <c r="BW754" s="565"/>
      <c r="BX754" s="617"/>
    </row>
    <row r="755" spans="1:76" ht="15.75" thickTop="1" x14ac:dyDescent="0.25">
      <c r="A755" s="585">
        <v>187</v>
      </c>
      <c r="B755" s="588"/>
      <c r="C755" s="589"/>
      <c r="D755" s="604"/>
      <c r="E755" s="515"/>
      <c r="F755" s="516"/>
      <c r="G755" s="521"/>
      <c r="H755" s="522"/>
      <c r="I755" s="527"/>
      <c r="J755" s="528"/>
      <c r="K755" s="512" t="e">
        <f t="shared" ref="K755" si="1410">INT(YEARFRAC(I755,AA755))</f>
        <v>#VALUE!</v>
      </c>
      <c r="L755" s="533">
        <f t="shared" ref="L755" ca="1" si="1411">INT(YEARFRAC(I755,TODAY()))</f>
        <v>121</v>
      </c>
      <c r="M755" s="536"/>
      <c r="N755" s="539"/>
      <c r="O755" s="540"/>
      <c r="P755" s="481"/>
      <c r="Q755" s="482"/>
      <c r="R755" s="515"/>
      <c r="S755" s="516"/>
      <c r="T755" s="487"/>
      <c r="U755" s="488"/>
      <c r="V755" s="491"/>
      <c r="W755" s="481"/>
      <c r="X755" s="494"/>
      <c r="Y755" s="482"/>
      <c r="Z755" s="497"/>
      <c r="AA755" s="500" t="s">
        <v>428</v>
      </c>
      <c r="AB755" s="501"/>
      <c r="AC755" s="506" t="s">
        <v>257</v>
      </c>
      <c r="AD755" s="507"/>
      <c r="AE755" s="507"/>
      <c r="AF755" s="510"/>
      <c r="AG755" s="510"/>
      <c r="AH755" s="510"/>
      <c r="AI755" s="510"/>
      <c r="AJ755" s="510"/>
      <c r="AK755" s="510"/>
      <c r="AL755" s="510"/>
      <c r="AM755" s="510"/>
      <c r="AN755" s="510"/>
      <c r="AO755" s="510"/>
      <c r="AP755" s="510"/>
      <c r="AQ755" s="465"/>
      <c r="AR755" s="467">
        <f t="shared" ref="AR755" si="1412">SUM(AF755:AQ756)</f>
        <v>0</v>
      </c>
      <c r="AS755" s="119" t="s">
        <v>257</v>
      </c>
      <c r="AT755" s="120"/>
      <c r="AU755" s="120"/>
      <c r="AV755" s="120"/>
      <c r="AW755" s="121"/>
      <c r="AX755" s="125">
        <f t="shared" ref="AX755:AX757" si="1413">SUM(AT755:AW755)</f>
        <v>0</v>
      </c>
      <c r="AY755" s="141" t="s">
        <v>257</v>
      </c>
      <c r="AZ755" s="137"/>
      <c r="BA755" s="137"/>
      <c r="BB755" s="134">
        <f t="shared" ref="BB755:BB757" si="1414">AZ755-BA755</f>
        <v>0</v>
      </c>
      <c r="BC755" s="469" t="s">
        <v>258</v>
      </c>
      <c r="BD755" s="470"/>
      <c r="BE755" s="13"/>
      <c r="BF755" s="16"/>
      <c r="BG755" s="13"/>
      <c r="BH755" s="16"/>
      <c r="BI755" s="13"/>
      <c r="BJ755" s="16"/>
      <c r="BK755" s="13"/>
      <c r="BL755" s="16"/>
      <c r="BM755" s="13"/>
      <c r="BN755" s="16"/>
      <c r="BO755" s="13"/>
      <c r="BP755" s="16"/>
      <c r="BQ755" s="106">
        <f t="shared" si="1398"/>
        <v>0</v>
      </c>
      <c r="BR755" s="566"/>
      <c r="BS755" s="569"/>
      <c r="BT755" s="570"/>
      <c r="BU755" s="557"/>
      <c r="BV755" s="560"/>
      <c r="BW755" s="563"/>
      <c r="BX755" s="615"/>
    </row>
    <row r="756" spans="1:76" x14ac:dyDescent="0.25">
      <c r="A756" s="586"/>
      <c r="B756" s="590"/>
      <c r="C756" s="591"/>
      <c r="D756" s="605"/>
      <c r="E756" s="517"/>
      <c r="F756" s="518"/>
      <c r="G756" s="523"/>
      <c r="H756" s="524"/>
      <c r="I756" s="529"/>
      <c r="J756" s="530"/>
      <c r="K756" s="513"/>
      <c r="L756" s="534"/>
      <c r="M756" s="537"/>
      <c r="N756" s="541"/>
      <c r="O756" s="542"/>
      <c r="P756" s="483"/>
      <c r="Q756" s="484"/>
      <c r="R756" s="517"/>
      <c r="S756" s="518"/>
      <c r="T756" s="487"/>
      <c r="U756" s="488"/>
      <c r="V756" s="492"/>
      <c r="W756" s="483"/>
      <c r="X756" s="495"/>
      <c r="Y756" s="484"/>
      <c r="Z756" s="498"/>
      <c r="AA756" s="502"/>
      <c r="AB756" s="503"/>
      <c r="AC756" s="508"/>
      <c r="AD756" s="509"/>
      <c r="AE756" s="509"/>
      <c r="AF756" s="511"/>
      <c r="AG756" s="511"/>
      <c r="AH756" s="511"/>
      <c r="AI756" s="511"/>
      <c r="AJ756" s="511"/>
      <c r="AK756" s="511"/>
      <c r="AL756" s="511"/>
      <c r="AM756" s="511"/>
      <c r="AN756" s="511"/>
      <c r="AO756" s="511"/>
      <c r="AP756" s="511"/>
      <c r="AQ756" s="466"/>
      <c r="AR756" s="468"/>
      <c r="AS756" s="122" t="s">
        <v>259</v>
      </c>
      <c r="AT756" s="123"/>
      <c r="AU756" s="123"/>
      <c r="AV756" s="123"/>
      <c r="AW756" s="124"/>
      <c r="AX756" s="126">
        <f t="shared" si="1413"/>
        <v>0</v>
      </c>
      <c r="AY756" s="142" t="s">
        <v>259</v>
      </c>
      <c r="AZ756" s="138"/>
      <c r="BA756" s="138"/>
      <c r="BB756" s="135">
        <f t="shared" si="1414"/>
        <v>0</v>
      </c>
      <c r="BC756" s="474" t="s">
        <v>260</v>
      </c>
      <c r="BD756" s="475"/>
      <c r="BE756" s="14"/>
      <c r="BF756" s="17"/>
      <c r="BG756" s="14"/>
      <c r="BH756" s="17"/>
      <c r="BI756" s="14"/>
      <c r="BJ756" s="17"/>
      <c r="BK756" s="14"/>
      <c r="BL756" s="17"/>
      <c r="BM756" s="14"/>
      <c r="BN756" s="17"/>
      <c r="BO756" s="14"/>
      <c r="BP756" s="17"/>
      <c r="BQ756" s="107">
        <f t="shared" si="1398"/>
        <v>0</v>
      </c>
      <c r="BR756" s="567"/>
      <c r="BS756" s="571"/>
      <c r="BT756" s="572"/>
      <c r="BU756" s="558"/>
      <c r="BV756" s="561"/>
      <c r="BW756" s="564"/>
      <c r="BX756" s="616"/>
    </row>
    <row r="757" spans="1:76" ht="15.75" thickBot="1" x14ac:dyDescent="0.3">
      <c r="A757" s="586"/>
      <c r="B757" s="590"/>
      <c r="C757" s="591"/>
      <c r="D757" s="605"/>
      <c r="E757" s="517"/>
      <c r="F757" s="518"/>
      <c r="G757" s="523"/>
      <c r="H757" s="524"/>
      <c r="I757" s="529"/>
      <c r="J757" s="530"/>
      <c r="K757" s="513"/>
      <c r="L757" s="534"/>
      <c r="M757" s="537"/>
      <c r="N757" s="541"/>
      <c r="O757" s="542"/>
      <c r="P757" s="483"/>
      <c r="Q757" s="484"/>
      <c r="R757" s="517"/>
      <c r="S757" s="518"/>
      <c r="T757" s="487"/>
      <c r="U757" s="488"/>
      <c r="V757" s="492"/>
      <c r="W757" s="483"/>
      <c r="X757" s="495"/>
      <c r="Y757" s="484"/>
      <c r="Z757" s="498"/>
      <c r="AA757" s="502"/>
      <c r="AB757" s="503"/>
      <c r="AC757" s="471" t="s">
        <v>259</v>
      </c>
      <c r="AD757" s="472"/>
      <c r="AE757" s="473"/>
      <c r="AF757" s="100"/>
      <c r="AG757" s="100"/>
      <c r="AH757" s="100"/>
      <c r="AI757" s="100"/>
      <c r="AJ757" s="100"/>
      <c r="AK757" s="100"/>
      <c r="AL757" s="100"/>
      <c r="AM757" s="100"/>
      <c r="AN757" s="100"/>
      <c r="AO757" s="100"/>
      <c r="AP757" s="100"/>
      <c r="AQ757" s="101"/>
      <c r="AR757" s="104">
        <f t="shared" ref="AR757:AR758" si="1415">SUM(AF757:AQ757)</f>
        <v>0</v>
      </c>
      <c r="AS757" s="128" t="s">
        <v>261</v>
      </c>
      <c r="AT757" s="129"/>
      <c r="AU757" s="129"/>
      <c r="AV757" s="129"/>
      <c r="AW757" s="130"/>
      <c r="AX757" s="126">
        <f t="shared" si="1413"/>
        <v>0</v>
      </c>
      <c r="AY757" s="143" t="s">
        <v>261</v>
      </c>
      <c r="AZ757" s="139"/>
      <c r="BA757" s="139"/>
      <c r="BB757" s="136">
        <f t="shared" si="1414"/>
        <v>0</v>
      </c>
      <c r="BC757" s="474" t="s">
        <v>262</v>
      </c>
      <c r="BD757" s="475"/>
      <c r="BE757" s="14"/>
      <c r="BF757" s="17"/>
      <c r="BG757" s="14"/>
      <c r="BH757" s="17"/>
      <c r="BI757" s="14"/>
      <c r="BJ757" s="17"/>
      <c r="BK757" s="14"/>
      <c r="BL757" s="17"/>
      <c r="BM757" s="14"/>
      <c r="BN757" s="17"/>
      <c r="BO757" s="14"/>
      <c r="BP757" s="17"/>
      <c r="BQ757" s="108">
        <f t="shared" si="1398"/>
        <v>0</v>
      </c>
      <c r="BR757" s="567"/>
      <c r="BS757" s="571"/>
      <c r="BT757" s="572"/>
      <c r="BU757" s="558"/>
      <c r="BV757" s="561"/>
      <c r="BW757" s="564"/>
      <c r="BX757" s="616"/>
    </row>
    <row r="758" spans="1:76" ht="15.75" thickBot="1" x14ac:dyDescent="0.3">
      <c r="A758" s="587"/>
      <c r="B758" s="592"/>
      <c r="C758" s="593"/>
      <c r="D758" s="606"/>
      <c r="E758" s="519"/>
      <c r="F758" s="520"/>
      <c r="G758" s="525"/>
      <c r="H758" s="526"/>
      <c r="I758" s="531"/>
      <c r="J758" s="532"/>
      <c r="K758" s="514"/>
      <c r="L758" s="535"/>
      <c r="M758" s="538"/>
      <c r="N758" s="543"/>
      <c r="O758" s="544"/>
      <c r="P758" s="485"/>
      <c r="Q758" s="486"/>
      <c r="R758" s="519"/>
      <c r="S758" s="520"/>
      <c r="T758" s="489"/>
      <c r="U758" s="490"/>
      <c r="V758" s="493"/>
      <c r="W758" s="485"/>
      <c r="X758" s="496"/>
      <c r="Y758" s="486"/>
      <c r="Z758" s="499"/>
      <c r="AA758" s="504"/>
      <c r="AB758" s="505"/>
      <c r="AC758" s="476" t="s">
        <v>261</v>
      </c>
      <c r="AD758" s="477"/>
      <c r="AE758" s="478"/>
      <c r="AF758" s="102"/>
      <c r="AG758" s="102"/>
      <c r="AH758" s="102"/>
      <c r="AI758" s="102"/>
      <c r="AJ758" s="102"/>
      <c r="AK758" s="102"/>
      <c r="AL758" s="102"/>
      <c r="AM758" s="102"/>
      <c r="AN758" s="102"/>
      <c r="AO758" s="102"/>
      <c r="AP758" s="102"/>
      <c r="AQ758" s="103"/>
      <c r="AR758" s="105">
        <f t="shared" si="1415"/>
        <v>0</v>
      </c>
      <c r="AS758" s="131" t="s">
        <v>161</v>
      </c>
      <c r="AT758" s="132">
        <f t="shared" ref="AT758:AX758" si="1416">SUM(AT755:AT757)</f>
        <v>0</v>
      </c>
      <c r="AU758" s="132">
        <f t="shared" si="1416"/>
        <v>0</v>
      </c>
      <c r="AV758" s="132">
        <f t="shared" si="1416"/>
        <v>0</v>
      </c>
      <c r="AW758" s="133">
        <f t="shared" si="1416"/>
        <v>0</v>
      </c>
      <c r="AX758" s="127">
        <f t="shared" si="1416"/>
        <v>0</v>
      </c>
      <c r="AY758" s="144" t="s">
        <v>161</v>
      </c>
      <c r="AZ758" s="140">
        <f t="shared" ref="AZ758:BB758" si="1417">SUM(AZ755:AZ757)</f>
        <v>0</v>
      </c>
      <c r="BA758" s="140">
        <f t="shared" si="1417"/>
        <v>0</v>
      </c>
      <c r="BB758" s="140">
        <f t="shared" si="1417"/>
        <v>0</v>
      </c>
      <c r="BC758" s="479" t="s">
        <v>263</v>
      </c>
      <c r="BD758" s="480"/>
      <c r="BE758" s="15"/>
      <c r="BF758" s="18"/>
      <c r="BG758" s="15"/>
      <c r="BH758" s="18"/>
      <c r="BI758" s="15"/>
      <c r="BJ758" s="18"/>
      <c r="BK758" s="15"/>
      <c r="BL758" s="18"/>
      <c r="BM758" s="15"/>
      <c r="BN758" s="18"/>
      <c r="BO758" s="15"/>
      <c r="BP758" s="18"/>
      <c r="BQ758" s="109">
        <f t="shared" si="1398"/>
        <v>0</v>
      </c>
      <c r="BR758" s="568"/>
      <c r="BS758" s="573"/>
      <c r="BT758" s="574"/>
      <c r="BU758" s="559"/>
      <c r="BV758" s="562"/>
      <c r="BW758" s="565"/>
      <c r="BX758" s="617"/>
    </row>
    <row r="759" spans="1:76" ht="15.75" thickTop="1" x14ac:dyDescent="0.25">
      <c r="A759" s="585">
        <v>188</v>
      </c>
      <c r="B759" s="588"/>
      <c r="C759" s="589"/>
      <c r="D759" s="604"/>
      <c r="E759" s="515"/>
      <c r="F759" s="516"/>
      <c r="G759" s="521"/>
      <c r="H759" s="522"/>
      <c r="I759" s="527"/>
      <c r="J759" s="528"/>
      <c r="K759" s="512" t="e">
        <f t="shared" ref="K759" si="1418">INT(YEARFRAC(I759,AA759))</f>
        <v>#VALUE!</v>
      </c>
      <c r="L759" s="533">
        <f t="shared" ref="L759" ca="1" si="1419">INT(YEARFRAC(I759,TODAY()))</f>
        <v>121</v>
      </c>
      <c r="M759" s="536"/>
      <c r="N759" s="539"/>
      <c r="O759" s="540"/>
      <c r="P759" s="481"/>
      <c r="Q759" s="482"/>
      <c r="R759" s="515"/>
      <c r="S759" s="516"/>
      <c r="T759" s="487"/>
      <c r="U759" s="488"/>
      <c r="V759" s="491"/>
      <c r="W759" s="481"/>
      <c r="X759" s="494"/>
      <c r="Y759" s="482"/>
      <c r="Z759" s="497"/>
      <c r="AA759" s="500" t="s">
        <v>429</v>
      </c>
      <c r="AB759" s="501"/>
      <c r="AC759" s="506" t="s">
        <v>257</v>
      </c>
      <c r="AD759" s="507"/>
      <c r="AE759" s="507"/>
      <c r="AF759" s="510"/>
      <c r="AG759" s="510"/>
      <c r="AH759" s="510"/>
      <c r="AI759" s="510"/>
      <c r="AJ759" s="510"/>
      <c r="AK759" s="510"/>
      <c r="AL759" s="510"/>
      <c r="AM759" s="510"/>
      <c r="AN759" s="510"/>
      <c r="AO759" s="510"/>
      <c r="AP759" s="510"/>
      <c r="AQ759" s="465"/>
      <c r="AR759" s="467">
        <f t="shared" ref="AR759" si="1420">SUM(AF759:AQ760)</f>
        <v>0</v>
      </c>
      <c r="AS759" s="119" t="s">
        <v>257</v>
      </c>
      <c r="AT759" s="120"/>
      <c r="AU759" s="120"/>
      <c r="AV759" s="120"/>
      <c r="AW759" s="121"/>
      <c r="AX759" s="125">
        <f t="shared" ref="AX759:AX761" si="1421">SUM(AT759:AW759)</f>
        <v>0</v>
      </c>
      <c r="AY759" s="141" t="s">
        <v>257</v>
      </c>
      <c r="AZ759" s="137"/>
      <c r="BA759" s="137"/>
      <c r="BB759" s="134">
        <f t="shared" ref="BB759:BB761" si="1422">AZ759-BA759</f>
        <v>0</v>
      </c>
      <c r="BC759" s="469" t="s">
        <v>258</v>
      </c>
      <c r="BD759" s="470"/>
      <c r="BE759" s="13"/>
      <c r="BF759" s="16"/>
      <c r="BG759" s="13"/>
      <c r="BH759" s="16"/>
      <c r="BI759" s="13"/>
      <c r="BJ759" s="16"/>
      <c r="BK759" s="13"/>
      <c r="BL759" s="16"/>
      <c r="BM759" s="13"/>
      <c r="BN759" s="16"/>
      <c r="BO759" s="13"/>
      <c r="BP759" s="16"/>
      <c r="BQ759" s="106">
        <f t="shared" si="1398"/>
        <v>0</v>
      </c>
      <c r="BR759" s="566"/>
      <c r="BS759" s="569"/>
      <c r="BT759" s="570"/>
      <c r="BU759" s="557"/>
      <c r="BV759" s="560"/>
      <c r="BW759" s="563"/>
      <c r="BX759" s="615"/>
    </row>
    <row r="760" spans="1:76" x14ac:dyDescent="0.25">
      <c r="A760" s="586"/>
      <c r="B760" s="590"/>
      <c r="C760" s="591"/>
      <c r="D760" s="605"/>
      <c r="E760" s="517"/>
      <c r="F760" s="518"/>
      <c r="G760" s="523"/>
      <c r="H760" s="524"/>
      <c r="I760" s="529"/>
      <c r="J760" s="530"/>
      <c r="K760" s="513"/>
      <c r="L760" s="534"/>
      <c r="M760" s="537"/>
      <c r="N760" s="541"/>
      <c r="O760" s="542"/>
      <c r="P760" s="483"/>
      <c r="Q760" s="484"/>
      <c r="R760" s="517"/>
      <c r="S760" s="518"/>
      <c r="T760" s="487"/>
      <c r="U760" s="488"/>
      <c r="V760" s="492"/>
      <c r="W760" s="483"/>
      <c r="X760" s="495"/>
      <c r="Y760" s="484"/>
      <c r="Z760" s="498"/>
      <c r="AA760" s="502"/>
      <c r="AB760" s="503"/>
      <c r="AC760" s="508"/>
      <c r="AD760" s="509"/>
      <c r="AE760" s="509"/>
      <c r="AF760" s="511"/>
      <c r="AG760" s="511"/>
      <c r="AH760" s="511"/>
      <c r="AI760" s="511"/>
      <c r="AJ760" s="511"/>
      <c r="AK760" s="511"/>
      <c r="AL760" s="511"/>
      <c r="AM760" s="511"/>
      <c r="AN760" s="511"/>
      <c r="AO760" s="511"/>
      <c r="AP760" s="511"/>
      <c r="AQ760" s="466"/>
      <c r="AR760" s="468"/>
      <c r="AS760" s="122" t="s">
        <v>259</v>
      </c>
      <c r="AT760" s="123"/>
      <c r="AU760" s="123"/>
      <c r="AV760" s="123"/>
      <c r="AW760" s="124"/>
      <c r="AX760" s="126">
        <f t="shared" si="1421"/>
        <v>0</v>
      </c>
      <c r="AY760" s="142" t="s">
        <v>259</v>
      </c>
      <c r="AZ760" s="138"/>
      <c r="BA760" s="138"/>
      <c r="BB760" s="135">
        <f t="shared" si="1422"/>
        <v>0</v>
      </c>
      <c r="BC760" s="474" t="s">
        <v>260</v>
      </c>
      <c r="BD760" s="475"/>
      <c r="BE760" s="14"/>
      <c r="BF760" s="17"/>
      <c r="BG760" s="14"/>
      <c r="BH760" s="17"/>
      <c r="BI760" s="14"/>
      <c r="BJ760" s="17"/>
      <c r="BK760" s="14"/>
      <c r="BL760" s="17"/>
      <c r="BM760" s="14"/>
      <c r="BN760" s="17"/>
      <c r="BO760" s="14"/>
      <c r="BP760" s="17"/>
      <c r="BQ760" s="107">
        <f t="shared" si="1398"/>
        <v>0</v>
      </c>
      <c r="BR760" s="567"/>
      <c r="BS760" s="571"/>
      <c r="BT760" s="572"/>
      <c r="BU760" s="558"/>
      <c r="BV760" s="561"/>
      <c r="BW760" s="564"/>
      <c r="BX760" s="616"/>
    </row>
    <row r="761" spans="1:76" ht="15.75" thickBot="1" x14ac:dyDescent="0.3">
      <c r="A761" s="586"/>
      <c r="B761" s="590"/>
      <c r="C761" s="591"/>
      <c r="D761" s="605"/>
      <c r="E761" s="517"/>
      <c r="F761" s="518"/>
      <c r="G761" s="523"/>
      <c r="H761" s="524"/>
      <c r="I761" s="529"/>
      <c r="J761" s="530"/>
      <c r="K761" s="513"/>
      <c r="L761" s="534"/>
      <c r="M761" s="537"/>
      <c r="N761" s="541"/>
      <c r="O761" s="542"/>
      <c r="P761" s="483"/>
      <c r="Q761" s="484"/>
      <c r="R761" s="517"/>
      <c r="S761" s="518"/>
      <c r="T761" s="487"/>
      <c r="U761" s="488"/>
      <c r="V761" s="492"/>
      <c r="W761" s="483"/>
      <c r="X761" s="495"/>
      <c r="Y761" s="484"/>
      <c r="Z761" s="498"/>
      <c r="AA761" s="502"/>
      <c r="AB761" s="503"/>
      <c r="AC761" s="471" t="s">
        <v>259</v>
      </c>
      <c r="AD761" s="472"/>
      <c r="AE761" s="473"/>
      <c r="AF761" s="100"/>
      <c r="AG761" s="100"/>
      <c r="AH761" s="100"/>
      <c r="AI761" s="100"/>
      <c r="AJ761" s="100"/>
      <c r="AK761" s="100"/>
      <c r="AL761" s="100"/>
      <c r="AM761" s="100"/>
      <c r="AN761" s="100"/>
      <c r="AO761" s="100"/>
      <c r="AP761" s="100"/>
      <c r="AQ761" s="101"/>
      <c r="AR761" s="104">
        <f t="shared" ref="AR761:AR762" si="1423">SUM(AF761:AQ761)</f>
        <v>0</v>
      </c>
      <c r="AS761" s="128" t="s">
        <v>261</v>
      </c>
      <c r="AT761" s="129"/>
      <c r="AU761" s="129"/>
      <c r="AV761" s="129"/>
      <c r="AW761" s="130"/>
      <c r="AX761" s="126">
        <f t="shared" si="1421"/>
        <v>0</v>
      </c>
      <c r="AY761" s="143" t="s">
        <v>261</v>
      </c>
      <c r="AZ761" s="139"/>
      <c r="BA761" s="139"/>
      <c r="BB761" s="136">
        <f t="shared" si="1422"/>
        <v>0</v>
      </c>
      <c r="BC761" s="474" t="s">
        <v>262</v>
      </c>
      <c r="BD761" s="475"/>
      <c r="BE761" s="14"/>
      <c r="BF761" s="17"/>
      <c r="BG761" s="14"/>
      <c r="BH761" s="17"/>
      <c r="BI761" s="14"/>
      <c r="BJ761" s="17"/>
      <c r="BK761" s="14"/>
      <c r="BL761" s="17"/>
      <c r="BM761" s="14"/>
      <c r="BN761" s="17"/>
      <c r="BO761" s="14"/>
      <c r="BP761" s="17"/>
      <c r="BQ761" s="108">
        <f t="shared" si="1398"/>
        <v>0</v>
      </c>
      <c r="BR761" s="567"/>
      <c r="BS761" s="571"/>
      <c r="BT761" s="572"/>
      <c r="BU761" s="558"/>
      <c r="BV761" s="561"/>
      <c r="BW761" s="564"/>
      <c r="BX761" s="616"/>
    </row>
    <row r="762" spans="1:76" ht="15.75" thickBot="1" x14ac:dyDescent="0.3">
      <c r="A762" s="587"/>
      <c r="B762" s="592"/>
      <c r="C762" s="593"/>
      <c r="D762" s="606"/>
      <c r="E762" s="519"/>
      <c r="F762" s="520"/>
      <c r="G762" s="525"/>
      <c r="H762" s="526"/>
      <c r="I762" s="531"/>
      <c r="J762" s="532"/>
      <c r="K762" s="514"/>
      <c r="L762" s="535"/>
      <c r="M762" s="538"/>
      <c r="N762" s="543"/>
      <c r="O762" s="544"/>
      <c r="P762" s="485"/>
      <c r="Q762" s="486"/>
      <c r="R762" s="519"/>
      <c r="S762" s="520"/>
      <c r="T762" s="489"/>
      <c r="U762" s="490"/>
      <c r="V762" s="493"/>
      <c r="W762" s="485"/>
      <c r="X762" s="496"/>
      <c r="Y762" s="486"/>
      <c r="Z762" s="499"/>
      <c r="AA762" s="504"/>
      <c r="AB762" s="505"/>
      <c r="AC762" s="476" t="s">
        <v>261</v>
      </c>
      <c r="AD762" s="477"/>
      <c r="AE762" s="478"/>
      <c r="AF762" s="102"/>
      <c r="AG762" s="102"/>
      <c r="AH762" s="102"/>
      <c r="AI762" s="102"/>
      <c r="AJ762" s="102"/>
      <c r="AK762" s="102"/>
      <c r="AL762" s="102"/>
      <c r="AM762" s="102"/>
      <c r="AN762" s="102"/>
      <c r="AO762" s="102"/>
      <c r="AP762" s="102"/>
      <c r="AQ762" s="103"/>
      <c r="AR762" s="105">
        <f t="shared" si="1423"/>
        <v>0</v>
      </c>
      <c r="AS762" s="131" t="s">
        <v>161</v>
      </c>
      <c r="AT762" s="132">
        <f t="shared" ref="AT762:AX762" si="1424">SUM(AT759:AT761)</f>
        <v>0</v>
      </c>
      <c r="AU762" s="132">
        <f t="shared" si="1424"/>
        <v>0</v>
      </c>
      <c r="AV762" s="132">
        <f t="shared" si="1424"/>
        <v>0</v>
      </c>
      <c r="AW762" s="133">
        <f t="shared" si="1424"/>
        <v>0</v>
      </c>
      <c r="AX762" s="127">
        <f t="shared" si="1424"/>
        <v>0</v>
      </c>
      <c r="AY762" s="144" t="s">
        <v>161</v>
      </c>
      <c r="AZ762" s="140">
        <f t="shared" ref="AZ762:BB762" si="1425">SUM(AZ759:AZ761)</f>
        <v>0</v>
      </c>
      <c r="BA762" s="140">
        <f t="shared" si="1425"/>
        <v>0</v>
      </c>
      <c r="BB762" s="140">
        <f t="shared" si="1425"/>
        <v>0</v>
      </c>
      <c r="BC762" s="479" t="s">
        <v>263</v>
      </c>
      <c r="BD762" s="480"/>
      <c r="BE762" s="15"/>
      <c r="BF762" s="18"/>
      <c r="BG762" s="15"/>
      <c r="BH762" s="18"/>
      <c r="BI762" s="15"/>
      <c r="BJ762" s="18"/>
      <c r="BK762" s="15"/>
      <c r="BL762" s="18"/>
      <c r="BM762" s="15"/>
      <c r="BN762" s="18"/>
      <c r="BO762" s="15"/>
      <c r="BP762" s="18"/>
      <c r="BQ762" s="109">
        <f t="shared" si="1398"/>
        <v>0</v>
      </c>
      <c r="BR762" s="568"/>
      <c r="BS762" s="573"/>
      <c r="BT762" s="574"/>
      <c r="BU762" s="559"/>
      <c r="BV762" s="562"/>
      <c r="BW762" s="565"/>
      <c r="BX762" s="617"/>
    </row>
    <row r="763" spans="1:76" ht="15.75" thickTop="1" x14ac:dyDescent="0.25">
      <c r="A763" s="585">
        <v>189</v>
      </c>
      <c r="B763" s="588"/>
      <c r="C763" s="589"/>
      <c r="D763" s="604"/>
      <c r="E763" s="515"/>
      <c r="F763" s="516"/>
      <c r="G763" s="521"/>
      <c r="H763" s="522"/>
      <c r="I763" s="527"/>
      <c r="J763" s="528"/>
      <c r="K763" s="512" t="e">
        <f t="shared" ref="K763" si="1426">INT(YEARFRAC(I763,AA763))</f>
        <v>#VALUE!</v>
      </c>
      <c r="L763" s="533">
        <f t="shared" ref="L763" ca="1" si="1427">INT(YEARFRAC(I763,TODAY()))</f>
        <v>121</v>
      </c>
      <c r="M763" s="536"/>
      <c r="N763" s="539"/>
      <c r="O763" s="540"/>
      <c r="P763" s="481"/>
      <c r="Q763" s="482"/>
      <c r="R763" s="515"/>
      <c r="S763" s="516"/>
      <c r="T763" s="487"/>
      <c r="U763" s="488"/>
      <c r="V763" s="491"/>
      <c r="W763" s="481"/>
      <c r="X763" s="494"/>
      <c r="Y763" s="482"/>
      <c r="Z763" s="497"/>
      <c r="AA763" s="500" t="s">
        <v>430</v>
      </c>
      <c r="AB763" s="501"/>
      <c r="AC763" s="506" t="s">
        <v>257</v>
      </c>
      <c r="AD763" s="507"/>
      <c r="AE763" s="507"/>
      <c r="AF763" s="510"/>
      <c r="AG763" s="510"/>
      <c r="AH763" s="510"/>
      <c r="AI763" s="510"/>
      <c r="AJ763" s="510"/>
      <c r="AK763" s="510"/>
      <c r="AL763" s="510"/>
      <c r="AM763" s="510"/>
      <c r="AN763" s="510"/>
      <c r="AO763" s="510"/>
      <c r="AP763" s="510"/>
      <c r="AQ763" s="465"/>
      <c r="AR763" s="467">
        <f t="shared" ref="AR763" si="1428">SUM(AF763:AQ764)</f>
        <v>0</v>
      </c>
      <c r="AS763" s="119" t="s">
        <v>257</v>
      </c>
      <c r="AT763" s="120"/>
      <c r="AU763" s="120"/>
      <c r="AV763" s="120"/>
      <c r="AW763" s="121"/>
      <c r="AX763" s="125">
        <f t="shared" ref="AX763:AX765" si="1429">SUM(AT763:AW763)</f>
        <v>0</v>
      </c>
      <c r="AY763" s="141" t="s">
        <v>257</v>
      </c>
      <c r="AZ763" s="137"/>
      <c r="BA763" s="137"/>
      <c r="BB763" s="134">
        <f t="shared" ref="BB763:BB765" si="1430">AZ763-BA763</f>
        <v>0</v>
      </c>
      <c r="BC763" s="469" t="s">
        <v>258</v>
      </c>
      <c r="BD763" s="470"/>
      <c r="BE763" s="13"/>
      <c r="BF763" s="16"/>
      <c r="BG763" s="13"/>
      <c r="BH763" s="16"/>
      <c r="BI763" s="13"/>
      <c r="BJ763" s="16"/>
      <c r="BK763" s="13"/>
      <c r="BL763" s="16"/>
      <c r="BM763" s="13"/>
      <c r="BN763" s="16"/>
      <c r="BO763" s="13"/>
      <c r="BP763" s="16"/>
      <c r="BQ763" s="106">
        <f t="shared" si="1398"/>
        <v>0</v>
      </c>
      <c r="BR763" s="566"/>
      <c r="BS763" s="569"/>
      <c r="BT763" s="570"/>
      <c r="BU763" s="557"/>
      <c r="BV763" s="560"/>
      <c r="BW763" s="563"/>
      <c r="BX763" s="615"/>
    </row>
    <row r="764" spans="1:76" x14ac:dyDescent="0.25">
      <c r="A764" s="586"/>
      <c r="B764" s="590"/>
      <c r="C764" s="591"/>
      <c r="D764" s="605"/>
      <c r="E764" s="517"/>
      <c r="F764" s="518"/>
      <c r="G764" s="523"/>
      <c r="H764" s="524"/>
      <c r="I764" s="529"/>
      <c r="J764" s="530"/>
      <c r="K764" s="513"/>
      <c r="L764" s="534"/>
      <c r="M764" s="537"/>
      <c r="N764" s="541"/>
      <c r="O764" s="542"/>
      <c r="P764" s="483"/>
      <c r="Q764" s="484"/>
      <c r="R764" s="517"/>
      <c r="S764" s="518"/>
      <c r="T764" s="487"/>
      <c r="U764" s="488"/>
      <c r="V764" s="492"/>
      <c r="W764" s="483"/>
      <c r="X764" s="495"/>
      <c r="Y764" s="484"/>
      <c r="Z764" s="498"/>
      <c r="AA764" s="502"/>
      <c r="AB764" s="503"/>
      <c r="AC764" s="508"/>
      <c r="AD764" s="509"/>
      <c r="AE764" s="509"/>
      <c r="AF764" s="511"/>
      <c r="AG764" s="511"/>
      <c r="AH764" s="511"/>
      <c r="AI764" s="511"/>
      <c r="AJ764" s="511"/>
      <c r="AK764" s="511"/>
      <c r="AL764" s="511"/>
      <c r="AM764" s="511"/>
      <c r="AN764" s="511"/>
      <c r="AO764" s="511"/>
      <c r="AP764" s="511"/>
      <c r="AQ764" s="466"/>
      <c r="AR764" s="468"/>
      <c r="AS764" s="122" t="s">
        <v>259</v>
      </c>
      <c r="AT764" s="123"/>
      <c r="AU764" s="123"/>
      <c r="AV764" s="123"/>
      <c r="AW764" s="124"/>
      <c r="AX764" s="126">
        <f t="shared" si="1429"/>
        <v>0</v>
      </c>
      <c r="AY764" s="142" t="s">
        <v>259</v>
      </c>
      <c r="AZ764" s="138"/>
      <c r="BA764" s="138"/>
      <c r="BB764" s="135">
        <f t="shared" si="1430"/>
        <v>0</v>
      </c>
      <c r="BC764" s="474" t="s">
        <v>260</v>
      </c>
      <c r="BD764" s="475"/>
      <c r="BE764" s="14"/>
      <c r="BF764" s="17"/>
      <c r="BG764" s="14"/>
      <c r="BH764" s="17"/>
      <c r="BI764" s="14"/>
      <c r="BJ764" s="17"/>
      <c r="BK764" s="14"/>
      <c r="BL764" s="17"/>
      <c r="BM764" s="14"/>
      <c r="BN764" s="17"/>
      <c r="BO764" s="14"/>
      <c r="BP764" s="17"/>
      <c r="BQ764" s="107">
        <f t="shared" si="1398"/>
        <v>0</v>
      </c>
      <c r="BR764" s="567"/>
      <c r="BS764" s="571"/>
      <c r="BT764" s="572"/>
      <c r="BU764" s="558"/>
      <c r="BV764" s="561"/>
      <c r="BW764" s="564"/>
      <c r="BX764" s="616"/>
    </row>
    <row r="765" spans="1:76" ht="15.75" thickBot="1" x14ac:dyDescent="0.3">
      <c r="A765" s="586"/>
      <c r="B765" s="590"/>
      <c r="C765" s="591"/>
      <c r="D765" s="605"/>
      <c r="E765" s="517"/>
      <c r="F765" s="518"/>
      <c r="G765" s="523"/>
      <c r="H765" s="524"/>
      <c r="I765" s="529"/>
      <c r="J765" s="530"/>
      <c r="K765" s="513"/>
      <c r="L765" s="534"/>
      <c r="M765" s="537"/>
      <c r="N765" s="541"/>
      <c r="O765" s="542"/>
      <c r="P765" s="483"/>
      <c r="Q765" s="484"/>
      <c r="R765" s="517"/>
      <c r="S765" s="518"/>
      <c r="T765" s="487"/>
      <c r="U765" s="488"/>
      <c r="V765" s="492"/>
      <c r="W765" s="483"/>
      <c r="X765" s="495"/>
      <c r="Y765" s="484"/>
      <c r="Z765" s="498"/>
      <c r="AA765" s="502"/>
      <c r="AB765" s="503"/>
      <c r="AC765" s="471" t="s">
        <v>259</v>
      </c>
      <c r="AD765" s="472"/>
      <c r="AE765" s="473"/>
      <c r="AF765" s="100"/>
      <c r="AG765" s="100"/>
      <c r="AH765" s="100"/>
      <c r="AI765" s="100"/>
      <c r="AJ765" s="100"/>
      <c r="AK765" s="100"/>
      <c r="AL765" s="100"/>
      <c r="AM765" s="100"/>
      <c r="AN765" s="100"/>
      <c r="AO765" s="100"/>
      <c r="AP765" s="100"/>
      <c r="AQ765" s="101"/>
      <c r="AR765" s="104">
        <f t="shared" ref="AR765:AR766" si="1431">SUM(AF765:AQ765)</f>
        <v>0</v>
      </c>
      <c r="AS765" s="128" t="s">
        <v>261</v>
      </c>
      <c r="AT765" s="129"/>
      <c r="AU765" s="129"/>
      <c r="AV765" s="129"/>
      <c r="AW765" s="130"/>
      <c r="AX765" s="126">
        <f t="shared" si="1429"/>
        <v>0</v>
      </c>
      <c r="AY765" s="143" t="s">
        <v>261</v>
      </c>
      <c r="AZ765" s="139"/>
      <c r="BA765" s="139"/>
      <c r="BB765" s="136">
        <f t="shared" si="1430"/>
        <v>0</v>
      </c>
      <c r="BC765" s="474" t="s">
        <v>262</v>
      </c>
      <c r="BD765" s="475"/>
      <c r="BE765" s="14"/>
      <c r="BF765" s="17"/>
      <c r="BG765" s="14"/>
      <c r="BH765" s="17"/>
      <c r="BI765" s="14"/>
      <c r="BJ765" s="17"/>
      <c r="BK765" s="14"/>
      <c r="BL765" s="17"/>
      <c r="BM765" s="14"/>
      <c r="BN765" s="17"/>
      <c r="BO765" s="14"/>
      <c r="BP765" s="17"/>
      <c r="BQ765" s="108">
        <f t="shared" si="1398"/>
        <v>0</v>
      </c>
      <c r="BR765" s="567"/>
      <c r="BS765" s="571"/>
      <c r="BT765" s="572"/>
      <c r="BU765" s="558"/>
      <c r="BV765" s="561"/>
      <c r="BW765" s="564"/>
      <c r="BX765" s="616"/>
    </row>
    <row r="766" spans="1:76" ht="15.75" thickBot="1" x14ac:dyDescent="0.3">
      <c r="A766" s="587"/>
      <c r="B766" s="592"/>
      <c r="C766" s="593"/>
      <c r="D766" s="606"/>
      <c r="E766" s="519"/>
      <c r="F766" s="520"/>
      <c r="G766" s="525"/>
      <c r="H766" s="526"/>
      <c r="I766" s="531"/>
      <c r="J766" s="532"/>
      <c r="K766" s="514"/>
      <c r="L766" s="535"/>
      <c r="M766" s="538"/>
      <c r="N766" s="543"/>
      <c r="O766" s="544"/>
      <c r="P766" s="485"/>
      <c r="Q766" s="486"/>
      <c r="R766" s="519"/>
      <c r="S766" s="520"/>
      <c r="T766" s="489"/>
      <c r="U766" s="490"/>
      <c r="V766" s="493"/>
      <c r="W766" s="485"/>
      <c r="X766" s="496"/>
      <c r="Y766" s="486"/>
      <c r="Z766" s="499"/>
      <c r="AA766" s="504"/>
      <c r="AB766" s="505"/>
      <c r="AC766" s="476" t="s">
        <v>261</v>
      </c>
      <c r="AD766" s="477"/>
      <c r="AE766" s="478"/>
      <c r="AF766" s="102"/>
      <c r="AG766" s="102"/>
      <c r="AH766" s="102"/>
      <c r="AI766" s="102"/>
      <c r="AJ766" s="102"/>
      <c r="AK766" s="102"/>
      <c r="AL766" s="102"/>
      <c r="AM766" s="102"/>
      <c r="AN766" s="102"/>
      <c r="AO766" s="102"/>
      <c r="AP766" s="102"/>
      <c r="AQ766" s="103"/>
      <c r="AR766" s="105">
        <f t="shared" si="1431"/>
        <v>0</v>
      </c>
      <c r="AS766" s="131" t="s">
        <v>161</v>
      </c>
      <c r="AT766" s="132">
        <f t="shared" ref="AT766:AX766" si="1432">SUM(AT763:AT765)</f>
        <v>0</v>
      </c>
      <c r="AU766" s="132">
        <f t="shared" si="1432"/>
        <v>0</v>
      </c>
      <c r="AV766" s="132">
        <f t="shared" si="1432"/>
        <v>0</v>
      </c>
      <c r="AW766" s="133">
        <f t="shared" si="1432"/>
        <v>0</v>
      </c>
      <c r="AX766" s="127">
        <f t="shared" si="1432"/>
        <v>0</v>
      </c>
      <c r="AY766" s="144" t="s">
        <v>161</v>
      </c>
      <c r="AZ766" s="140">
        <f t="shared" ref="AZ766:BB766" si="1433">SUM(AZ763:AZ765)</f>
        <v>0</v>
      </c>
      <c r="BA766" s="140">
        <f t="shared" si="1433"/>
        <v>0</v>
      </c>
      <c r="BB766" s="140">
        <f t="shared" si="1433"/>
        <v>0</v>
      </c>
      <c r="BC766" s="479" t="s">
        <v>263</v>
      </c>
      <c r="BD766" s="480"/>
      <c r="BE766" s="15"/>
      <c r="BF766" s="18"/>
      <c r="BG766" s="15"/>
      <c r="BH766" s="18"/>
      <c r="BI766" s="15"/>
      <c r="BJ766" s="18"/>
      <c r="BK766" s="15"/>
      <c r="BL766" s="18"/>
      <c r="BM766" s="15"/>
      <c r="BN766" s="18"/>
      <c r="BO766" s="15"/>
      <c r="BP766" s="18"/>
      <c r="BQ766" s="109">
        <f t="shared" si="1398"/>
        <v>0</v>
      </c>
      <c r="BR766" s="568"/>
      <c r="BS766" s="573"/>
      <c r="BT766" s="574"/>
      <c r="BU766" s="559"/>
      <c r="BV766" s="562"/>
      <c r="BW766" s="565"/>
      <c r="BX766" s="617"/>
    </row>
    <row r="767" spans="1:76" ht="15.75" thickTop="1" x14ac:dyDescent="0.25">
      <c r="A767" s="585">
        <v>190</v>
      </c>
      <c r="B767" s="588"/>
      <c r="C767" s="589"/>
      <c r="D767" s="604"/>
      <c r="E767" s="515"/>
      <c r="F767" s="516"/>
      <c r="G767" s="521"/>
      <c r="H767" s="522"/>
      <c r="I767" s="527"/>
      <c r="J767" s="528"/>
      <c r="K767" s="512" t="e">
        <f t="shared" ref="K767" si="1434">INT(YEARFRAC(I767,AA767))</f>
        <v>#VALUE!</v>
      </c>
      <c r="L767" s="533">
        <f t="shared" ref="L767" ca="1" si="1435">INT(YEARFRAC(I767,TODAY()))</f>
        <v>121</v>
      </c>
      <c r="M767" s="536"/>
      <c r="N767" s="539"/>
      <c r="O767" s="540"/>
      <c r="P767" s="481"/>
      <c r="Q767" s="482"/>
      <c r="R767" s="515"/>
      <c r="S767" s="516"/>
      <c r="T767" s="487"/>
      <c r="U767" s="488"/>
      <c r="V767" s="491"/>
      <c r="W767" s="481"/>
      <c r="X767" s="494"/>
      <c r="Y767" s="482"/>
      <c r="Z767" s="497"/>
      <c r="AA767" s="500" t="s">
        <v>431</v>
      </c>
      <c r="AB767" s="501"/>
      <c r="AC767" s="506" t="s">
        <v>257</v>
      </c>
      <c r="AD767" s="507"/>
      <c r="AE767" s="507"/>
      <c r="AF767" s="510"/>
      <c r="AG767" s="510"/>
      <c r="AH767" s="510"/>
      <c r="AI767" s="510"/>
      <c r="AJ767" s="510"/>
      <c r="AK767" s="510"/>
      <c r="AL767" s="510"/>
      <c r="AM767" s="510"/>
      <c r="AN767" s="510"/>
      <c r="AO767" s="510"/>
      <c r="AP767" s="510"/>
      <c r="AQ767" s="465"/>
      <c r="AR767" s="467">
        <f t="shared" ref="AR767" si="1436">SUM(AF767:AQ768)</f>
        <v>0</v>
      </c>
      <c r="AS767" s="119" t="s">
        <v>257</v>
      </c>
      <c r="AT767" s="120"/>
      <c r="AU767" s="120"/>
      <c r="AV767" s="120"/>
      <c r="AW767" s="121"/>
      <c r="AX767" s="125">
        <f t="shared" ref="AX767:AX769" si="1437">SUM(AT767:AW767)</f>
        <v>0</v>
      </c>
      <c r="AY767" s="141" t="s">
        <v>257</v>
      </c>
      <c r="AZ767" s="137"/>
      <c r="BA767" s="137"/>
      <c r="BB767" s="134">
        <f t="shared" ref="BB767:BB769" si="1438">AZ767-BA767</f>
        <v>0</v>
      </c>
      <c r="BC767" s="469" t="s">
        <v>258</v>
      </c>
      <c r="BD767" s="470"/>
      <c r="BE767" s="13"/>
      <c r="BF767" s="16"/>
      <c r="BG767" s="13"/>
      <c r="BH767" s="16"/>
      <c r="BI767" s="13"/>
      <c r="BJ767" s="16"/>
      <c r="BK767" s="13"/>
      <c r="BL767" s="16"/>
      <c r="BM767" s="13"/>
      <c r="BN767" s="16"/>
      <c r="BO767" s="13"/>
      <c r="BP767" s="16"/>
      <c r="BQ767" s="106">
        <f t="shared" si="1398"/>
        <v>0</v>
      </c>
      <c r="BR767" s="566"/>
      <c r="BS767" s="569"/>
      <c r="BT767" s="570"/>
      <c r="BU767" s="557"/>
      <c r="BV767" s="560"/>
      <c r="BW767" s="563"/>
      <c r="BX767" s="615"/>
    </row>
    <row r="768" spans="1:76" x14ac:dyDescent="0.25">
      <c r="A768" s="586"/>
      <c r="B768" s="590"/>
      <c r="C768" s="591"/>
      <c r="D768" s="605"/>
      <c r="E768" s="517"/>
      <c r="F768" s="518"/>
      <c r="G768" s="523"/>
      <c r="H768" s="524"/>
      <c r="I768" s="529"/>
      <c r="J768" s="530"/>
      <c r="K768" s="513"/>
      <c r="L768" s="534"/>
      <c r="M768" s="537"/>
      <c r="N768" s="541"/>
      <c r="O768" s="542"/>
      <c r="P768" s="483"/>
      <c r="Q768" s="484"/>
      <c r="R768" s="517"/>
      <c r="S768" s="518"/>
      <c r="T768" s="487"/>
      <c r="U768" s="488"/>
      <c r="V768" s="492"/>
      <c r="W768" s="483"/>
      <c r="X768" s="495"/>
      <c r="Y768" s="484"/>
      <c r="Z768" s="498"/>
      <c r="AA768" s="502"/>
      <c r="AB768" s="503"/>
      <c r="AC768" s="508"/>
      <c r="AD768" s="509"/>
      <c r="AE768" s="509"/>
      <c r="AF768" s="511"/>
      <c r="AG768" s="511"/>
      <c r="AH768" s="511"/>
      <c r="AI768" s="511"/>
      <c r="AJ768" s="511"/>
      <c r="AK768" s="511"/>
      <c r="AL768" s="511"/>
      <c r="AM768" s="511"/>
      <c r="AN768" s="511"/>
      <c r="AO768" s="511"/>
      <c r="AP768" s="511"/>
      <c r="AQ768" s="466"/>
      <c r="AR768" s="468"/>
      <c r="AS768" s="122" t="s">
        <v>259</v>
      </c>
      <c r="AT768" s="123"/>
      <c r="AU768" s="123"/>
      <c r="AV768" s="123"/>
      <c r="AW768" s="124"/>
      <c r="AX768" s="126">
        <f t="shared" si="1437"/>
        <v>0</v>
      </c>
      <c r="AY768" s="142" t="s">
        <v>259</v>
      </c>
      <c r="AZ768" s="138"/>
      <c r="BA768" s="138"/>
      <c r="BB768" s="135">
        <f t="shared" si="1438"/>
        <v>0</v>
      </c>
      <c r="BC768" s="474" t="s">
        <v>260</v>
      </c>
      <c r="BD768" s="475"/>
      <c r="BE768" s="14"/>
      <c r="BF768" s="17"/>
      <c r="BG768" s="14"/>
      <c r="BH768" s="17"/>
      <c r="BI768" s="14"/>
      <c r="BJ768" s="17"/>
      <c r="BK768" s="14"/>
      <c r="BL768" s="17"/>
      <c r="BM768" s="14"/>
      <c r="BN768" s="17"/>
      <c r="BO768" s="14"/>
      <c r="BP768" s="17"/>
      <c r="BQ768" s="107">
        <f t="shared" si="1398"/>
        <v>0</v>
      </c>
      <c r="BR768" s="567"/>
      <c r="BS768" s="571"/>
      <c r="BT768" s="572"/>
      <c r="BU768" s="558"/>
      <c r="BV768" s="561"/>
      <c r="BW768" s="564"/>
      <c r="BX768" s="616"/>
    </row>
    <row r="769" spans="1:76" ht="15.75" thickBot="1" x14ac:dyDescent="0.3">
      <c r="A769" s="586"/>
      <c r="B769" s="590"/>
      <c r="C769" s="591"/>
      <c r="D769" s="605"/>
      <c r="E769" s="517"/>
      <c r="F769" s="518"/>
      <c r="G769" s="523"/>
      <c r="H769" s="524"/>
      <c r="I769" s="529"/>
      <c r="J769" s="530"/>
      <c r="K769" s="513"/>
      <c r="L769" s="534"/>
      <c r="M769" s="537"/>
      <c r="N769" s="541"/>
      <c r="O769" s="542"/>
      <c r="P769" s="483"/>
      <c r="Q769" s="484"/>
      <c r="R769" s="517"/>
      <c r="S769" s="518"/>
      <c r="T769" s="487"/>
      <c r="U769" s="488"/>
      <c r="V769" s="492"/>
      <c r="W769" s="483"/>
      <c r="X769" s="495"/>
      <c r="Y769" s="484"/>
      <c r="Z769" s="498"/>
      <c r="AA769" s="502"/>
      <c r="AB769" s="503"/>
      <c r="AC769" s="471" t="s">
        <v>259</v>
      </c>
      <c r="AD769" s="472"/>
      <c r="AE769" s="473"/>
      <c r="AF769" s="100"/>
      <c r="AG769" s="100"/>
      <c r="AH769" s="100"/>
      <c r="AI769" s="100"/>
      <c r="AJ769" s="100"/>
      <c r="AK769" s="100"/>
      <c r="AL769" s="100"/>
      <c r="AM769" s="100"/>
      <c r="AN769" s="100"/>
      <c r="AO769" s="100"/>
      <c r="AP769" s="100"/>
      <c r="AQ769" s="101"/>
      <c r="AR769" s="104">
        <f t="shared" ref="AR769:AR770" si="1439">SUM(AF769:AQ769)</f>
        <v>0</v>
      </c>
      <c r="AS769" s="128" t="s">
        <v>261</v>
      </c>
      <c r="AT769" s="129"/>
      <c r="AU769" s="129"/>
      <c r="AV769" s="129"/>
      <c r="AW769" s="130"/>
      <c r="AX769" s="126">
        <f t="shared" si="1437"/>
        <v>0</v>
      </c>
      <c r="AY769" s="143" t="s">
        <v>261</v>
      </c>
      <c r="AZ769" s="139"/>
      <c r="BA769" s="139"/>
      <c r="BB769" s="136">
        <f t="shared" si="1438"/>
        <v>0</v>
      </c>
      <c r="BC769" s="474" t="s">
        <v>262</v>
      </c>
      <c r="BD769" s="475"/>
      <c r="BE769" s="14"/>
      <c r="BF769" s="17"/>
      <c r="BG769" s="14"/>
      <c r="BH769" s="17"/>
      <c r="BI769" s="14"/>
      <c r="BJ769" s="17"/>
      <c r="BK769" s="14"/>
      <c r="BL769" s="17"/>
      <c r="BM769" s="14"/>
      <c r="BN769" s="17"/>
      <c r="BO769" s="14"/>
      <c r="BP769" s="17"/>
      <c r="BQ769" s="108">
        <f t="shared" si="1398"/>
        <v>0</v>
      </c>
      <c r="BR769" s="567"/>
      <c r="BS769" s="571"/>
      <c r="BT769" s="572"/>
      <c r="BU769" s="558"/>
      <c r="BV769" s="561"/>
      <c r="BW769" s="564"/>
      <c r="BX769" s="616"/>
    </row>
    <row r="770" spans="1:76" ht="15.75" thickBot="1" x14ac:dyDescent="0.3">
      <c r="A770" s="587"/>
      <c r="B770" s="592"/>
      <c r="C770" s="593"/>
      <c r="D770" s="606"/>
      <c r="E770" s="519"/>
      <c r="F770" s="520"/>
      <c r="G770" s="525"/>
      <c r="H770" s="526"/>
      <c r="I770" s="531"/>
      <c r="J770" s="532"/>
      <c r="K770" s="514"/>
      <c r="L770" s="535"/>
      <c r="M770" s="538"/>
      <c r="N770" s="543"/>
      <c r="O770" s="544"/>
      <c r="P770" s="485"/>
      <c r="Q770" s="486"/>
      <c r="R770" s="519"/>
      <c r="S770" s="520"/>
      <c r="T770" s="489"/>
      <c r="U770" s="490"/>
      <c r="V770" s="493"/>
      <c r="W770" s="485"/>
      <c r="X770" s="496"/>
      <c r="Y770" s="486"/>
      <c r="Z770" s="499"/>
      <c r="AA770" s="504"/>
      <c r="AB770" s="505"/>
      <c r="AC770" s="476" t="s">
        <v>261</v>
      </c>
      <c r="AD770" s="477"/>
      <c r="AE770" s="478"/>
      <c r="AF770" s="102"/>
      <c r="AG770" s="102"/>
      <c r="AH770" s="102"/>
      <c r="AI770" s="102"/>
      <c r="AJ770" s="102"/>
      <c r="AK770" s="102"/>
      <c r="AL770" s="102"/>
      <c r="AM770" s="102"/>
      <c r="AN770" s="102"/>
      <c r="AO770" s="102"/>
      <c r="AP770" s="102"/>
      <c r="AQ770" s="103"/>
      <c r="AR770" s="105">
        <f t="shared" si="1439"/>
        <v>0</v>
      </c>
      <c r="AS770" s="131" t="s">
        <v>161</v>
      </c>
      <c r="AT770" s="132">
        <f t="shared" ref="AT770:AX770" si="1440">SUM(AT767:AT769)</f>
        <v>0</v>
      </c>
      <c r="AU770" s="132">
        <f t="shared" si="1440"/>
        <v>0</v>
      </c>
      <c r="AV770" s="132">
        <f t="shared" si="1440"/>
        <v>0</v>
      </c>
      <c r="AW770" s="133">
        <f t="shared" si="1440"/>
        <v>0</v>
      </c>
      <c r="AX770" s="127">
        <f t="shared" si="1440"/>
        <v>0</v>
      </c>
      <c r="AY770" s="144" t="s">
        <v>161</v>
      </c>
      <c r="AZ770" s="140">
        <f t="shared" ref="AZ770:BB770" si="1441">SUM(AZ767:AZ769)</f>
        <v>0</v>
      </c>
      <c r="BA770" s="140">
        <f t="shared" si="1441"/>
        <v>0</v>
      </c>
      <c r="BB770" s="140">
        <f t="shared" si="1441"/>
        <v>0</v>
      </c>
      <c r="BC770" s="479" t="s">
        <v>263</v>
      </c>
      <c r="BD770" s="480"/>
      <c r="BE770" s="15"/>
      <c r="BF770" s="18"/>
      <c r="BG770" s="15"/>
      <c r="BH770" s="18"/>
      <c r="BI770" s="15"/>
      <c r="BJ770" s="18"/>
      <c r="BK770" s="15"/>
      <c r="BL770" s="18"/>
      <c r="BM770" s="15"/>
      <c r="BN770" s="18"/>
      <c r="BO770" s="15"/>
      <c r="BP770" s="18"/>
      <c r="BQ770" s="109">
        <f t="shared" si="1398"/>
        <v>0</v>
      </c>
      <c r="BR770" s="568"/>
      <c r="BS770" s="573"/>
      <c r="BT770" s="574"/>
      <c r="BU770" s="559"/>
      <c r="BV770" s="562"/>
      <c r="BW770" s="565"/>
      <c r="BX770" s="617"/>
    </row>
    <row r="771" spans="1:76" ht="15.75" thickTop="1" x14ac:dyDescent="0.25">
      <c r="A771" s="585">
        <v>191</v>
      </c>
      <c r="B771" s="588"/>
      <c r="C771" s="589"/>
      <c r="D771" s="604"/>
      <c r="E771" s="515"/>
      <c r="F771" s="516"/>
      <c r="G771" s="521"/>
      <c r="H771" s="522"/>
      <c r="I771" s="527"/>
      <c r="J771" s="528"/>
      <c r="K771" s="512" t="e">
        <f t="shared" ref="K771" si="1442">INT(YEARFRAC(I771,AA771))</f>
        <v>#VALUE!</v>
      </c>
      <c r="L771" s="533">
        <f t="shared" ref="L771" ca="1" si="1443">INT(YEARFRAC(I771,TODAY()))</f>
        <v>121</v>
      </c>
      <c r="M771" s="536"/>
      <c r="N771" s="539"/>
      <c r="O771" s="540"/>
      <c r="P771" s="481"/>
      <c r="Q771" s="482"/>
      <c r="R771" s="515"/>
      <c r="S771" s="516"/>
      <c r="T771" s="487"/>
      <c r="U771" s="488"/>
      <c r="V771" s="491"/>
      <c r="W771" s="481"/>
      <c r="X771" s="494"/>
      <c r="Y771" s="482"/>
      <c r="Z771" s="497"/>
      <c r="AA771" s="500" t="s">
        <v>432</v>
      </c>
      <c r="AB771" s="501"/>
      <c r="AC771" s="506" t="s">
        <v>257</v>
      </c>
      <c r="AD771" s="507"/>
      <c r="AE771" s="507"/>
      <c r="AF771" s="510"/>
      <c r="AG771" s="510"/>
      <c r="AH771" s="510"/>
      <c r="AI771" s="510"/>
      <c r="AJ771" s="510"/>
      <c r="AK771" s="510"/>
      <c r="AL771" s="510"/>
      <c r="AM771" s="510"/>
      <c r="AN771" s="510"/>
      <c r="AO771" s="510"/>
      <c r="AP771" s="510"/>
      <c r="AQ771" s="465"/>
      <c r="AR771" s="467">
        <f t="shared" ref="AR771" si="1444">SUM(AF771:AQ772)</f>
        <v>0</v>
      </c>
      <c r="AS771" s="119" t="s">
        <v>257</v>
      </c>
      <c r="AT771" s="120"/>
      <c r="AU771" s="120"/>
      <c r="AV771" s="120"/>
      <c r="AW771" s="121"/>
      <c r="AX771" s="125">
        <f t="shared" ref="AX771:AX773" si="1445">SUM(AT771:AW771)</f>
        <v>0</v>
      </c>
      <c r="AY771" s="141" t="s">
        <v>257</v>
      </c>
      <c r="AZ771" s="137"/>
      <c r="BA771" s="137"/>
      <c r="BB771" s="134">
        <f t="shared" ref="BB771:BB773" si="1446">AZ771-BA771</f>
        <v>0</v>
      </c>
      <c r="BC771" s="469" t="s">
        <v>258</v>
      </c>
      <c r="BD771" s="470"/>
      <c r="BE771" s="13"/>
      <c r="BF771" s="16"/>
      <c r="BG771" s="13"/>
      <c r="BH771" s="16"/>
      <c r="BI771" s="13"/>
      <c r="BJ771" s="16"/>
      <c r="BK771" s="13"/>
      <c r="BL771" s="16"/>
      <c r="BM771" s="13"/>
      <c r="BN771" s="16"/>
      <c r="BO771" s="13"/>
      <c r="BP771" s="16"/>
      <c r="BQ771" s="106">
        <f t="shared" si="1398"/>
        <v>0</v>
      </c>
      <c r="BR771" s="566"/>
      <c r="BS771" s="569"/>
      <c r="BT771" s="570"/>
      <c r="BU771" s="557"/>
      <c r="BV771" s="560"/>
      <c r="BW771" s="563"/>
      <c r="BX771" s="615"/>
    </row>
    <row r="772" spans="1:76" x14ac:dyDescent="0.25">
      <c r="A772" s="586"/>
      <c r="B772" s="590"/>
      <c r="C772" s="591"/>
      <c r="D772" s="605"/>
      <c r="E772" s="517"/>
      <c r="F772" s="518"/>
      <c r="G772" s="523"/>
      <c r="H772" s="524"/>
      <c r="I772" s="529"/>
      <c r="J772" s="530"/>
      <c r="K772" s="513"/>
      <c r="L772" s="534"/>
      <c r="M772" s="537"/>
      <c r="N772" s="541"/>
      <c r="O772" s="542"/>
      <c r="P772" s="483"/>
      <c r="Q772" s="484"/>
      <c r="R772" s="517"/>
      <c r="S772" s="518"/>
      <c r="T772" s="487"/>
      <c r="U772" s="488"/>
      <c r="V772" s="492"/>
      <c r="W772" s="483"/>
      <c r="X772" s="495"/>
      <c r="Y772" s="484"/>
      <c r="Z772" s="498"/>
      <c r="AA772" s="502"/>
      <c r="AB772" s="503"/>
      <c r="AC772" s="508"/>
      <c r="AD772" s="509"/>
      <c r="AE772" s="509"/>
      <c r="AF772" s="511"/>
      <c r="AG772" s="511"/>
      <c r="AH772" s="511"/>
      <c r="AI772" s="511"/>
      <c r="AJ772" s="511"/>
      <c r="AK772" s="511"/>
      <c r="AL772" s="511"/>
      <c r="AM772" s="511"/>
      <c r="AN772" s="511"/>
      <c r="AO772" s="511"/>
      <c r="AP772" s="511"/>
      <c r="AQ772" s="466"/>
      <c r="AR772" s="468"/>
      <c r="AS772" s="122" t="s">
        <v>259</v>
      </c>
      <c r="AT772" s="123"/>
      <c r="AU772" s="123"/>
      <c r="AV772" s="123"/>
      <c r="AW772" s="124"/>
      <c r="AX772" s="126">
        <f t="shared" si="1445"/>
        <v>0</v>
      </c>
      <c r="AY772" s="142" t="s">
        <v>259</v>
      </c>
      <c r="AZ772" s="138"/>
      <c r="BA772" s="138"/>
      <c r="BB772" s="135">
        <f t="shared" si="1446"/>
        <v>0</v>
      </c>
      <c r="BC772" s="474" t="s">
        <v>260</v>
      </c>
      <c r="BD772" s="475"/>
      <c r="BE772" s="14"/>
      <c r="BF772" s="17"/>
      <c r="BG772" s="14"/>
      <c r="BH772" s="17"/>
      <c r="BI772" s="14"/>
      <c r="BJ772" s="17"/>
      <c r="BK772" s="14"/>
      <c r="BL772" s="17"/>
      <c r="BM772" s="14"/>
      <c r="BN772" s="17"/>
      <c r="BO772" s="14"/>
      <c r="BP772" s="17"/>
      <c r="BQ772" s="107">
        <f t="shared" si="1398"/>
        <v>0</v>
      </c>
      <c r="BR772" s="567"/>
      <c r="BS772" s="571"/>
      <c r="BT772" s="572"/>
      <c r="BU772" s="558"/>
      <c r="BV772" s="561"/>
      <c r="BW772" s="564"/>
      <c r="BX772" s="616"/>
    </row>
    <row r="773" spans="1:76" ht="15.75" thickBot="1" x14ac:dyDescent="0.3">
      <c r="A773" s="586"/>
      <c r="B773" s="590"/>
      <c r="C773" s="591"/>
      <c r="D773" s="605"/>
      <c r="E773" s="517"/>
      <c r="F773" s="518"/>
      <c r="G773" s="523"/>
      <c r="H773" s="524"/>
      <c r="I773" s="529"/>
      <c r="J773" s="530"/>
      <c r="K773" s="513"/>
      <c r="L773" s="534"/>
      <c r="M773" s="537"/>
      <c r="N773" s="541"/>
      <c r="O773" s="542"/>
      <c r="P773" s="483"/>
      <c r="Q773" s="484"/>
      <c r="R773" s="517"/>
      <c r="S773" s="518"/>
      <c r="T773" s="487"/>
      <c r="U773" s="488"/>
      <c r="V773" s="492"/>
      <c r="W773" s="483"/>
      <c r="X773" s="495"/>
      <c r="Y773" s="484"/>
      <c r="Z773" s="498"/>
      <c r="AA773" s="502"/>
      <c r="AB773" s="503"/>
      <c r="AC773" s="471" t="s">
        <v>259</v>
      </c>
      <c r="AD773" s="472"/>
      <c r="AE773" s="473"/>
      <c r="AF773" s="100"/>
      <c r="AG773" s="100"/>
      <c r="AH773" s="100"/>
      <c r="AI773" s="100"/>
      <c r="AJ773" s="100"/>
      <c r="AK773" s="100"/>
      <c r="AL773" s="100"/>
      <c r="AM773" s="100"/>
      <c r="AN773" s="100"/>
      <c r="AO773" s="100"/>
      <c r="AP773" s="100"/>
      <c r="AQ773" s="101"/>
      <c r="AR773" s="104">
        <f t="shared" ref="AR773:AR774" si="1447">SUM(AF773:AQ773)</f>
        <v>0</v>
      </c>
      <c r="AS773" s="128" t="s">
        <v>261</v>
      </c>
      <c r="AT773" s="129"/>
      <c r="AU773" s="129"/>
      <c r="AV773" s="129"/>
      <c r="AW773" s="130"/>
      <c r="AX773" s="126">
        <f t="shared" si="1445"/>
        <v>0</v>
      </c>
      <c r="AY773" s="143" t="s">
        <v>261</v>
      </c>
      <c r="AZ773" s="139"/>
      <c r="BA773" s="139"/>
      <c r="BB773" s="136">
        <f t="shared" si="1446"/>
        <v>0</v>
      </c>
      <c r="BC773" s="474" t="s">
        <v>262</v>
      </c>
      <c r="BD773" s="475"/>
      <c r="BE773" s="14"/>
      <c r="BF773" s="17"/>
      <c r="BG773" s="14"/>
      <c r="BH773" s="17"/>
      <c r="BI773" s="14"/>
      <c r="BJ773" s="17"/>
      <c r="BK773" s="14"/>
      <c r="BL773" s="17"/>
      <c r="BM773" s="14"/>
      <c r="BN773" s="17"/>
      <c r="BO773" s="14"/>
      <c r="BP773" s="17"/>
      <c r="BQ773" s="108">
        <f t="shared" si="1398"/>
        <v>0</v>
      </c>
      <c r="BR773" s="567"/>
      <c r="BS773" s="571"/>
      <c r="BT773" s="572"/>
      <c r="BU773" s="558"/>
      <c r="BV773" s="561"/>
      <c r="BW773" s="564"/>
      <c r="BX773" s="616"/>
    </row>
    <row r="774" spans="1:76" ht="15.75" thickBot="1" x14ac:dyDescent="0.3">
      <c r="A774" s="587"/>
      <c r="B774" s="592"/>
      <c r="C774" s="593"/>
      <c r="D774" s="606"/>
      <c r="E774" s="519"/>
      <c r="F774" s="520"/>
      <c r="G774" s="525"/>
      <c r="H774" s="526"/>
      <c r="I774" s="531"/>
      <c r="J774" s="532"/>
      <c r="K774" s="514"/>
      <c r="L774" s="535"/>
      <c r="M774" s="538"/>
      <c r="N774" s="543"/>
      <c r="O774" s="544"/>
      <c r="P774" s="485"/>
      <c r="Q774" s="486"/>
      <c r="R774" s="519"/>
      <c r="S774" s="520"/>
      <c r="T774" s="489"/>
      <c r="U774" s="490"/>
      <c r="V774" s="493"/>
      <c r="W774" s="485"/>
      <c r="X774" s="496"/>
      <c r="Y774" s="486"/>
      <c r="Z774" s="499"/>
      <c r="AA774" s="504"/>
      <c r="AB774" s="505"/>
      <c r="AC774" s="476" t="s">
        <v>261</v>
      </c>
      <c r="AD774" s="477"/>
      <c r="AE774" s="478"/>
      <c r="AF774" s="102"/>
      <c r="AG774" s="102"/>
      <c r="AH774" s="102"/>
      <c r="AI774" s="102"/>
      <c r="AJ774" s="102"/>
      <c r="AK774" s="102"/>
      <c r="AL774" s="102"/>
      <c r="AM774" s="102"/>
      <c r="AN774" s="102"/>
      <c r="AO774" s="102"/>
      <c r="AP774" s="102"/>
      <c r="AQ774" s="103"/>
      <c r="AR774" s="105">
        <f t="shared" si="1447"/>
        <v>0</v>
      </c>
      <c r="AS774" s="131" t="s">
        <v>161</v>
      </c>
      <c r="AT774" s="132">
        <f t="shared" ref="AT774:AX774" si="1448">SUM(AT771:AT773)</f>
        <v>0</v>
      </c>
      <c r="AU774" s="132">
        <f t="shared" si="1448"/>
        <v>0</v>
      </c>
      <c r="AV774" s="132">
        <f t="shared" si="1448"/>
        <v>0</v>
      </c>
      <c r="AW774" s="133">
        <f t="shared" si="1448"/>
        <v>0</v>
      </c>
      <c r="AX774" s="127">
        <f t="shared" si="1448"/>
        <v>0</v>
      </c>
      <c r="AY774" s="144" t="s">
        <v>161</v>
      </c>
      <c r="AZ774" s="140">
        <f t="shared" ref="AZ774:BB774" si="1449">SUM(AZ771:AZ773)</f>
        <v>0</v>
      </c>
      <c r="BA774" s="140">
        <f t="shared" si="1449"/>
        <v>0</v>
      </c>
      <c r="BB774" s="140">
        <f t="shared" si="1449"/>
        <v>0</v>
      </c>
      <c r="BC774" s="479" t="s">
        <v>263</v>
      </c>
      <c r="BD774" s="480"/>
      <c r="BE774" s="15"/>
      <c r="BF774" s="18"/>
      <c r="BG774" s="15"/>
      <c r="BH774" s="18"/>
      <c r="BI774" s="15"/>
      <c r="BJ774" s="18"/>
      <c r="BK774" s="15"/>
      <c r="BL774" s="18"/>
      <c r="BM774" s="15"/>
      <c r="BN774" s="18"/>
      <c r="BO774" s="15"/>
      <c r="BP774" s="18"/>
      <c r="BQ774" s="109">
        <f t="shared" si="1398"/>
        <v>0</v>
      </c>
      <c r="BR774" s="568"/>
      <c r="BS774" s="573"/>
      <c r="BT774" s="574"/>
      <c r="BU774" s="559"/>
      <c r="BV774" s="562"/>
      <c r="BW774" s="565"/>
      <c r="BX774" s="617"/>
    </row>
    <row r="775" spans="1:76" ht="15.75" thickTop="1" x14ac:dyDescent="0.25">
      <c r="A775" s="585">
        <v>192</v>
      </c>
      <c r="B775" s="588"/>
      <c r="C775" s="589"/>
      <c r="D775" s="604"/>
      <c r="E775" s="515"/>
      <c r="F775" s="516"/>
      <c r="G775" s="521"/>
      <c r="H775" s="522"/>
      <c r="I775" s="527"/>
      <c r="J775" s="528"/>
      <c r="K775" s="512" t="e">
        <f t="shared" ref="K775" si="1450">INT(YEARFRAC(I775,AA775))</f>
        <v>#VALUE!</v>
      </c>
      <c r="L775" s="533">
        <f t="shared" ref="L775" ca="1" si="1451">INT(YEARFRAC(I775,TODAY()))</f>
        <v>121</v>
      </c>
      <c r="M775" s="536"/>
      <c r="N775" s="539"/>
      <c r="O775" s="540"/>
      <c r="P775" s="481"/>
      <c r="Q775" s="482"/>
      <c r="R775" s="515"/>
      <c r="S775" s="516"/>
      <c r="T775" s="487"/>
      <c r="U775" s="488"/>
      <c r="V775" s="491"/>
      <c r="W775" s="481"/>
      <c r="X775" s="494"/>
      <c r="Y775" s="482"/>
      <c r="Z775" s="497"/>
      <c r="AA775" s="500" t="s">
        <v>433</v>
      </c>
      <c r="AB775" s="501"/>
      <c r="AC775" s="506" t="s">
        <v>257</v>
      </c>
      <c r="AD775" s="507"/>
      <c r="AE775" s="507"/>
      <c r="AF775" s="510"/>
      <c r="AG775" s="510"/>
      <c r="AH775" s="510"/>
      <c r="AI775" s="510"/>
      <c r="AJ775" s="510"/>
      <c r="AK775" s="510"/>
      <c r="AL775" s="510"/>
      <c r="AM775" s="510"/>
      <c r="AN775" s="510"/>
      <c r="AO775" s="510"/>
      <c r="AP775" s="510"/>
      <c r="AQ775" s="465"/>
      <c r="AR775" s="467">
        <f t="shared" ref="AR775" si="1452">SUM(AF775:AQ776)</f>
        <v>0</v>
      </c>
      <c r="AS775" s="119" t="s">
        <v>257</v>
      </c>
      <c r="AT775" s="120"/>
      <c r="AU775" s="120"/>
      <c r="AV775" s="120"/>
      <c r="AW775" s="121"/>
      <c r="AX775" s="125">
        <f t="shared" ref="AX775:AX777" si="1453">SUM(AT775:AW775)</f>
        <v>0</v>
      </c>
      <c r="AY775" s="141" t="s">
        <v>257</v>
      </c>
      <c r="AZ775" s="137"/>
      <c r="BA775" s="137"/>
      <c r="BB775" s="134">
        <f t="shared" ref="BB775:BB777" si="1454">AZ775-BA775</f>
        <v>0</v>
      </c>
      <c r="BC775" s="469" t="s">
        <v>258</v>
      </c>
      <c r="BD775" s="470"/>
      <c r="BE775" s="13"/>
      <c r="BF775" s="16"/>
      <c r="BG775" s="13"/>
      <c r="BH775" s="16"/>
      <c r="BI775" s="13"/>
      <c r="BJ775" s="16"/>
      <c r="BK775" s="13"/>
      <c r="BL775" s="16"/>
      <c r="BM775" s="13"/>
      <c r="BN775" s="16"/>
      <c r="BO775" s="13"/>
      <c r="BP775" s="16"/>
      <c r="BQ775" s="106">
        <f t="shared" si="1398"/>
        <v>0</v>
      </c>
      <c r="BR775" s="566"/>
      <c r="BS775" s="569"/>
      <c r="BT775" s="570"/>
      <c r="BU775" s="557"/>
      <c r="BV775" s="560"/>
      <c r="BW775" s="563"/>
      <c r="BX775" s="615"/>
    </row>
    <row r="776" spans="1:76" x14ac:dyDescent="0.25">
      <c r="A776" s="586"/>
      <c r="B776" s="590"/>
      <c r="C776" s="591"/>
      <c r="D776" s="605"/>
      <c r="E776" s="517"/>
      <c r="F776" s="518"/>
      <c r="G776" s="523"/>
      <c r="H776" s="524"/>
      <c r="I776" s="529"/>
      <c r="J776" s="530"/>
      <c r="K776" s="513"/>
      <c r="L776" s="534"/>
      <c r="M776" s="537"/>
      <c r="N776" s="541"/>
      <c r="O776" s="542"/>
      <c r="P776" s="483"/>
      <c r="Q776" s="484"/>
      <c r="R776" s="517"/>
      <c r="S776" s="518"/>
      <c r="T776" s="487"/>
      <c r="U776" s="488"/>
      <c r="V776" s="492"/>
      <c r="W776" s="483"/>
      <c r="X776" s="495"/>
      <c r="Y776" s="484"/>
      <c r="Z776" s="498"/>
      <c r="AA776" s="502"/>
      <c r="AB776" s="503"/>
      <c r="AC776" s="508"/>
      <c r="AD776" s="509"/>
      <c r="AE776" s="509"/>
      <c r="AF776" s="511"/>
      <c r="AG776" s="511"/>
      <c r="AH776" s="511"/>
      <c r="AI776" s="511"/>
      <c r="AJ776" s="511"/>
      <c r="AK776" s="511"/>
      <c r="AL776" s="511"/>
      <c r="AM776" s="511"/>
      <c r="AN776" s="511"/>
      <c r="AO776" s="511"/>
      <c r="AP776" s="511"/>
      <c r="AQ776" s="466"/>
      <c r="AR776" s="468"/>
      <c r="AS776" s="122" t="s">
        <v>259</v>
      </c>
      <c r="AT776" s="123"/>
      <c r="AU776" s="123"/>
      <c r="AV776" s="123"/>
      <c r="AW776" s="124"/>
      <c r="AX776" s="126">
        <f t="shared" si="1453"/>
        <v>0</v>
      </c>
      <c r="AY776" s="142" t="s">
        <v>259</v>
      </c>
      <c r="AZ776" s="138"/>
      <c r="BA776" s="138"/>
      <c r="BB776" s="135">
        <f t="shared" si="1454"/>
        <v>0</v>
      </c>
      <c r="BC776" s="474" t="s">
        <v>260</v>
      </c>
      <c r="BD776" s="475"/>
      <c r="BE776" s="14"/>
      <c r="BF776" s="17"/>
      <c r="BG776" s="14"/>
      <c r="BH776" s="17"/>
      <c r="BI776" s="14"/>
      <c r="BJ776" s="17"/>
      <c r="BK776" s="14"/>
      <c r="BL776" s="17"/>
      <c r="BM776" s="14"/>
      <c r="BN776" s="17"/>
      <c r="BO776" s="14"/>
      <c r="BP776" s="17"/>
      <c r="BQ776" s="107">
        <f t="shared" si="1398"/>
        <v>0</v>
      </c>
      <c r="BR776" s="567"/>
      <c r="BS776" s="571"/>
      <c r="BT776" s="572"/>
      <c r="BU776" s="558"/>
      <c r="BV776" s="561"/>
      <c r="BW776" s="564"/>
      <c r="BX776" s="616"/>
    </row>
    <row r="777" spans="1:76" ht="15.75" thickBot="1" x14ac:dyDescent="0.3">
      <c r="A777" s="586"/>
      <c r="B777" s="590"/>
      <c r="C777" s="591"/>
      <c r="D777" s="605"/>
      <c r="E777" s="517"/>
      <c r="F777" s="518"/>
      <c r="G777" s="523"/>
      <c r="H777" s="524"/>
      <c r="I777" s="529"/>
      <c r="J777" s="530"/>
      <c r="K777" s="513"/>
      <c r="L777" s="534"/>
      <c r="M777" s="537"/>
      <c r="N777" s="541"/>
      <c r="O777" s="542"/>
      <c r="P777" s="483"/>
      <c r="Q777" s="484"/>
      <c r="R777" s="517"/>
      <c r="S777" s="518"/>
      <c r="T777" s="487"/>
      <c r="U777" s="488"/>
      <c r="V777" s="492"/>
      <c r="W777" s="483"/>
      <c r="X777" s="495"/>
      <c r="Y777" s="484"/>
      <c r="Z777" s="498"/>
      <c r="AA777" s="502"/>
      <c r="AB777" s="503"/>
      <c r="AC777" s="471" t="s">
        <v>259</v>
      </c>
      <c r="AD777" s="472"/>
      <c r="AE777" s="473"/>
      <c r="AF777" s="100"/>
      <c r="AG777" s="100"/>
      <c r="AH777" s="100"/>
      <c r="AI777" s="100"/>
      <c r="AJ777" s="100"/>
      <c r="AK777" s="100"/>
      <c r="AL777" s="100"/>
      <c r="AM777" s="100"/>
      <c r="AN777" s="100"/>
      <c r="AO777" s="100"/>
      <c r="AP777" s="100"/>
      <c r="AQ777" s="101"/>
      <c r="AR777" s="104">
        <f t="shared" ref="AR777:AR778" si="1455">SUM(AF777:AQ777)</f>
        <v>0</v>
      </c>
      <c r="AS777" s="128" t="s">
        <v>261</v>
      </c>
      <c r="AT777" s="129"/>
      <c r="AU777" s="129"/>
      <c r="AV777" s="129"/>
      <c r="AW777" s="130"/>
      <c r="AX777" s="126">
        <f t="shared" si="1453"/>
        <v>0</v>
      </c>
      <c r="AY777" s="143" t="s">
        <v>261</v>
      </c>
      <c r="AZ777" s="139"/>
      <c r="BA777" s="139"/>
      <c r="BB777" s="136">
        <f t="shared" si="1454"/>
        <v>0</v>
      </c>
      <c r="BC777" s="474" t="s">
        <v>262</v>
      </c>
      <c r="BD777" s="475"/>
      <c r="BE777" s="14"/>
      <c r="BF777" s="17"/>
      <c r="BG777" s="14"/>
      <c r="BH777" s="17"/>
      <c r="BI777" s="14"/>
      <c r="BJ777" s="17"/>
      <c r="BK777" s="14"/>
      <c r="BL777" s="17"/>
      <c r="BM777" s="14"/>
      <c r="BN777" s="17"/>
      <c r="BO777" s="14"/>
      <c r="BP777" s="17"/>
      <c r="BQ777" s="108">
        <f t="shared" si="1398"/>
        <v>0</v>
      </c>
      <c r="BR777" s="567"/>
      <c r="BS777" s="571"/>
      <c r="BT777" s="572"/>
      <c r="BU777" s="558"/>
      <c r="BV777" s="561"/>
      <c r="BW777" s="564"/>
      <c r="BX777" s="616"/>
    </row>
    <row r="778" spans="1:76" ht="15.75" thickBot="1" x14ac:dyDescent="0.3">
      <c r="A778" s="587"/>
      <c r="B778" s="592"/>
      <c r="C778" s="593"/>
      <c r="D778" s="606"/>
      <c r="E778" s="519"/>
      <c r="F778" s="520"/>
      <c r="G778" s="525"/>
      <c r="H778" s="526"/>
      <c r="I778" s="531"/>
      <c r="J778" s="532"/>
      <c r="K778" s="514"/>
      <c r="L778" s="535"/>
      <c r="M778" s="538"/>
      <c r="N778" s="543"/>
      <c r="O778" s="544"/>
      <c r="P778" s="485"/>
      <c r="Q778" s="486"/>
      <c r="R778" s="519"/>
      <c r="S778" s="520"/>
      <c r="T778" s="489"/>
      <c r="U778" s="490"/>
      <c r="V778" s="493"/>
      <c r="W778" s="485"/>
      <c r="X778" s="496"/>
      <c r="Y778" s="486"/>
      <c r="Z778" s="499"/>
      <c r="AA778" s="504"/>
      <c r="AB778" s="505"/>
      <c r="AC778" s="476" t="s">
        <v>261</v>
      </c>
      <c r="AD778" s="477"/>
      <c r="AE778" s="478"/>
      <c r="AF778" s="102"/>
      <c r="AG778" s="102"/>
      <c r="AH778" s="102"/>
      <c r="AI778" s="102"/>
      <c r="AJ778" s="102"/>
      <c r="AK778" s="102"/>
      <c r="AL778" s="102"/>
      <c r="AM778" s="102"/>
      <c r="AN778" s="102"/>
      <c r="AO778" s="102"/>
      <c r="AP778" s="102"/>
      <c r="AQ778" s="103"/>
      <c r="AR778" s="105">
        <f t="shared" si="1455"/>
        <v>0</v>
      </c>
      <c r="AS778" s="131" t="s">
        <v>161</v>
      </c>
      <c r="AT778" s="132">
        <f t="shared" ref="AT778:AX778" si="1456">SUM(AT775:AT777)</f>
        <v>0</v>
      </c>
      <c r="AU778" s="132">
        <f t="shared" si="1456"/>
        <v>0</v>
      </c>
      <c r="AV778" s="132">
        <f t="shared" si="1456"/>
        <v>0</v>
      </c>
      <c r="AW778" s="133">
        <f t="shared" si="1456"/>
        <v>0</v>
      </c>
      <c r="AX778" s="127">
        <f t="shared" si="1456"/>
        <v>0</v>
      </c>
      <c r="AY778" s="144" t="s">
        <v>161</v>
      </c>
      <c r="AZ778" s="140">
        <f t="shared" ref="AZ778:BB778" si="1457">SUM(AZ775:AZ777)</f>
        <v>0</v>
      </c>
      <c r="BA778" s="140">
        <f t="shared" si="1457"/>
        <v>0</v>
      </c>
      <c r="BB778" s="140">
        <f t="shared" si="1457"/>
        <v>0</v>
      </c>
      <c r="BC778" s="479" t="s">
        <v>263</v>
      </c>
      <c r="BD778" s="480"/>
      <c r="BE778" s="15"/>
      <c r="BF778" s="18"/>
      <c r="BG778" s="15"/>
      <c r="BH778" s="18"/>
      <c r="BI778" s="15"/>
      <c r="BJ778" s="18"/>
      <c r="BK778" s="15"/>
      <c r="BL778" s="18"/>
      <c r="BM778" s="15"/>
      <c r="BN778" s="18"/>
      <c r="BO778" s="15"/>
      <c r="BP778" s="18"/>
      <c r="BQ778" s="109">
        <f t="shared" si="1398"/>
        <v>0</v>
      </c>
      <c r="BR778" s="568"/>
      <c r="BS778" s="573"/>
      <c r="BT778" s="574"/>
      <c r="BU778" s="559"/>
      <c r="BV778" s="562"/>
      <c r="BW778" s="565"/>
      <c r="BX778" s="617"/>
    </row>
    <row r="779" spans="1:76" ht="15.75" thickTop="1" x14ac:dyDescent="0.25">
      <c r="A779" s="585">
        <v>193</v>
      </c>
      <c r="B779" s="588"/>
      <c r="C779" s="589"/>
      <c r="D779" s="604"/>
      <c r="E779" s="515"/>
      <c r="F779" s="516"/>
      <c r="G779" s="521"/>
      <c r="H779" s="522"/>
      <c r="I779" s="527"/>
      <c r="J779" s="528"/>
      <c r="K779" s="512" t="e">
        <f t="shared" ref="K779" si="1458">INT(YEARFRAC(I779,AA779))</f>
        <v>#VALUE!</v>
      </c>
      <c r="L779" s="533">
        <f t="shared" ref="L779" ca="1" si="1459">INT(YEARFRAC(I779,TODAY()))</f>
        <v>121</v>
      </c>
      <c r="M779" s="536"/>
      <c r="N779" s="539"/>
      <c r="O779" s="540"/>
      <c r="P779" s="481"/>
      <c r="Q779" s="482"/>
      <c r="R779" s="515"/>
      <c r="S779" s="516"/>
      <c r="T779" s="487"/>
      <c r="U779" s="488"/>
      <c r="V779" s="491"/>
      <c r="W779" s="481"/>
      <c r="X779" s="494"/>
      <c r="Y779" s="482"/>
      <c r="Z779" s="497"/>
      <c r="AA779" s="500" t="s">
        <v>434</v>
      </c>
      <c r="AB779" s="501"/>
      <c r="AC779" s="506" t="s">
        <v>257</v>
      </c>
      <c r="AD779" s="507"/>
      <c r="AE779" s="507"/>
      <c r="AF779" s="510"/>
      <c r="AG779" s="510"/>
      <c r="AH779" s="510"/>
      <c r="AI779" s="510"/>
      <c r="AJ779" s="510"/>
      <c r="AK779" s="510"/>
      <c r="AL779" s="510"/>
      <c r="AM779" s="510"/>
      <c r="AN779" s="510"/>
      <c r="AO779" s="510"/>
      <c r="AP779" s="510"/>
      <c r="AQ779" s="465"/>
      <c r="AR779" s="467">
        <f t="shared" ref="AR779" si="1460">SUM(AF779:AQ780)</f>
        <v>0</v>
      </c>
      <c r="AS779" s="119" t="s">
        <v>257</v>
      </c>
      <c r="AT779" s="120"/>
      <c r="AU779" s="120"/>
      <c r="AV779" s="120"/>
      <c r="AW779" s="121"/>
      <c r="AX779" s="125">
        <f t="shared" ref="AX779:AX781" si="1461">SUM(AT779:AW779)</f>
        <v>0</v>
      </c>
      <c r="AY779" s="141" t="s">
        <v>257</v>
      </c>
      <c r="AZ779" s="137"/>
      <c r="BA779" s="137"/>
      <c r="BB779" s="134">
        <f t="shared" ref="BB779:BB781" si="1462">AZ779-BA779</f>
        <v>0</v>
      </c>
      <c r="BC779" s="469" t="s">
        <v>258</v>
      </c>
      <c r="BD779" s="470"/>
      <c r="BE779" s="13"/>
      <c r="BF779" s="16"/>
      <c r="BG779" s="13"/>
      <c r="BH779" s="16"/>
      <c r="BI779" s="13"/>
      <c r="BJ779" s="16"/>
      <c r="BK779" s="13"/>
      <c r="BL779" s="16"/>
      <c r="BM779" s="13"/>
      <c r="BN779" s="16"/>
      <c r="BO779" s="13"/>
      <c r="BP779" s="16"/>
      <c r="BQ779" s="106">
        <f t="shared" si="1398"/>
        <v>0</v>
      </c>
      <c r="BR779" s="566"/>
      <c r="BS779" s="569"/>
      <c r="BT779" s="570"/>
      <c r="BU779" s="557"/>
      <c r="BV779" s="560"/>
      <c r="BW779" s="563"/>
      <c r="BX779" s="615"/>
    </row>
    <row r="780" spans="1:76" x14ac:dyDescent="0.25">
      <c r="A780" s="586"/>
      <c r="B780" s="590"/>
      <c r="C780" s="591"/>
      <c r="D780" s="605"/>
      <c r="E780" s="517"/>
      <c r="F780" s="518"/>
      <c r="G780" s="523"/>
      <c r="H780" s="524"/>
      <c r="I780" s="529"/>
      <c r="J780" s="530"/>
      <c r="K780" s="513"/>
      <c r="L780" s="534"/>
      <c r="M780" s="537"/>
      <c r="N780" s="541"/>
      <c r="O780" s="542"/>
      <c r="P780" s="483"/>
      <c r="Q780" s="484"/>
      <c r="R780" s="517"/>
      <c r="S780" s="518"/>
      <c r="T780" s="487"/>
      <c r="U780" s="488"/>
      <c r="V780" s="492"/>
      <c r="W780" s="483"/>
      <c r="X780" s="495"/>
      <c r="Y780" s="484"/>
      <c r="Z780" s="498"/>
      <c r="AA780" s="502"/>
      <c r="AB780" s="503"/>
      <c r="AC780" s="508"/>
      <c r="AD780" s="509"/>
      <c r="AE780" s="509"/>
      <c r="AF780" s="511"/>
      <c r="AG780" s="511"/>
      <c r="AH780" s="511"/>
      <c r="AI780" s="511"/>
      <c r="AJ780" s="511"/>
      <c r="AK780" s="511"/>
      <c r="AL780" s="511"/>
      <c r="AM780" s="511"/>
      <c r="AN780" s="511"/>
      <c r="AO780" s="511"/>
      <c r="AP780" s="511"/>
      <c r="AQ780" s="466"/>
      <c r="AR780" s="468"/>
      <c r="AS780" s="122" t="s">
        <v>259</v>
      </c>
      <c r="AT780" s="123"/>
      <c r="AU780" s="123"/>
      <c r="AV780" s="123"/>
      <c r="AW780" s="124"/>
      <c r="AX780" s="126">
        <f t="shared" si="1461"/>
        <v>0</v>
      </c>
      <c r="AY780" s="142" t="s">
        <v>259</v>
      </c>
      <c r="AZ780" s="138"/>
      <c r="BA780" s="138"/>
      <c r="BB780" s="135">
        <f t="shared" si="1462"/>
        <v>0</v>
      </c>
      <c r="BC780" s="474" t="s">
        <v>260</v>
      </c>
      <c r="BD780" s="475"/>
      <c r="BE780" s="14"/>
      <c r="BF780" s="17"/>
      <c r="BG780" s="14"/>
      <c r="BH780" s="17"/>
      <c r="BI780" s="14"/>
      <c r="BJ780" s="17"/>
      <c r="BK780" s="14"/>
      <c r="BL780" s="17"/>
      <c r="BM780" s="14"/>
      <c r="BN780" s="17"/>
      <c r="BO780" s="14"/>
      <c r="BP780" s="17"/>
      <c r="BQ780" s="107">
        <f t="shared" si="1398"/>
        <v>0</v>
      </c>
      <c r="BR780" s="567"/>
      <c r="BS780" s="571"/>
      <c r="BT780" s="572"/>
      <c r="BU780" s="558"/>
      <c r="BV780" s="561"/>
      <c r="BW780" s="564"/>
      <c r="BX780" s="616"/>
    </row>
    <row r="781" spans="1:76" ht="15.75" thickBot="1" x14ac:dyDescent="0.3">
      <c r="A781" s="586"/>
      <c r="B781" s="590"/>
      <c r="C781" s="591"/>
      <c r="D781" s="605"/>
      <c r="E781" s="517"/>
      <c r="F781" s="518"/>
      <c r="G781" s="523"/>
      <c r="H781" s="524"/>
      <c r="I781" s="529"/>
      <c r="J781" s="530"/>
      <c r="K781" s="513"/>
      <c r="L781" s="534"/>
      <c r="M781" s="537"/>
      <c r="N781" s="541"/>
      <c r="O781" s="542"/>
      <c r="P781" s="483"/>
      <c r="Q781" s="484"/>
      <c r="R781" s="517"/>
      <c r="S781" s="518"/>
      <c r="T781" s="487"/>
      <c r="U781" s="488"/>
      <c r="V781" s="492"/>
      <c r="W781" s="483"/>
      <c r="X781" s="495"/>
      <c r="Y781" s="484"/>
      <c r="Z781" s="498"/>
      <c r="AA781" s="502"/>
      <c r="AB781" s="503"/>
      <c r="AC781" s="471" t="s">
        <v>259</v>
      </c>
      <c r="AD781" s="472"/>
      <c r="AE781" s="473"/>
      <c r="AF781" s="100"/>
      <c r="AG781" s="100"/>
      <c r="AH781" s="100"/>
      <c r="AI781" s="100"/>
      <c r="AJ781" s="100"/>
      <c r="AK781" s="100"/>
      <c r="AL781" s="100"/>
      <c r="AM781" s="100"/>
      <c r="AN781" s="100"/>
      <c r="AO781" s="100"/>
      <c r="AP781" s="100"/>
      <c r="AQ781" s="101"/>
      <c r="AR781" s="104">
        <f t="shared" ref="AR781:AR782" si="1463">SUM(AF781:AQ781)</f>
        <v>0</v>
      </c>
      <c r="AS781" s="128" t="s">
        <v>261</v>
      </c>
      <c r="AT781" s="129"/>
      <c r="AU781" s="129"/>
      <c r="AV781" s="129"/>
      <c r="AW781" s="130"/>
      <c r="AX781" s="126">
        <f t="shared" si="1461"/>
        <v>0</v>
      </c>
      <c r="AY781" s="143" t="s">
        <v>261</v>
      </c>
      <c r="AZ781" s="139"/>
      <c r="BA781" s="139"/>
      <c r="BB781" s="136">
        <f t="shared" si="1462"/>
        <v>0</v>
      </c>
      <c r="BC781" s="474" t="s">
        <v>262</v>
      </c>
      <c r="BD781" s="475"/>
      <c r="BE781" s="14"/>
      <c r="BF781" s="17"/>
      <c r="BG781" s="14"/>
      <c r="BH781" s="17"/>
      <c r="BI781" s="14"/>
      <c r="BJ781" s="17"/>
      <c r="BK781" s="14"/>
      <c r="BL781" s="17"/>
      <c r="BM781" s="14"/>
      <c r="BN781" s="17"/>
      <c r="BO781" s="14"/>
      <c r="BP781" s="17"/>
      <c r="BQ781" s="108">
        <f t="shared" si="1398"/>
        <v>0</v>
      </c>
      <c r="BR781" s="567"/>
      <c r="BS781" s="571"/>
      <c r="BT781" s="572"/>
      <c r="BU781" s="558"/>
      <c r="BV781" s="561"/>
      <c r="BW781" s="564"/>
      <c r="BX781" s="616"/>
    </row>
    <row r="782" spans="1:76" ht="15.75" thickBot="1" x14ac:dyDescent="0.3">
      <c r="A782" s="587"/>
      <c r="B782" s="592"/>
      <c r="C782" s="593"/>
      <c r="D782" s="606"/>
      <c r="E782" s="519"/>
      <c r="F782" s="520"/>
      <c r="G782" s="525"/>
      <c r="H782" s="526"/>
      <c r="I782" s="531"/>
      <c r="J782" s="532"/>
      <c r="K782" s="514"/>
      <c r="L782" s="535"/>
      <c r="M782" s="538"/>
      <c r="N782" s="543"/>
      <c r="O782" s="544"/>
      <c r="P782" s="485"/>
      <c r="Q782" s="486"/>
      <c r="R782" s="519"/>
      <c r="S782" s="520"/>
      <c r="T782" s="489"/>
      <c r="U782" s="490"/>
      <c r="V782" s="493"/>
      <c r="W782" s="485"/>
      <c r="X782" s="496"/>
      <c r="Y782" s="486"/>
      <c r="Z782" s="499"/>
      <c r="AA782" s="504"/>
      <c r="AB782" s="505"/>
      <c r="AC782" s="476" t="s">
        <v>261</v>
      </c>
      <c r="AD782" s="477"/>
      <c r="AE782" s="478"/>
      <c r="AF782" s="102"/>
      <c r="AG782" s="102"/>
      <c r="AH782" s="102"/>
      <c r="AI782" s="102"/>
      <c r="AJ782" s="102"/>
      <c r="AK782" s="102"/>
      <c r="AL782" s="102"/>
      <c r="AM782" s="102"/>
      <c r="AN782" s="102"/>
      <c r="AO782" s="102"/>
      <c r="AP782" s="102"/>
      <c r="AQ782" s="103"/>
      <c r="AR782" s="105">
        <f t="shared" si="1463"/>
        <v>0</v>
      </c>
      <c r="AS782" s="131" t="s">
        <v>161</v>
      </c>
      <c r="AT782" s="132">
        <f t="shared" ref="AT782:AX782" si="1464">SUM(AT779:AT781)</f>
        <v>0</v>
      </c>
      <c r="AU782" s="132">
        <f t="shared" si="1464"/>
        <v>0</v>
      </c>
      <c r="AV782" s="132">
        <f t="shared" si="1464"/>
        <v>0</v>
      </c>
      <c r="AW782" s="133">
        <f t="shared" si="1464"/>
        <v>0</v>
      </c>
      <c r="AX782" s="127">
        <f t="shared" si="1464"/>
        <v>0</v>
      </c>
      <c r="AY782" s="144" t="s">
        <v>161</v>
      </c>
      <c r="AZ782" s="140">
        <f t="shared" ref="AZ782:BB782" si="1465">SUM(AZ779:AZ781)</f>
        <v>0</v>
      </c>
      <c r="BA782" s="140">
        <f t="shared" si="1465"/>
        <v>0</v>
      </c>
      <c r="BB782" s="140">
        <f t="shared" si="1465"/>
        <v>0</v>
      </c>
      <c r="BC782" s="479" t="s">
        <v>263</v>
      </c>
      <c r="BD782" s="480"/>
      <c r="BE782" s="15"/>
      <c r="BF782" s="18"/>
      <c r="BG782" s="15"/>
      <c r="BH782" s="18"/>
      <c r="BI782" s="15"/>
      <c r="BJ782" s="18"/>
      <c r="BK782" s="15"/>
      <c r="BL782" s="18"/>
      <c r="BM782" s="15"/>
      <c r="BN782" s="18"/>
      <c r="BO782" s="15"/>
      <c r="BP782" s="18"/>
      <c r="BQ782" s="109">
        <f t="shared" si="1398"/>
        <v>0</v>
      </c>
      <c r="BR782" s="568"/>
      <c r="BS782" s="573"/>
      <c r="BT782" s="574"/>
      <c r="BU782" s="559"/>
      <c r="BV782" s="562"/>
      <c r="BW782" s="565"/>
      <c r="BX782" s="617"/>
    </row>
    <row r="783" spans="1:76" ht="15.75" thickTop="1" x14ac:dyDescent="0.25">
      <c r="A783" s="585">
        <v>194</v>
      </c>
      <c r="B783" s="588"/>
      <c r="C783" s="589"/>
      <c r="D783" s="604"/>
      <c r="E783" s="515"/>
      <c r="F783" s="516"/>
      <c r="G783" s="521"/>
      <c r="H783" s="522"/>
      <c r="I783" s="527"/>
      <c r="J783" s="528"/>
      <c r="K783" s="512" t="e">
        <f t="shared" ref="K783" si="1466">INT(YEARFRAC(I783,AA783))</f>
        <v>#VALUE!</v>
      </c>
      <c r="L783" s="533">
        <f t="shared" ref="L783" ca="1" si="1467">INT(YEARFRAC(I783,TODAY()))</f>
        <v>121</v>
      </c>
      <c r="M783" s="536"/>
      <c r="N783" s="539"/>
      <c r="O783" s="540"/>
      <c r="P783" s="481"/>
      <c r="Q783" s="482"/>
      <c r="R783" s="515"/>
      <c r="S783" s="516"/>
      <c r="T783" s="487"/>
      <c r="U783" s="488"/>
      <c r="V783" s="491"/>
      <c r="W783" s="481"/>
      <c r="X783" s="494"/>
      <c r="Y783" s="482"/>
      <c r="Z783" s="497"/>
      <c r="AA783" s="500" t="s">
        <v>435</v>
      </c>
      <c r="AB783" s="501"/>
      <c r="AC783" s="506" t="s">
        <v>257</v>
      </c>
      <c r="AD783" s="507"/>
      <c r="AE783" s="507"/>
      <c r="AF783" s="510"/>
      <c r="AG783" s="510"/>
      <c r="AH783" s="510"/>
      <c r="AI783" s="510"/>
      <c r="AJ783" s="510"/>
      <c r="AK783" s="510"/>
      <c r="AL783" s="510"/>
      <c r="AM783" s="510"/>
      <c r="AN783" s="510"/>
      <c r="AO783" s="510"/>
      <c r="AP783" s="510"/>
      <c r="AQ783" s="465"/>
      <c r="AR783" s="467">
        <f t="shared" ref="AR783" si="1468">SUM(AF783:AQ784)</f>
        <v>0</v>
      </c>
      <c r="AS783" s="119" t="s">
        <v>257</v>
      </c>
      <c r="AT783" s="120"/>
      <c r="AU783" s="120"/>
      <c r="AV783" s="120"/>
      <c r="AW783" s="121"/>
      <c r="AX783" s="125">
        <f t="shared" ref="AX783:AX785" si="1469">SUM(AT783:AW783)</f>
        <v>0</v>
      </c>
      <c r="AY783" s="141" t="s">
        <v>257</v>
      </c>
      <c r="AZ783" s="137"/>
      <c r="BA783" s="137"/>
      <c r="BB783" s="134">
        <f t="shared" ref="BB783:BB785" si="1470">AZ783-BA783</f>
        <v>0</v>
      </c>
      <c r="BC783" s="469" t="s">
        <v>258</v>
      </c>
      <c r="BD783" s="470"/>
      <c r="BE783" s="13"/>
      <c r="BF783" s="16"/>
      <c r="BG783" s="13"/>
      <c r="BH783" s="16"/>
      <c r="BI783" s="13"/>
      <c r="BJ783" s="16"/>
      <c r="BK783" s="13"/>
      <c r="BL783" s="16"/>
      <c r="BM783" s="13"/>
      <c r="BN783" s="16"/>
      <c r="BO783" s="13"/>
      <c r="BP783" s="16"/>
      <c r="BQ783" s="106">
        <f t="shared" si="1398"/>
        <v>0</v>
      </c>
      <c r="BR783" s="566"/>
      <c r="BS783" s="569"/>
      <c r="BT783" s="570"/>
      <c r="BU783" s="557"/>
      <c r="BV783" s="560"/>
      <c r="BW783" s="563"/>
      <c r="BX783" s="615"/>
    </row>
    <row r="784" spans="1:76" x14ac:dyDescent="0.25">
      <c r="A784" s="586"/>
      <c r="B784" s="590"/>
      <c r="C784" s="591"/>
      <c r="D784" s="605"/>
      <c r="E784" s="517"/>
      <c r="F784" s="518"/>
      <c r="G784" s="523"/>
      <c r="H784" s="524"/>
      <c r="I784" s="529"/>
      <c r="J784" s="530"/>
      <c r="K784" s="513"/>
      <c r="L784" s="534"/>
      <c r="M784" s="537"/>
      <c r="N784" s="541"/>
      <c r="O784" s="542"/>
      <c r="P784" s="483"/>
      <c r="Q784" s="484"/>
      <c r="R784" s="517"/>
      <c r="S784" s="518"/>
      <c r="T784" s="487"/>
      <c r="U784" s="488"/>
      <c r="V784" s="492"/>
      <c r="W784" s="483"/>
      <c r="X784" s="495"/>
      <c r="Y784" s="484"/>
      <c r="Z784" s="498"/>
      <c r="AA784" s="502"/>
      <c r="AB784" s="503"/>
      <c r="AC784" s="508"/>
      <c r="AD784" s="509"/>
      <c r="AE784" s="509"/>
      <c r="AF784" s="511"/>
      <c r="AG784" s="511"/>
      <c r="AH784" s="511"/>
      <c r="AI784" s="511"/>
      <c r="AJ784" s="511"/>
      <c r="AK784" s="511"/>
      <c r="AL784" s="511"/>
      <c r="AM784" s="511"/>
      <c r="AN784" s="511"/>
      <c r="AO784" s="511"/>
      <c r="AP784" s="511"/>
      <c r="AQ784" s="466"/>
      <c r="AR784" s="468"/>
      <c r="AS784" s="122" t="s">
        <v>259</v>
      </c>
      <c r="AT784" s="123"/>
      <c r="AU784" s="123"/>
      <c r="AV784" s="123"/>
      <c r="AW784" s="124"/>
      <c r="AX784" s="126">
        <f t="shared" si="1469"/>
        <v>0</v>
      </c>
      <c r="AY784" s="142" t="s">
        <v>259</v>
      </c>
      <c r="AZ784" s="138"/>
      <c r="BA784" s="138"/>
      <c r="BB784" s="135">
        <f t="shared" si="1470"/>
        <v>0</v>
      </c>
      <c r="BC784" s="474" t="s">
        <v>260</v>
      </c>
      <c r="BD784" s="475"/>
      <c r="BE784" s="14"/>
      <c r="BF784" s="17"/>
      <c r="BG784" s="14"/>
      <c r="BH784" s="17"/>
      <c r="BI784" s="14"/>
      <c r="BJ784" s="17"/>
      <c r="BK784" s="14"/>
      <c r="BL784" s="17"/>
      <c r="BM784" s="14"/>
      <c r="BN784" s="17"/>
      <c r="BO784" s="14"/>
      <c r="BP784" s="17"/>
      <c r="BQ784" s="107">
        <f t="shared" si="1398"/>
        <v>0</v>
      </c>
      <c r="BR784" s="567"/>
      <c r="BS784" s="571"/>
      <c r="BT784" s="572"/>
      <c r="BU784" s="558"/>
      <c r="BV784" s="561"/>
      <c r="BW784" s="564"/>
      <c r="BX784" s="616"/>
    </row>
    <row r="785" spans="1:76" ht="15.75" thickBot="1" x14ac:dyDescent="0.3">
      <c r="A785" s="586"/>
      <c r="B785" s="590"/>
      <c r="C785" s="591"/>
      <c r="D785" s="605"/>
      <c r="E785" s="517"/>
      <c r="F785" s="518"/>
      <c r="G785" s="523"/>
      <c r="H785" s="524"/>
      <c r="I785" s="529"/>
      <c r="J785" s="530"/>
      <c r="K785" s="513"/>
      <c r="L785" s="534"/>
      <c r="M785" s="537"/>
      <c r="N785" s="541"/>
      <c r="O785" s="542"/>
      <c r="P785" s="483"/>
      <c r="Q785" s="484"/>
      <c r="R785" s="517"/>
      <c r="S785" s="518"/>
      <c r="T785" s="487"/>
      <c r="U785" s="488"/>
      <c r="V785" s="492"/>
      <c r="W785" s="483"/>
      <c r="X785" s="495"/>
      <c r="Y785" s="484"/>
      <c r="Z785" s="498"/>
      <c r="AA785" s="502"/>
      <c r="AB785" s="503"/>
      <c r="AC785" s="471" t="s">
        <v>259</v>
      </c>
      <c r="AD785" s="472"/>
      <c r="AE785" s="473"/>
      <c r="AF785" s="100"/>
      <c r="AG785" s="100"/>
      <c r="AH785" s="100"/>
      <c r="AI785" s="100"/>
      <c r="AJ785" s="100"/>
      <c r="AK785" s="100"/>
      <c r="AL785" s="100"/>
      <c r="AM785" s="100"/>
      <c r="AN785" s="100"/>
      <c r="AO785" s="100"/>
      <c r="AP785" s="100"/>
      <c r="AQ785" s="101"/>
      <c r="AR785" s="104">
        <f t="shared" ref="AR785:AR786" si="1471">SUM(AF785:AQ785)</f>
        <v>0</v>
      </c>
      <c r="AS785" s="128" t="s">
        <v>261</v>
      </c>
      <c r="AT785" s="129"/>
      <c r="AU785" s="129"/>
      <c r="AV785" s="129"/>
      <c r="AW785" s="130"/>
      <c r="AX785" s="126">
        <f t="shared" si="1469"/>
        <v>0</v>
      </c>
      <c r="AY785" s="143" t="s">
        <v>261</v>
      </c>
      <c r="AZ785" s="139"/>
      <c r="BA785" s="139"/>
      <c r="BB785" s="136">
        <f t="shared" si="1470"/>
        <v>0</v>
      </c>
      <c r="BC785" s="474" t="s">
        <v>262</v>
      </c>
      <c r="BD785" s="475"/>
      <c r="BE785" s="14"/>
      <c r="BF785" s="17"/>
      <c r="BG785" s="14"/>
      <c r="BH785" s="17"/>
      <c r="BI785" s="14"/>
      <c r="BJ785" s="17"/>
      <c r="BK785" s="14"/>
      <c r="BL785" s="17"/>
      <c r="BM785" s="14"/>
      <c r="BN785" s="17"/>
      <c r="BO785" s="14"/>
      <c r="BP785" s="17"/>
      <c r="BQ785" s="108">
        <f t="shared" si="1398"/>
        <v>0</v>
      </c>
      <c r="BR785" s="567"/>
      <c r="BS785" s="571"/>
      <c r="BT785" s="572"/>
      <c r="BU785" s="558"/>
      <c r="BV785" s="561"/>
      <c r="BW785" s="564"/>
      <c r="BX785" s="616"/>
    </row>
    <row r="786" spans="1:76" ht="15.75" thickBot="1" x14ac:dyDescent="0.3">
      <c r="A786" s="587"/>
      <c r="B786" s="592"/>
      <c r="C786" s="593"/>
      <c r="D786" s="606"/>
      <c r="E786" s="519"/>
      <c r="F786" s="520"/>
      <c r="G786" s="525"/>
      <c r="H786" s="526"/>
      <c r="I786" s="531"/>
      <c r="J786" s="532"/>
      <c r="K786" s="514"/>
      <c r="L786" s="535"/>
      <c r="M786" s="538"/>
      <c r="N786" s="543"/>
      <c r="O786" s="544"/>
      <c r="P786" s="485"/>
      <c r="Q786" s="486"/>
      <c r="R786" s="519"/>
      <c r="S786" s="520"/>
      <c r="T786" s="489"/>
      <c r="U786" s="490"/>
      <c r="V786" s="493"/>
      <c r="W786" s="485"/>
      <c r="X786" s="496"/>
      <c r="Y786" s="486"/>
      <c r="Z786" s="499"/>
      <c r="AA786" s="504"/>
      <c r="AB786" s="505"/>
      <c r="AC786" s="476" t="s">
        <v>261</v>
      </c>
      <c r="AD786" s="477"/>
      <c r="AE786" s="478"/>
      <c r="AF786" s="102"/>
      <c r="AG786" s="102"/>
      <c r="AH786" s="102"/>
      <c r="AI786" s="102"/>
      <c r="AJ786" s="102"/>
      <c r="AK786" s="102"/>
      <c r="AL786" s="102"/>
      <c r="AM786" s="102"/>
      <c r="AN786" s="102"/>
      <c r="AO786" s="102"/>
      <c r="AP786" s="102"/>
      <c r="AQ786" s="103"/>
      <c r="AR786" s="105">
        <f t="shared" si="1471"/>
        <v>0</v>
      </c>
      <c r="AS786" s="131" t="s">
        <v>161</v>
      </c>
      <c r="AT786" s="132">
        <f t="shared" ref="AT786:AX786" si="1472">SUM(AT783:AT785)</f>
        <v>0</v>
      </c>
      <c r="AU786" s="132">
        <f t="shared" si="1472"/>
        <v>0</v>
      </c>
      <c r="AV786" s="132">
        <f t="shared" si="1472"/>
        <v>0</v>
      </c>
      <c r="AW786" s="133">
        <f t="shared" si="1472"/>
        <v>0</v>
      </c>
      <c r="AX786" s="127">
        <f t="shared" si="1472"/>
        <v>0</v>
      </c>
      <c r="AY786" s="144" t="s">
        <v>161</v>
      </c>
      <c r="AZ786" s="140">
        <f t="shared" ref="AZ786:BB786" si="1473">SUM(AZ783:AZ785)</f>
        <v>0</v>
      </c>
      <c r="BA786" s="140">
        <f t="shared" si="1473"/>
        <v>0</v>
      </c>
      <c r="BB786" s="140">
        <f t="shared" si="1473"/>
        <v>0</v>
      </c>
      <c r="BC786" s="479" t="s">
        <v>263</v>
      </c>
      <c r="BD786" s="480"/>
      <c r="BE786" s="15"/>
      <c r="BF786" s="18"/>
      <c r="BG786" s="15"/>
      <c r="BH786" s="18"/>
      <c r="BI786" s="15"/>
      <c r="BJ786" s="18"/>
      <c r="BK786" s="15"/>
      <c r="BL786" s="18"/>
      <c r="BM786" s="15"/>
      <c r="BN786" s="18"/>
      <c r="BO786" s="15"/>
      <c r="BP786" s="18"/>
      <c r="BQ786" s="109">
        <f t="shared" si="1398"/>
        <v>0</v>
      </c>
      <c r="BR786" s="568"/>
      <c r="BS786" s="573"/>
      <c r="BT786" s="574"/>
      <c r="BU786" s="559"/>
      <c r="BV786" s="562"/>
      <c r="BW786" s="565"/>
      <c r="BX786" s="617"/>
    </row>
    <row r="787" spans="1:76" ht="15.75" thickTop="1" x14ac:dyDescent="0.25">
      <c r="A787" s="585">
        <v>195</v>
      </c>
      <c r="B787" s="588"/>
      <c r="C787" s="589"/>
      <c r="D787" s="604"/>
      <c r="E787" s="515"/>
      <c r="F787" s="516"/>
      <c r="G787" s="521"/>
      <c r="H787" s="522"/>
      <c r="I787" s="527"/>
      <c r="J787" s="528"/>
      <c r="K787" s="512" t="e">
        <f t="shared" ref="K787" si="1474">INT(YEARFRAC(I787,AA787))</f>
        <v>#VALUE!</v>
      </c>
      <c r="L787" s="533">
        <f t="shared" ref="L787" ca="1" si="1475">INT(YEARFRAC(I787,TODAY()))</f>
        <v>121</v>
      </c>
      <c r="M787" s="536"/>
      <c r="N787" s="539"/>
      <c r="O787" s="540"/>
      <c r="P787" s="481"/>
      <c r="Q787" s="482"/>
      <c r="R787" s="515"/>
      <c r="S787" s="516"/>
      <c r="T787" s="487"/>
      <c r="U787" s="488"/>
      <c r="V787" s="491"/>
      <c r="W787" s="481"/>
      <c r="X787" s="494"/>
      <c r="Y787" s="482"/>
      <c r="Z787" s="497"/>
      <c r="AA787" s="500" t="s">
        <v>436</v>
      </c>
      <c r="AB787" s="501"/>
      <c r="AC787" s="506" t="s">
        <v>257</v>
      </c>
      <c r="AD787" s="507"/>
      <c r="AE787" s="507"/>
      <c r="AF787" s="510"/>
      <c r="AG787" s="510"/>
      <c r="AH787" s="510"/>
      <c r="AI787" s="510"/>
      <c r="AJ787" s="510"/>
      <c r="AK787" s="510"/>
      <c r="AL787" s="510"/>
      <c r="AM787" s="510"/>
      <c r="AN787" s="510"/>
      <c r="AO787" s="510"/>
      <c r="AP787" s="510"/>
      <c r="AQ787" s="465"/>
      <c r="AR787" s="467">
        <f t="shared" ref="AR787" si="1476">SUM(AF787:AQ788)</f>
        <v>0</v>
      </c>
      <c r="AS787" s="119" t="s">
        <v>257</v>
      </c>
      <c r="AT787" s="120"/>
      <c r="AU787" s="120"/>
      <c r="AV787" s="120"/>
      <c r="AW787" s="121"/>
      <c r="AX787" s="125">
        <f t="shared" ref="AX787:AX789" si="1477">SUM(AT787:AW787)</f>
        <v>0</v>
      </c>
      <c r="AY787" s="141" t="s">
        <v>257</v>
      </c>
      <c r="AZ787" s="137"/>
      <c r="BA787" s="137"/>
      <c r="BB787" s="134">
        <f t="shared" ref="BB787:BB789" si="1478">AZ787-BA787</f>
        <v>0</v>
      </c>
      <c r="BC787" s="469" t="s">
        <v>258</v>
      </c>
      <c r="BD787" s="470"/>
      <c r="BE787" s="13"/>
      <c r="BF787" s="16"/>
      <c r="BG787" s="13"/>
      <c r="BH787" s="16"/>
      <c r="BI787" s="13"/>
      <c r="BJ787" s="16"/>
      <c r="BK787" s="13"/>
      <c r="BL787" s="16"/>
      <c r="BM787" s="13"/>
      <c r="BN787" s="16"/>
      <c r="BO787" s="13"/>
      <c r="BP787" s="16"/>
      <c r="BQ787" s="106">
        <f t="shared" si="1398"/>
        <v>0</v>
      </c>
      <c r="BR787" s="566"/>
      <c r="BS787" s="569"/>
      <c r="BT787" s="570"/>
      <c r="BU787" s="557"/>
      <c r="BV787" s="560"/>
      <c r="BW787" s="563"/>
      <c r="BX787" s="615"/>
    </row>
    <row r="788" spans="1:76" x14ac:dyDescent="0.25">
      <c r="A788" s="586"/>
      <c r="B788" s="590"/>
      <c r="C788" s="591"/>
      <c r="D788" s="605"/>
      <c r="E788" s="517"/>
      <c r="F788" s="518"/>
      <c r="G788" s="523"/>
      <c r="H788" s="524"/>
      <c r="I788" s="529"/>
      <c r="J788" s="530"/>
      <c r="K788" s="513"/>
      <c r="L788" s="534"/>
      <c r="M788" s="537"/>
      <c r="N788" s="541"/>
      <c r="O788" s="542"/>
      <c r="P788" s="483"/>
      <c r="Q788" s="484"/>
      <c r="R788" s="517"/>
      <c r="S788" s="518"/>
      <c r="T788" s="487"/>
      <c r="U788" s="488"/>
      <c r="V788" s="492"/>
      <c r="W788" s="483"/>
      <c r="X788" s="495"/>
      <c r="Y788" s="484"/>
      <c r="Z788" s="498"/>
      <c r="AA788" s="502"/>
      <c r="AB788" s="503"/>
      <c r="AC788" s="508"/>
      <c r="AD788" s="509"/>
      <c r="AE788" s="509"/>
      <c r="AF788" s="511"/>
      <c r="AG788" s="511"/>
      <c r="AH788" s="511"/>
      <c r="AI788" s="511"/>
      <c r="AJ788" s="511"/>
      <c r="AK788" s="511"/>
      <c r="AL788" s="511"/>
      <c r="AM788" s="511"/>
      <c r="AN788" s="511"/>
      <c r="AO788" s="511"/>
      <c r="AP788" s="511"/>
      <c r="AQ788" s="466"/>
      <c r="AR788" s="468"/>
      <c r="AS788" s="122" t="s">
        <v>259</v>
      </c>
      <c r="AT788" s="123"/>
      <c r="AU788" s="123"/>
      <c r="AV788" s="123"/>
      <c r="AW788" s="124"/>
      <c r="AX788" s="126">
        <f t="shared" si="1477"/>
        <v>0</v>
      </c>
      <c r="AY788" s="142" t="s">
        <v>259</v>
      </c>
      <c r="AZ788" s="138"/>
      <c r="BA788" s="138"/>
      <c r="BB788" s="135">
        <f t="shared" si="1478"/>
        <v>0</v>
      </c>
      <c r="BC788" s="474" t="s">
        <v>260</v>
      </c>
      <c r="BD788" s="475"/>
      <c r="BE788" s="14"/>
      <c r="BF788" s="17"/>
      <c r="BG788" s="14"/>
      <c r="BH788" s="17"/>
      <c r="BI788" s="14"/>
      <c r="BJ788" s="17"/>
      <c r="BK788" s="14"/>
      <c r="BL788" s="17"/>
      <c r="BM788" s="14"/>
      <c r="BN788" s="17"/>
      <c r="BO788" s="14"/>
      <c r="BP788" s="17"/>
      <c r="BQ788" s="107">
        <f t="shared" si="1398"/>
        <v>0</v>
      </c>
      <c r="BR788" s="567"/>
      <c r="BS788" s="571"/>
      <c r="BT788" s="572"/>
      <c r="BU788" s="558"/>
      <c r="BV788" s="561"/>
      <c r="BW788" s="564"/>
      <c r="BX788" s="616"/>
    </row>
    <row r="789" spans="1:76" ht="15.75" thickBot="1" x14ac:dyDescent="0.3">
      <c r="A789" s="586"/>
      <c r="B789" s="590"/>
      <c r="C789" s="591"/>
      <c r="D789" s="605"/>
      <c r="E789" s="517"/>
      <c r="F789" s="518"/>
      <c r="G789" s="523"/>
      <c r="H789" s="524"/>
      <c r="I789" s="529"/>
      <c r="J789" s="530"/>
      <c r="K789" s="513"/>
      <c r="L789" s="534"/>
      <c r="M789" s="537"/>
      <c r="N789" s="541"/>
      <c r="O789" s="542"/>
      <c r="P789" s="483"/>
      <c r="Q789" s="484"/>
      <c r="R789" s="517"/>
      <c r="S789" s="518"/>
      <c r="T789" s="487"/>
      <c r="U789" s="488"/>
      <c r="V789" s="492"/>
      <c r="W789" s="483"/>
      <c r="X789" s="495"/>
      <c r="Y789" s="484"/>
      <c r="Z789" s="498"/>
      <c r="AA789" s="502"/>
      <c r="AB789" s="503"/>
      <c r="AC789" s="471" t="s">
        <v>259</v>
      </c>
      <c r="AD789" s="472"/>
      <c r="AE789" s="473"/>
      <c r="AF789" s="100"/>
      <c r="AG789" s="100"/>
      <c r="AH789" s="100"/>
      <c r="AI789" s="100"/>
      <c r="AJ789" s="100"/>
      <c r="AK789" s="100"/>
      <c r="AL789" s="100"/>
      <c r="AM789" s="100"/>
      <c r="AN789" s="100"/>
      <c r="AO789" s="100"/>
      <c r="AP789" s="100"/>
      <c r="AQ789" s="101"/>
      <c r="AR789" s="104">
        <f t="shared" ref="AR789:AR790" si="1479">SUM(AF789:AQ789)</f>
        <v>0</v>
      </c>
      <c r="AS789" s="128" t="s">
        <v>261</v>
      </c>
      <c r="AT789" s="129"/>
      <c r="AU789" s="129"/>
      <c r="AV789" s="129"/>
      <c r="AW789" s="130"/>
      <c r="AX789" s="126">
        <f t="shared" si="1477"/>
        <v>0</v>
      </c>
      <c r="AY789" s="143" t="s">
        <v>261</v>
      </c>
      <c r="AZ789" s="139"/>
      <c r="BA789" s="139"/>
      <c r="BB789" s="136">
        <f t="shared" si="1478"/>
        <v>0</v>
      </c>
      <c r="BC789" s="474" t="s">
        <v>262</v>
      </c>
      <c r="BD789" s="475"/>
      <c r="BE789" s="14"/>
      <c r="BF789" s="17"/>
      <c r="BG789" s="14"/>
      <c r="BH789" s="17"/>
      <c r="BI789" s="14"/>
      <c r="BJ789" s="17"/>
      <c r="BK789" s="14"/>
      <c r="BL789" s="17"/>
      <c r="BM789" s="14"/>
      <c r="BN789" s="17"/>
      <c r="BO789" s="14"/>
      <c r="BP789" s="17"/>
      <c r="BQ789" s="108">
        <f t="shared" si="1398"/>
        <v>0</v>
      </c>
      <c r="BR789" s="567"/>
      <c r="BS789" s="571"/>
      <c r="BT789" s="572"/>
      <c r="BU789" s="558"/>
      <c r="BV789" s="561"/>
      <c r="BW789" s="564"/>
      <c r="BX789" s="616"/>
    </row>
    <row r="790" spans="1:76" ht="15.75" thickBot="1" x14ac:dyDescent="0.3">
      <c r="A790" s="587"/>
      <c r="B790" s="592"/>
      <c r="C790" s="593"/>
      <c r="D790" s="606"/>
      <c r="E790" s="519"/>
      <c r="F790" s="520"/>
      <c r="G790" s="525"/>
      <c r="H790" s="526"/>
      <c r="I790" s="531"/>
      <c r="J790" s="532"/>
      <c r="K790" s="514"/>
      <c r="L790" s="535"/>
      <c r="M790" s="538"/>
      <c r="N790" s="543"/>
      <c r="O790" s="544"/>
      <c r="P790" s="485"/>
      <c r="Q790" s="486"/>
      <c r="R790" s="519"/>
      <c r="S790" s="520"/>
      <c r="T790" s="489"/>
      <c r="U790" s="490"/>
      <c r="V790" s="493"/>
      <c r="W790" s="485"/>
      <c r="X790" s="496"/>
      <c r="Y790" s="486"/>
      <c r="Z790" s="499"/>
      <c r="AA790" s="504"/>
      <c r="AB790" s="505"/>
      <c r="AC790" s="476" t="s">
        <v>261</v>
      </c>
      <c r="AD790" s="477"/>
      <c r="AE790" s="478"/>
      <c r="AF790" s="102"/>
      <c r="AG790" s="102"/>
      <c r="AH790" s="102"/>
      <c r="AI790" s="102"/>
      <c r="AJ790" s="102"/>
      <c r="AK790" s="102"/>
      <c r="AL790" s="102"/>
      <c r="AM790" s="102"/>
      <c r="AN790" s="102"/>
      <c r="AO790" s="102"/>
      <c r="AP790" s="102"/>
      <c r="AQ790" s="103"/>
      <c r="AR790" s="105">
        <f t="shared" si="1479"/>
        <v>0</v>
      </c>
      <c r="AS790" s="131" t="s">
        <v>161</v>
      </c>
      <c r="AT790" s="132">
        <f t="shared" ref="AT790:AX790" si="1480">SUM(AT787:AT789)</f>
        <v>0</v>
      </c>
      <c r="AU790" s="132">
        <f t="shared" si="1480"/>
        <v>0</v>
      </c>
      <c r="AV790" s="132">
        <f t="shared" si="1480"/>
        <v>0</v>
      </c>
      <c r="AW790" s="133">
        <f t="shared" si="1480"/>
        <v>0</v>
      </c>
      <c r="AX790" s="127">
        <f t="shared" si="1480"/>
        <v>0</v>
      </c>
      <c r="AY790" s="144" t="s">
        <v>161</v>
      </c>
      <c r="AZ790" s="140">
        <f t="shared" ref="AZ790:BB790" si="1481">SUM(AZ787:AZ789)</f>
        <v>0</v>
      </c>
      <c r="BA790" s="140">
        <f t="shared" si="1481"/>
        <v>0</v>
      </c>
      <c r="BB790" s="140">
        <f t="shared" si="1481"/>
        <v>0</v>
      </c>
      <c r="BC790" s="479" t="s">
        <v>263</v>
      </c>
      <c r="BD790" s="480"/>
      <c r="BE790" s="15"/>
      <c r="BF790" s="18"/>
      <c r="BG790" s="15"/>
      <c r="BH790" s="18"/>
      <c r="BI790" s="15"/>
      <c r="BJ790" s="18"/>
      <c r="BK790" s="15"/>
      <c r="BL790" s="18"/>
      <c r="BM790" s="15"/>
      <c r="BN790" s="18"/>
      <c r="BO790" s="15"/>
      <c r="BP790" s="18"/>
      <c r="BQ790" s="109">
        <f t="shared" si="1398"/>
        <v>0</v>
      </c>
      <c r="BR790" s="568"/>
      <c r="BS790" s="573"/>
      <c r="BT790" s="574"/>
      <c r="BU790" s="559"/>
      <c r="BV790" s="562"/>
      <c r="BW790" s="565"/>
      <c r="BX790" s="617"/>
    </row>
    <row r="791" spans="1:76" ht="15.75" thickTop="1" x14ac:dyDescent="0.25">
      <c r="A791" s="585">
        <v>196</v>
      </c>
      <c r="B791" s="588"/>
      <c r="C791" s="589"/>
      <c r="D791" s="604"/>
      <c r="E791" s="515"/>
      <c r="F791" s="516"/>
      <c r="G791" s="521"/>
      <c r="H791" s="522"/>
      <c r="I791" s="527"/>
      <c r="J791" s="528"/>
      <c r="K791" s="512" t="e">
        <f t="shared" ref="K791" si="1482">INT(YEARFRAC(I791,AA791))</f>
        <v>#VALUE!</v>
      </c>
      <c r="L791" s="533">
        <f t="shared" ref="L791" ca="1" si="1483">INT(YEARFRAC(I791,TODAY()))</f>
        <v>121</v>
      </c>
      <c r="M791" s="536"/>
      <c r="N791" s="539"/>
      <c r="O791" s="540"/>
      <c r="P791" s="481"/>
      <c r="Q791" s="482"/>
      <c r="R791" s="515"/>
      <c r="S791" s="516"/>
      <c r="T791" s="487"/>
      <c r="U791" s="488"/>
      <c r="V791" s="491"/>
      <c r="W791" s="481"/>
      <c r="X791" s="494"/>
      <c r="Y791" s="482"/>
      <c r="Z791" s="497"/>
      <c r="AA791" s="500" t="s">
        <v>437</v>
      </c>
      <c r="AB791" s="501"/>
      <c r="AC791" s="506" t="s">
        <v>257</v>
      </c>
      <c r="AD791" s="507"/>
      <c r="AE791" s="507"/>
      <c r="AF791" s="510"/>
      <c r="AG791" s="510"/>
      <c r="AH791" s="510"/>
      <c r="AI791" s="510"/>
      <c r="AJ791" s="510"/>
      <c r="AK791" s="510"/>
      <c r="AL791" s="510"/>
      <c r="AM791" s="510"/>
      <c r="AN791" s="510"/>
      <c r="AO791" s="510"/>
      <c r="AP791" s="510"/>
      <c r="AQ791" s="465"/>
      <c r="AR791" s="467">
        <f t="shared" ref="AR791" si="1484">SUM(AF791:AQ792)</f>
        <v>0</v>
      </c>
      <c r="AS791" s="119" t="s">
        <v>257</v>
      </c>
      <c r="AT791" s="120"/>
      <c r="AU791" s="120"/>
      <c r="AV791" s="120"/>
      <c r="AW791" s="121"/>
      <c r="AX791" s="125">
        <f t="shared" ref="AX791:AX793" si="1485">SUM(AT791:AW791)</f>
        <v>0</v>
      </c>
      <c r="AY791" s="141" t="s">
        <v>257</v>
      </c>
      <c r="AZ791" s="137"/>
      <c r="BA791" s="137"/>
      <c r="BB791" s="134">
        <f t="shared" ref="BB791:BB793" si="1486">AZ791-BA791</f>
        <v>0</v>
      </c>
      <c r="BC791" s="469" t="s">
        <v>258</v>
      </c>
      <c r="BD791" s="470"/>
      <c r="BE791" s="13"/>
      <c r="BF791" s="16"/>
      <c r="BG791" s="13"/>
      <c r="BH791" s="16"/>
      <c r="BI791" s="13"/>
      <c r="BJ791" s="16"/>
      <c r="BK791" s="13"/>
      <c r="BL791" s="16"/>
      <c r="BM791" s="13"/>
      <c r="BN791" s="16"/>
      <c r="BO791" s="13"/>
      <c r="BP791" s="16"/>
      <c r="BQ791" s="106">
        <f t="shared" si="1398"/>
        <v>0</v>
      </c>
      <c r="BR791" s="566"/>
      <c r="BS791" s="569"/>
      <c r="BT791" s="570"/>
      <c r="BU791" s="557"/>
      <c r="BV791" s="560"/>
      <c r="BW791" s="563"/>
      <c r="BX791" s="615"/>
    </row>
    <row r="792" spans="1:76" x14ac:dyDescent="0.25">
      <c r="A792" s="586"/>
      <c r="B792" s="590"/>
      <c r="C792" s="591"/>
      <c r="D792" s="605"/>
      <c r="E792" s="517"/>
      <c r="F792" s="518"/>
      <c r="G792" s="523"/>
      <c r="H792" s="524"/>
      <c r="I792" s="529"/>
      <c r="J792" s="530"/>
      <c r="K792" s="513"/>
      <c r="L792" s="534"/>
      <c r="M792" s="537"/>
      <c r="N792" s="541"/>
      <c r="O792" s="542"/>
      <c r="P792" s="483"/>
      <c r="Q792" s="484"/>
      <c r="R792" s="517"/>
      <c r="S792" s="518"/>
      <c r="T792" s="487"/>
      <c r="U792" s="488"/>
      <c r="V792" s="492"/>
      <c r="W792" s="483"/>
      <c r="X792" s="495"/>
      <c r="Y792" s="484"/>
      <c r="Z792" s="498"/>
      <c r="AA792" s="502"/>
      <c r="AB792" s="503"/>
      <c r="AC792" s="508"/>
      <c r="AD792" s="509"/>
      <c r="AE792" s="509"/>
      <c r="AF792" s="511"/>
      <c r="AG792" s="511"/>
      <c r="AH792" s="511"/>
      <c r="AI792" s="511"/>
      <c r="AJ792" s="511"/>
      <c r="AK792" s="511"/>
      <c r="AL792" s="511"/>
      <c r="AM792" s="511"/>
      <c r="AN792" s="511"/>
      <c r="AO792" s="511"/>
      <c r="AP792" s="511"/>
      <c r="AQ792" s="466"/>
      <c r="AR792" s="468"/>
      <c r="AS792" s="122" t="s">
        <v>259</v>
      </c>
      <c r="AT792" s="123"/>
      <c r="AU792" s="123"/>
      <c r="AV792" s="123"/>
      <c r="AW792" s="124"/>
      <c r="AX792" s="126">
        <f t="shared" si="1485"/>
        <v>0</v>
      </c>
      <c r="AY792" s="142" t="s">
        <v>259</v>
      </c>
      <c r="AZ792" s="138"/>
      <c r="BA792" s="138"/>
      <c r="BB792" s="135">
        <f t="shared" si="1486"/>
        <v>0</v>
      </c>
      <c r="BC792" s="474" t="s">
        <v>260</v>
      </c>
      <c r="BD792" s="475"/>
      <c r="BE792" s="14"/>
      <c r="BF792" s="17"/>
      <c r="BG792" s="14"/>
      <c r="BH792" s="17"/>
      <c r="BI792" s="14"/>
      <c r="BJ792" s="17"/>
      <c r="BK792" s="14"/>
      <c r="BL792" s="17"/>
      <c r="BM792" s="14"/>
      <c r="BN792" s="17"/>
      <c r="BO792" s="14"/>
      <c r="BP792" s="17"/>
      <c r="BQ792" s="107">
        <f t="shared" si="1398"/>
        <v>0</v>
      </c>
      <c r="BR792" s="567"/>
      <c r="BS792" s="571"/>
      <c r="BT792" s="572"/>
      <c r="BU792" s="558"/>
      <c r="BV792" s="561"/>
      <c r="BW792" s="564"/>
      <c r="BX792" s="616"/>
    </row>
    <row r="793" spans="1:76" ht="15.75" thickBot="1" x14ac:dyDescent="0.3">
      <c r="A793" s="586"/>
      <c r="B793" s="590"/>
      <c r="C793" s="591"/>
      <c r="D793" s="605"/>
      <c r="E793" s="517"/>
      <c r="F793" s="518"/>
      <c r="G793" s="523"/>
      <c r="H793" s="524"/>
      <c r="I793" s="529"/>
      <c r="J793" s="530"/>
      <c r="K793" s="513"/>
      <c r="L793" s="534"/>
      <c r="M793" s="537"/>
      <c r="N793" s="541"/>
      <c r="O793" s="542"/>
      <c r="P793" s="483"/>
      <c r="Q793" s="484"/>
      <c r="R793" s="517"/>
      <c r="S793" s="518"/>
      <c r="T793" s="487"/>
      <c r="U793" s="488"/>
      <c r="V793" s="492"/>
      <c r="W793" s="483"/>
      <c r="X793" s="495"/>
      <c r="Y793" s="484"/>
      <c r="Z793" s="498"/>
      <c r="AA793" s="502"/>
      <c r="AB793" s="503"/>
      <c r="AC793" s="471" t="s">
        <v>259</v>
      </c>
      <c r="AD793" s="472"/>
      <c r="AE793" s="473"/>
      <c r="AF793" s="100"/>
      <c r="AG793" s="100"/>
      <c r="AH793" s="100"/>
      <c r="AI793" s="100"/>
      <c r="AJ793" s="100"/>
      <c r="AK793" s="100"/>
      <c r="AL793" s="100"/>
      <c r="AM793" s="100"/>
      <c r="AN793" s="100"/>
      <c r="AO793" s="100"/>
      <c r="AP793" s="100"/>
      <c r="AQ793" s="101"/>
      <c r="AR793" s="104">
        <f t="shared" ref="AR793:AR794" si="1487">SUM(AF793:AQ793)</f>
        <v>0</v>
      </c>
      <c r="AS793" s="128" t="s">
        <v>261</v>
      </c>
      <c r="AT793" s="129"/>
      <c r="AU793" s="129"/>
      <c r="AV793" s="129"/>
      <c r="AW793" s="130"/>
      <c r="AX793" s="126">
        <f t="shared" si="1485"/>
        <v>0</v>
      </c>
      <c r="AY793" s="143" t="s">
        <v>261</v>
      </c>
      <c r="AZ793" s="139"/>
      <c r="BA793" s="139"/>
      <c r="BB793" s="136">
        <f t="shared" si="1486"/>
        <v>0</v>
      </c>
      <c r="BC793" s="474" t="s">
        <v>262</v>
      </c>
      <c r="BD793" s="475"/>
      <c r="BE793" s="14"/>
      <c r="BF793" s="17"/>
      <c r="BG793" s="14"/>
      <c r="BH793" s="17"/>
      <c r="BI793" s="14"/>
      <c r="BJ793" s="17"/>
      <c r="BK793" s="14"/>
      <c r="BL793" s="17"/>
      <c r="BM793" s="14"/>
      <c r="BN793" s="17"/>
      <c r="BO793" s="14"/>
      <c r="BP793" s="17"/>
      <c r="BQ793" s="108">
        <f t="shared" si="1398"/>
        <v>0</v>
      </c>
      <c r="BR793" s="567"/>
      <c r="BS793" s="571"/>
      <c r="BT793" s="572"/>
      <c r="BU793" s="558"/>
      <c r="BV793" s="561"/>
      <c r="BW793" s="564"/>
      <c r="BX793" s="616"/>
    </row>
    <row r="794" spans="1:76" ht="15.75" thickBot="1" x14ac:dyDescent="0.3">
      <c r="A794" s="587"/>
      <c r="B794" s="592"/>
      <c r="C794" s="593"/>
      <c r="D794" s="606"/>
      <c r="E794" s="519"/>
      <c r="F794" s="520"/>
      <c r="G794" s="525"/>
      <c r="H794" s="526"/>
      <c r="I794" s="531"/>
      <c r="J794" s="532"/>
      <c r="K794" s="514"/>
      <c r="L794" s="535"/>
      <c r="M794" s="538"/>
      <c r="N794" s="543"/>
      <c r="O794" s="544"/>
      <c r="P794" s="485"/>
      <c r="Q794" s="486"/>
      <c r="R794" s="519"/>
      <c r="S794" s="520"/>
      <c r="T794" s="489"/>
      <c r="U794" s="490"/>
      <c r="V794" s="493"/>
      <c r="W794" s="485"/>
      <c r="X794" s="496"/>
      <c r="Y794" s="486"/>
      <c r="Z794" s="499"/>
      <c r="AA794" s="504"/>
      <c r="AB794" s="505"/>
      <c r="AC794" s="476" t="s">
        <v>261</v>
      </c>
      <c r="AD794" s="477"/>
      <c r="AE794" s="478"/>
      <c r="AF794" s="102"/>
      <c r="AG794" s="102"/>
      <c r="AH794" s="102"/>
      <c r="AI794" s="102"/>
      <c r="AJ794" s="102"/>
      <c r="AK794" s="102"/>
      <c r="AL794" s="102"/>
      <c r="AM794" s="102"/>
      <c r="AN794" s="102"/>
      <c r="AO794" s="102"/>
      <c r="AP794" s="102"/>
      <c r="AQ794" s="103"/>
      <c r="AR794" s="105">
        <f t="shared" si="1487"/>
        <v>0</v>
      </c>
      <c r="AS794" s="131" t="s">
        <v>161</v>
      </c>
      <c r="AT794" s="132">
        <f t="shared" ref="AT794:AX794" si="1488">SUM(AT791:AT793)</f>
        <v>0</v>
      </c>
      <c r="AU794" s="132">
        <f t="shared" si="1488"/>
        <v>0</v>
      </c>
      <c r="AV794" s="132">
        <f t="shared" si="1488"/>
        <v>0</v>
      </c>
      <c r="AW794" s="133">
        <f t="shared" si="1488"/>
        <v>0</v>
      </c>
      <c r="AX794" s="127">
        <f t="shared" si="1488"/>
        <v>0</v>
      </c>
      <c r="AY794" s="144" t="s">
        <v>161</v>
      </c>
      <c r="AZ794" s="140">
        <f t="shared" ref="AZ794:BB794" si="1489">SUM(AZ791:AZ793)</f>
        <v>0</v>
      </c>
      <c r="BA794" s="140">
        <f t="shared" si="1489"/>
        <v>0</v>
      </c>
      <c r="BB794" s="140">
        <f t="shared" si="1489"/>
        <v>0</v>
      </c>
      <c r="BC794" s="479" t="s">
        <v>263</v>
      </c>
      <c r="BD794" s="480"/>
      <c r="BE794" s="15"/>
      <c r="BF794" s="18"/>
      <c r="BG794" s="15"/>
      <c r="BH794" s="18"/>
      <c r="BI794" s="15"/>
      <c r="BJ794" s="18"/>
      <c r="BK794" s="15"/>
      <c r="BL794" s="18"/>
      <c r="BM794" s="15"/>
      <c r="BN794" s="18"/>
      <c r="BO794" s="15"/>
      <c r="BP794" s="18"/>
      <c r="BQ794" s="109">
        <f t="shared" si="1398"/>
        <v>0</v>
      </c>
      <c r="BR794" s="568"/>
      <c r="BS794" s="573"/>
      <c r="BT794" s="574"/>
      <c r="BU794" s="559"/>
      <c r="BV794" s="562"/>
      <c r="BW794" s="565"/>
      <c r="BX794" s="617"/>
    </row>
    <row r="795" spans="1:76" ht="15.75" thickTop="1" x14ac:dyDescent="0.25">
      <c r="A795" s="585">
        <v>197</v>
      </c>
      <c r="B795" s="588"/>
      <c r="C795" s="589"/>
      <c r="D795" s="604"/>
      <c r="E795" s="515"/>
      <c r="F795" s="516"/>
      <c r="G795" s="521"/>
      <c r="H795" s="522"/>
      <c r="I795" s="527"/>
      <c r="J795" s="528"/>
      <c r="K795" s="512" t="e">
        <f t="shared" ref="K795" si="1490">INT(YEARFRAC(I795,AA795))</f>
        <v>#VALUE!</v>
      </c>
      <c r="L795" s="533">
        <f t="shared" ref="L795" ca="1" si="1491">INT(YEARFRAC(I795,TODAY()))</f>
        <v>121</v>
      </c>
      <c r="M795" s="536"/>
      <c r="N795" s="539"/>
      <c r="O795" s="540"/>
      <c r="P795" s="481"/>
      <c r="Q795" s="482"/>
      <c r="R795" s="515"/>
      <c r="S795" s="516"/>
      <c r="T795" s="487"/>
      <c r="U795" s="488"/>
      <c r="V795" s="491"/>
      <c r="W795" s="481"/>
      <c r="X795" s="494"/>
      <c r="Y795" s="482"/>
      <c r="Z795" s="497"/>
      <c r="AA795" s="500" t="s">
        <v>438</v>
      </c>
      <c r="AB795" s="501"/>
      <c r="AC795" s="506" t="s">
        <v>257</v>
      </c>
      <c r="AD795" s="507"/>
      <c r="AE795" s="507"/>
      <c r="AF795" s="510"/>
      <c r="AG795" s="510"/>
      <c r="AH795" s="510"/>
      <c r="AI795" s="510"/>
      <c r="AJ795" s="510"/>
      <c r="AK795" s="510"/>
      <c r="AL795" s="510"/>
      <c r="AM795" s="510"/>
      <c r="AN795" s="510"/>
      <c r="AO795" s="510"/>
      <c r="AP795" s="510"/>
      <c r="AQ795" s="465"/>
      <c r="AR795" s="467">
        <f t="shared" ref="AR795" si="1492">SUM(AF795:AQ796)</f>
        <v>0</v>
      </c>
      <c r="AS795" s="119" t="s">
        <v>257</v>
      </c>
      <c r="AT795" s="120"/>
      <c r="AU795" s="120"/>
      <c r="AV795" s="120"/>
      <c r="AW795" s="121"/>
      <c r="AX795" s="125">
        <f t="shared" ref="AX795:AX797" si="1493">SUM(AT795:AW795)</f>
        <v>0</v>
      </c>
      <c r="AY795" s="141" t="s">
        <v>257</v>
      </c>
      <c r="AZ795" s="137"/>
      <c r="BA795" s="137"/>
      <c r="BB795" s="134">
        <f t="shared" ref="BB795:BB797" si="1494">AZ795-BA795</f>
        <v>0</v>
      </c>
      <c r="BC795" s="469" t="s">
        <v>258</v>
      </c>
      <c r="BD795" s="470"/>
      <c r="BE795" s="13"/>
      <c r="BF795" s="16"/>
      <c r="BG795" s="13"/>
      <c r="BH795" s="16"/>
      <c r="BI795" s="13"/>
      <c r="BJ795" s="16"/>
      <c r="BK795" s="13"/>
      <c r="BL795" s="16"/>
      <c r="BM795" s="13"/>
      <c r="BN795" s="16"/>
      <c r="BO795" s="13"/>
      <c r="BP795" s="16"/>
      <c r="BQ795" s="106">
        <f t="shared" si="1398"/>
        <v>0</v>
      </c>
      <c r="BR795" s="566"/>
      <c r="BS795" s="569"/>
      <c r="BT795" s="570"/>
      <c r="BU795" s="557"/>
      <c r="BV795" s="560"/>
      <c r="BW795" s="563"/>
      <c r="BX795" s="615"/>
    </row>
    <row r="796" spans="1:76" x14ac:dyDescent="0.25">
      <c r="A796" s="586"/>
      <c r="B796" s="590"/>
      <c r="C796" s="591"/>
      <c r="D796" s="605"/>
      <c r="E796" s="517"/>
      <c r="F796" s="518"/>
      <c r="G796" s="523"/>
      <c r="H796" s="524"/>
      <c r="I796" s="529"/>
      <c r="J796" s="530"/>
      <c r="K796" s="513"/>
      <c r="L796" s="534"/>
      <c r="M796" s="537"/>
      <c r="N796" s="541"/>
      <c r="O796" s="542"/>
      <c r="P796" s="483"/>
      <c r="Q796" s="484"/>
      <c r="R796" s="517"/>
      <c r="S796" s="518"/>
      <c r="T796" s="487"/>
      <c r="U796" s="488"/>
      <c r="V796" s="492"/>
      <c r="W796" s="483"/>
      <c r="X796" s="495"/>
      <c r="Y796" s="484"/>
      <c r="Z796" s="498"/>
      <c r="AA796" s="502"/>
      <c r="AB796" s="503"/>
      <c r="AC796" s="508"/>
      <c r="AD796" s="509"/>
      <c r="AE796" s="509"/>
      <c r="AF796" s="511"/>
      <c r="AG796" s="511"/>
      <c r="AH796" s="511"/>
      <c r="AI796" s="511"/>
      <c r="AJ796" s="511"/>
      <c r="AK796" s="511"/>
      <c r="AL796" s="511"/>
      <c r="AM796" s="511"/>
      <c r="AN796" s="511"/>
      <c r="AO796" s="511"/>
      <c r="AP796" s="511"/>
      <c r="AQ796" s="466"/>
      <c r="AR796" s="468"/>
      <c r="AS796" s="122" t="s">
        <v>259</v>
      </c>
      <c r="AT796" s="123"/>
      <c r="AU796" s="123"/>
      <c r="AV796" s="123"/>
      <c r="AW796" s="124"/>
      <c r="AX796" s="126">
        <f t="shared" si="1493"/>
        <v>0</v>
      </c>
      <c r="AY796" s="142" t="s">
        <v>259</v>
      </c>
      <c r="AZ796" s="138"/>
      <c r="BA796" s="138"/>
      <c r="BB796" s="135">
        <f t="shared" si="1494"/>
        <v>0</v>
      </c>
      <c r="BC796" s="474" t="s">
        <v>260</v>
      </c>
      <c r="BD796" s="475"/>
      <c r="BE796" s="14"/>
      <c r="BF796" s="17"/>
      <c r="BG796" s="14"/>
      <c r="BH796" s="17"/>
      <c r="BI796" s="14"/>
      <c r="BJ796" s="17"/>
      <c r="BK796" s="14"/>
      <c r="BL796" s="17"/>
      <c r="BM796" s="14"/>
      <c r="BN796" s="17"/>
      <c r="BO796" s="14"/>
      <c r="BP796" s="17"/>
      <c r="BQ796" s="107">
        <f t="shared" si="1398"/>
        <v>0</v>
      </c>
      <c r="BR796" s="567"/>
      <c r="BS796" s="571"/>
      <c r="BT796" s="572"/>
      <c r="BU796" s="558"/>
      <c r="BV796" s="561"/>
      <c r="BW796" s="564"/>
      <c r="BX796" s="616"/>
    </row>
    <row r="797" spans="1:76" ht="15.75" thickBot="1" x14ac:dyDescent="0.3">
      <c r="A797" s="586"/>
      <c r="B797" s="590"/>
      <c r="C797" s="591"/>
      <c r="D797" s="605"/>
      <c r="E797" s="517"/>
      <c r="F797" s="518"/>
      <c r="G797" s="523"/>
      <c r="H797" s="524"/>
      <c r="I797" s="529"/>
      <c r="J797" s="530"/>
      <c r="K797" s="513"/>
      <c r="L797" s="534"/>
      <c r="M797" s="537"/>
      <c r="N797" s="541"/>
      <c r="O797" s="542"/>
      <c r="P797" s="483"/>
      <c r="Q797" s="484"/>
      <c r="R797" s="517"/>
      <c r="S797" s="518"/>
      <c r="T797" s="487"/>
      <c r="U797" s="488"/>
      <c r="V797" s="492"/>
      <c r="W797" s="483"/>
      <c r="X797" s="495"/>
      <c r="Y797" s="484"/>
      <c r="Z797" s="498"/>
      <c r="AA797" s="502"/>
      <c r="AB797" s="503"/>
      <c r="AC797" s="471" t="s">
        <v>259</v>
      </c>
      <c r="AD797" s="472"/>
      <c r="AE797" s="473"/>
      <c r="AF797" s="100"/>
      <c r="AG797" s="100"/>
      <c r="AH797" s="100"/>
      <c r="AI797" s="100"/>
      <c r="AJ797" s="100"/>
      <c r="AK797" s="100"/>
      <c r="AL797" s="100"/>
      <c r="AM797" s="100"/>
      <c r="AN797" s="100"/>
      <c r="AO797" s="100"/>
      <c r="AP797" s="100"/>
      <c r="AQ797" s="101"/>
      <c r="AR797" s="104">
        <f t="shared" ref="AR797:AR798" si="1495">SUM(AF797:AQ797)</f>
        <v>0</v>
      </c>
      <c r="AS797" s="128" t="s">
        <v>261</v>
      </c>
      <c r="AT797" s="129"/>
      <c r="AU797" s="129"/>
      <c r="AV797" s="129"/>
      <c r="AW797" s="130"/>
      <c r="AX797" s="126">
        <f t="shared" si="1493"/>
        <v>0</v>
      </c>
      <c r="AY797" s="143" t="s">
        <v>261</v>
      </c>
      <c r="AZ797" s="139"/>
      <c r="BA797" s="139"/>
      <c r="BB797" s="136">
        <f t="shared" si="1494"/>
        <v>0</v>
      </c>
      <c r="BC797" s="474" t="s">
        <v>262</v>
      </c>
      <c r="BD797" s="475"/>
      <c r="BE797" s="14"/>
      <c r="BF797" s="17"/>
      <c r="BG797" s="14"/>
      <c r="BH797" s="17"/>
      <c r="BI797" s="14"/>
      <c r="BJ797" s="17"/>
      <c r="BK797" s="14"/>
      <c r="BL797" s="17"/>
      <c r="BM797" s="14"/>
      <c r="BN797" s="17"/>
      <c r="BO797" s="14"/>
      <c r="BP797" s="17"/>
      <c r="BQ797" s="108">
        <f t="shared" si="1398"/>
        <v>0</v>
      </c>
      <c r="BR797" s="567"/>
      <c r="BS797" s="571"/>
      <c r="BT797" s="572"/>
      <c r="BU797" s="558"/>
      <c r="BV797" s="561"/>
      <c r="BW797" s="564"/>
      <c r="BX797" s="616"/>
    </row>
    <row r="798" spans="1:76" ht="15.75" thickBot="1" x14ac:dyDescent="0.3">
      <c r="A798" s="587"/>
      <c r="B798" s="592"/>
      <c r="C798" s="593"/>
      <c r="D798" s="606"/>
      <c r="E798" s="519"/>
      <c r="F798" s="520"/>
      <c r="G798" s="525"/>
      <c r="H798" s="526"/>
      <c r="I798" s="531"/>
      <c r="J798" s="532"/>
      <c r="K798" s="514"/>
      <c r="L798" s="535"/>
      <c r="M798" s="538"/>
      <c r="N798" s="543"/>
      <c r="O798" s="544"/>
      <c r="P798" s="485"/>
      <c r="Q798" s="486"/>
      <c r="R798" s="519"/>
      <c r="S798" s="520"/>
      <c r="T798" s="489"/>
      <c r="U798" s="490"/>
      <c r="V798" s="493"/>
      <c r="W798" s="485"/>
      <c r="X798" s="496"/>
      <c r="Y798" s="486"/>
      <c r="Z798" s="499"/>
      <c r="AA798" s="504"/>
      <c r="AB798" s="505"/>
      <c r="AC798" s="476" t="s">
        <v>261</v>
      </c>
      <c r="AD798" s="477"/>
      <c r="AE798" s="478"/>
      <c r="AF798" s="102"/>
      <c r="AG798" s="102"/>
      <c r="AH798" s="102"/>
      <c r="AI798" s="102"/>
      <c r="AJ798" s="102"/>
      <c r="AK798" s="102"/>
      <c r="AL798" s="102"/>
      <c r="AM798" s="102"/>
      <c r="AN798" s="102"/>
      <c r="AO798" s="102"/>
      <c r="AP798" s="102"/>
      <c r="AQ798" s="103"/>
      <c r="AR798" s="105">
        <f t="shared" si="1495"/>
        <v>0</v>
      </c>
      <c r="AS798" s="131" t="s">
        <v>161</v>
      </c>
      <c r="AT798" s="132">
        <f t="shared" ref="AT798:AX798" si="1496">SUM(AT795:AT797)</f>
        <v>0</v>
      </c>
      <c r="AU798" s="132">
        <f t="shared" si="1496"/>
        <v>0</v>
      </c>
      <c r="AV798" s="132">
        <f t="shared" si="1496"/>
        <v>0</v>
      </c>
      <c r="AW798" s="133">
        <f t="shared" si="1496"/>
        <v>0</v>
      </c>
      <c r="AX798" s="127">
        <f t="shared" si="1496"/>
        <v>0</v>
      </c>
      <c r="AY798" s="144" t="s">
        <v>161</v>
      </c>
      <c r="AZ798" s="140">
        <f t="shared" ref="AZ798:BB798" si="1497">SUM(AZ795:AZ797)</f>
        <v>0</v>
      </c>
      <c r="BA798" s="140">
        <f t="shared" si="1497"/>
        <v>0</v>
      </c>
      <c r="BB798" s="140">
        <f t="shared" si="1497"/>
        <v>0</v>
      </c>
      <c r="BC798" s="479" t="s">
        <v>263</v>
      </c>
      <c r="BD798" s="480"/>
      <c r="BE798" s="15"/>
      <c r="BF798" s="18"/>
      <c r="BG798" s="15"/>
      <c r="BH798" s="18"/>
      <c r="BI798" s="15"/>
      <c r="BJ798" s="18"/>
      <c r="BK798" s="15"/>
      <c r="BL798" s="18"/>
      <c r="BM798" s="15"/>
      <c r="BN798" s="18"/>
      <c r="BO798" s="15"/>
      <c r="BP798" s="18"/>
      <c r="BQ798" s="109">
        <f t="shared" si="1398"/>
        <v>0</v>
      </c>
      <c r="BR798" s="568"/>
      <c r="BS798" s="573"/>
      <c r="BT798" s="574"/>
      <c r="BU798" s="559"/>
      <c r="BV798" s="562"/>
      <c r="BW798" s="565"/>
      <c r="BX798" s="617"/>
    </row>
    <row r="799" spans="1:76" ht="15.75" thickTop="1" x14ac:dyDescent="0.25">
      <c r="A799" s="585">
        <v>198</v>
      </c>
      <c r="B799" s="588"/>
      <c r="C799" s="589"/>
      <c r="D799" s="604"/>
      <c r="E799" s="515"/>
      <c r="F799" s="516"/>
      <c r="G799" s="521"/>
      <c r="H799" s="522"/>
      <c r="I799" s="527"/>
      <c r="J799" s="528"/>
      <c r="K799" s="512" t="e">
        <f t="shared" ref="K799" si="1498">INT(YEARFRAC(I799,AA799))</f>
        <v>#VALUE!</v>
      </c>
      <c r="L799" s="533">
        <f t="shared" ref="L799" ca="1" si="1499">INT(YEARFRAC(I799,TODAY()))</f>
        <v>121</v>
      </c>
      <c r="M799" s="536"/>
      <c r="N799" s="539"/>
      <c r="O799" s="540"/>
      <c r="P799" s="481"/>
      <c r="Q799" s="482"/>
      <c r="R799" s="515"/>
      <c r="S799" s="516"/>
      <c r="T799" s="487"/>
      <c r="U799" s="488"/>
      <c r="V799" s="491"/>
      <c r="W799" s="481"/>
      <c r="X799" s="494"/>
      <c r="Y799" s="482"/>
      <c r="Z799" s="497"/>
      <c r="AA799" s="500" t="s">
        <v>439</v>
      </c>
      <c r="AB799" s="501"/>
      <c r="AC799" s="506" t="s">
        <v>257</v>
      </c>
      <c r="AD799" s="507"/>
      <c r="AE799" s="507"/>
      <c r="AF799" s="510"/>
      <c r="AG799" s="510"/>
      <c r="AH799" s="510"/>
      <c r="AI799" s="510"/>
      <c r="AJ799" s="510"/>
      <c r="AK799" s="510"/>
      <c r="AL799" s="510"/>
      <c r="AM799" s="510"/>
      <c r="AN799" s="510"/>
      <c r="AO799" s="510"/>
      <c r="AP799" s="510"/>
      <c r="AQ799" s="465"/>
      <c r="AR799" s="467">
        <f t="shared" ref="AR799" si="1500">SUM(AF799:AQ800)</f>
        <v>0</v>
      </c>
      <c r="AS799" s="119" t="s">
        <v>257</v>
      </c>
      <c r="AT799" s="120"/>
      <c r="AU799" s="120"/>
      <c r="AV799" s="120"/>
      <c r="AW799" s="121"/>
      <c r="AX799" s="125">
        <f t="shared" ref="AX799:AX801" si="1501">SUM(AT799:AW799)</f>
        <v>0</v>
      </c>
      <c r="AY799" s="141" t="s">
        <v>257</v>
      </c>
      <c r="AZ799" s="137"/>
      <c r="BA799" s="137"/>
      <c r="BB799" s="134">
        <f t="shared" ref="BB799:BB801" si="1502">AZ799-BA799</f>
        <v>0</v>
      </c>
      <c r="BC799" s="469" t="s">
        <v>258</v>
      </c>
      <c r="BD799" s="470"/>
      <c r="BE799" s="13"/>
      <c r="BF799" s="16"/>
      <c r="BG799" s="13"/>
      <c r="BH799" s="16"/>
      <c r="BI799" s="13"/>
      <c r="BJ799" s="16"/>
      <c r="BK799" s="13"/>
      <c r="BL799" s="16"/>
      <c r="BM799" s="13"/>
      <c r="BN799" s="16"/>
      <c r="BO799" s="13"/>
      <c r="BP799" s="16"/>
      <c r="BQ799" s="106">
        <f t="shared" si="1398"/>
        <v>0</v>
      </c>
      <c r="BR799" s="566"/>
      <c r="BS799" s="569"/>
      <c r="BT799" s="570"/>
      <c r="BU799" s="557"/>
      <c r="BV799" s="560"/>
      <c r="BW799" s="563"/>
      <c r="BX799" s="615"/>
    </row>
    <row r="800" spans="1:76" x14ac:dyDescent="0.25">
      <c r="A800" s="586"/>
      <c r="B800" s="590"/>
      <c r="C800" s="591"/>
      <c r="D800" s="605"/>
      <c r="E800" s="517"/>
      <c r="F800" s="518"/>
      <c r="G800" s="523"/>
      <c r="H800" s="524"/>
      <c r="I800" s="529"/>
      <c r="J800" s="530"/>
      <c r="K800" s="513"/>
      <c r="L800" s="534"/>
      <c r="M800" s="537"/>
      <c r="N800" s="541"/>
      <c r="O800" s="542"/>
      <c r="P800" s="483"/>
      <c r="Q800" s="484"/>
      <c r="R800" s="517"/>
      <c r="S800" s="518"/>
      <c r="T800" s="487"/>
      <c r="U800" s="488"/>
      <c r="V800" s="492"/>
      <c r="W800" s="483"/>
      <c r="X800" s="495"/>
      <c r="Y800" s="484"/>
      <c r="Z800" s="498"/>
      <c r="AA800" s="502"/>
      <c r="AB800" s="503"/>
      <c r="AC800" s="508"/>
      <c r="AD800" s="509"/>
      <c r="AE800" s="509"/>
      <c r="AF800" s="511"/>
      <c r="AG800" s="511"/>
      <c r="AH800" s="511"/>
      <c r="AI800" s="511"/>
      <c r="AJ800" s="511"/>
      <c r="AK800" s="511"/>
      <c r="AL800" s="511"/>
      <c r="AM800" s="511"/>
      <c r="AN800" s="511"/>
      <c r="AO800" s="511"/>
      <c r="AP800" s="511"/>
      <c r="AQ800" s="466"/>
      <c r="AR800" s="468"/>
      <c r="AS800" s="122" t="s">
        <v>259</v>
      </c>
      <c r="AT800" s="123"/>
      <c r="AU800" s="123"/>
      <c r="AV800" s="123"/>
      <c r="AW800" s="124"/>
      <c r="AX800" s="126">
        <f t="shared" si="1501"/>
        <v>0</v>
      </c>
      <c r="AY800" s="142" t="s">
        <v>259</v>
      </c>
      <c r="AZ800" s="138"/>
      <c r="BA800" s="138"/>
      <c r="BB800" s="135">
        <f t="shared" si="1502"/>
        <v>0</v>
      </c>
      <c r="BC800" s="474" t="s">
        <v>260</v>
      </c>
      <c r="BD800" s="475"/>
      <c r="BE800" s="14"/>
      <c r="BF800" s="17"/>
      <c r="BG800" s="14"/>
      <c r="BH800" s="17"/>
      <c r="BI800" s="14"/>
      <c r="BJ800" s="17"/>
      <c r="BK800" s="14"/>
      <c r="BL800" s="17"/>
      <c r="BM800" s="14"/>
      <c r="BN800" s="17"/>
      <c r="BO800" s="14"/>
      <c r="BP800" s="17"/>
      <c r="BQ800" s="107">
        <f t="shared" si="1398"/>
        <v>0</v>
      </c>
      <c r="BR800" s="567"/>
      <c r="BS800" s="571"/>
      <c r="BT800" s="572"/>
      <c r="BU800" s="558"/>
      <c r="BV800" s="561"/>
      <c r="BW800" s="564"/>
      <c r="BX800" s="616"/>
    </row>
    <row r="801" spans="1:76" ht="15.75" thickBot="1" x14ac:dyDescent="0.3">
      <c r="A801" s="586"/>
      <c r="B801" s="590"/>
      <c r="C801" s="591"/>
      <c r="D801" s="605"/>
      <c r="E801" s="517"/>
      <c r="F801" s="518"/>
      <c r="G801" s="523"/>
      <c r="H801" s="524"/>
      <c r="I801" s="529"/>
      <c r="J801" s="530"/>
      <c r="K801" s="513"/>
      <c r="L801" s="534"/>
      <c r="M801" s="537"/>
      <c r="N801" s="541"/>
      <c r="O801" s="542"/>
      <c r="P801" s="483"/>
      <c r="Q801" s="484"/>
      <c r="R801" s="517"/>
      <c r="S801" s="518"/>
      <c r="T801" s="487"/>
      <c r="U801" s="488"/>
      <c r="V801" s="492"/>
      <c r="W801" s="483"/>
      <c r="X801" s="495"/>
      <c r="Y801" s="484"/>
      <c r="Z801" s="498"/>
      <c r="AA801" s="502"/>
      <c r="AB801" s="503"/>
      <c r="AC801" s="471" t="s">
        <v>259</v>
      </c>
      <c r="AD801" s="472"/>
      <c r="AE801" s="473"/>
      <c r="AF801" s="100"/>
      <c r="AG801" s="100"/>
      <c r="AH801" s="100"/>
      <c r="AI801" s="100"/>
      <c r="AJ801" s="100"/>
      <c r="AK801" s="100"/>
      <c r="AL801" s="100"/>
      <c r="AM801" s="100"/>
      <c r="AN801" s="100"/>
      <c r="AO801" s="100"/>
      <c r="AP801" s="100"/>
      <c r="AQ801" s="101"/>
      <c r="AR801" s="104">
        <f t="shared" ref="AR801:AR802" si="1503">SUM(AF801:AQ801)</f>
        <v>0</v>
      </c>
      <c r="AS801" s="128" t="s">
        <v>261</v>
      </c>
      <c r="AT801" s="129"/>
      <c r="AU801" s="129"/>
      <c r="AV801" s="129"/>
      <c r="AW801" s="130"/>
      <c r="AX801" s="126">
        <f t="shared" si="1501"/>
        <v>0</v>
      </c>
      <c r="AY801" s="143" t="s">
        <v>261</v>
      </c>
      <c r="AZ801" s="139"/>
      <c r="BA801" s="139"/>
      <c r="BB801" s="136">
        <f t="shared" si="1502"/>
        <v>0</v>
      </c>
      <c r="BC801" s="474" t="s">
        <v>262</v>
      </c>
      <c r="BD801" s="475"/>
      <c r="BE801" s="14"/>
      <c r="BF801" s="17"/>
      <c r="BG801" s="14"/>
      <c r="BH801" s="17"/>
      <c r="BI801" s="14"/>
      <c r="BJ801" s="17"/>
      <c r="BK801" s="14"/>
      <c r="BL801" s="17"/>
      <c r="BM801" s="14"/>
      <c r="BN801" s="17"/>
      <c r="BO801" s="14"/>
      <c r="BP801" s="17"/>
      <c r="BQ801" s="108">
        <f t="shared" si="1398"/>
        <v>0</v>
      </c>
      <c r="BR801" s="567"/>
      <c r="BS801" s="571"/>
      <c r="BT801" s="572"/>
      <c r="BU801" s="558"/>
      <c r="BV801" s="561"/>
      <c r="BW801" s="564"/>
      <c r="BX801" s="616"/>
    </row>
    <row r="802" spans="1:76" ht="15.75" thickBot="1" x14ac:dyDescent="0.3">
      <c r="A802" s="587"/>
      <c r="B802" s="592"/>
      <c r="C802" s="593"/>
      <c r="D802" s="606"/>
      <c r="E802" s="519"/>
      <c r="F802" s="520"/>
      <c r="G802" s="525"/>
      <c r="H802" s="526"/>
      <c r="I802" s="531"/>
      <c r="J802" s="532"/>
      <c r="K802" s="514"/>
      <c r="L802" s="535"/>
      <c r="M802" s="538"/>
      <c r="N802" s="543"/>
      <c r="O802" s="544"/>
      <c r="P802" s="485"/>
      <c r="Q802" s="486"/>
      <c r="R802" s="519"/>
      <c r="S802" s="520"/>
      <c r="T802" s="489"/>
      <c r="U802" s="490"/>
      <c r="V802" s="493"/>
      <c r="W802" s="485"/>
      <c r="X802" s="496"/>
      <c r="Y802" s="486"/>
      <c r="Z802" s="499"/>
      <c r="AA802" s="504"/>
      <c r="AB802" s="505"/>
      <c r="AC802" s="476" t="s">
        <v>261</v>
      </c>
      <c r="AD802" s="477"/>
      <c r="AE802" s="478"/>
      <c r="AF802" s="102"/>
      <c r="AG802" s="102"/>
      <c r="AH802" s="102"/>
      <c r="AI802" s="102"/>
      <c r="AJ802" s="102"/>
      <c r="AK802" s="102"/>
      <c r="AL802" s="102"/>
      <c r="AM802" s="102"/>
      <c r="AN802" s="102"/>
      <c r="AO802" s="102"/>
      <c r="AP802" s="102"/>
      <c r="AQ802" s="103"/>
      <c r="AR802" s="105">
        <f t="shared" si="1503"/>
        <v>0</v>
      </c>
      <c r="AS802" s="131" t="s">
        <v>161</v>
      </c>
      <c r="AT802" s="132">
        <f t="shared" ref="AT802:AX802" si="1504">SUM(AT799:AT801)</f>
        <v>0</v>
      </c>
      <c r="AU802" s="132">
        <f t="shared" si="1504"/>
        <v>0</v>
      </c>
      <c r="AV802" s="132">
        <f t="shared" si="1504"/>
        <v>0</v>
      </c>
      <c r="AW802" s="133">
        <f t="shared" si="1504"/>
        <v>0</v>
      </c>
      <c r="AX802" s="127">
        <f t="shared" si="1504"/>
        <v>0</v>
      </c>
      <c r="AY802" s="144" t="s">
        <v>161</v>
      </c>
      <c r="AZ802" s="140">
        <f t="shared" ref="AZ802:BB802" si="1505">SUM(AZ799:AZ801)</f>
        <v>0</v>
      </c>
      <c r="BA802" s="140">
        <f t="shared" si="1505"/>
        <v>0</v>
      </c>
      <c r="BB802" s="140">
        <f t="shared" si="1505"/>
        <v>0</v>
      </c>
      <c r="BC802" s="479" t="s">
        <v>263</v>
      </c>
      <c r="BD802" s="480"/>
      <c r="BE802" s="15"/>
      <c r="BF802" s="18"/>
      <c r="BG802" s="15"/>
      <c r="BH802" s="18"/>
      <c r="BI802" s="15"/>
      <c r="BJ802" s="18"/>
      <c r="BK802" s="15"/>
      <c r="BL802" s="18"/>
      <c r="BM802" s="15"/>
      <c r="BN802" s="18"/>
      <c r="BO802" s="15"/>
      <c r="BP802" s="18"/>
      <c r="BQ802" s="109">
        <f t="shared" si="1398"/>
        <v>0</v>
      </c>
      <c r="BR802" s="568"/>
      <c r="BS802" s="573"/>
      <c r="BT802" s="574"/>
      <c r="BU802" s="559"/>
      <c r="BV802" s="562"/>
      <c r="BW802" s="565"/>
      <c r="BX802" s="617"/>
    </row>
    <row r="803" spans="1:76" ht="15.75" thickTop="1" x14ac:dyDescent="0.25">
      <c r="A803" s="585">
        <v>199</v>
      </c>
      <c r="B803" s="588"/>
      <c r="C803" s="589"/>
      <c r="D803" s="604"/>
      <c r="E803" s="515"/>
      <c r="F803" s="516"/>
      <c r="G803" s="521"/>
      <c r="H803" s="522"/>
      <c r="I803" s="527"/>
      <c r="J803" s="528"/>
      <c r="K803" s="512" t="e">
        <f t="shared" ref="K803" si="1506">INT(YEARFRAC(I803,AA803))</f>
        <v>#VALUE!</v>
      </c>
      <c r="L803" s="533">
        <f t="shared" ref="L803" ca="1" si="1507">INT(YEARFRAC(I803,TODAY()))</f>
        <v>121</v>
      </c>
      <c r="M803" s="536"/>
      <c r="N803" s="539"/>
      <c r="O803" s="540"/>
      <c r="P803" s="481"/>
      <c r="Q803" s="482"/>
      <c r="R803" s="515"/>
      <c r="S803" s="516"/>
      <c r="T803" s="487"/>
      <c r="U803" s="488"/>
      <c r="V803" s="491"/>
      <c r="W803" s="481"/>
      <c r="X803" s="494"/>
      <c r="Y803" s="482"/>
      <c r="Z803" s="497"/>
      <c r="AA803" s="500" t="s">
        <v>440</v>
      </c>
      <c r="AB803" s="501"/>
      <c r="AC803" s="506" t="s">
        <v>257</v>
      </c>
      <c r="AD803" s="507"/>
      <c r="AE803" s="507"/>
      <c r="AF803" s="510"/>
      <c r="AG803" s="510"/>
      <c r="AH803" s="510"/>
      <c r="AI803" s="510"/>
      <c r="AJ803" s="510"/>
      <c r="AK803" s="510"/>
      <c r="AL803" s="510"/>
      <c r="AM803" s="510"/>
      <c r="AN803" s="510"/>
      <c r="AO803" s="510"/>
      <c r="AP803" s="510"/>
      <c r="AQ803" s="465"/>
      <c r="AR803" s="467">
        <f t="shared" ref="AR803" si="1508">SUM(AF803:AQ804)</f>
        <v>0</v>
      </c>
      <c r="AS803" s="119" t="s">
        <v>257</v>
      </c>
      <c r="AT803" s="120"/>
      <c r="AU803" s="120"/>
      <c r="AV803" s="120"/>
      <c r="AW803" s="121"/>
      <c r="AX803" s="125">
        <f t="shared" ref="AX803:AX805" si="1509">SUM(AT803:AW803)</f>
        <v>0</v>
      </c>
      <c r="AY803" s="141" t="s">
        <v>257</v>
      </c>
      <c r="AZ803" s="137"/>
      <c r="BA803" s="137"/>
      <c r="BB803" s="134">
        <f t="shared" ref="BB803:BB805" si="1510">AZ803-BA803</f>
        <v>0</v>
      </c>
      <c r="BC803" s="469" t="s">
        <v>258</v>
      </c>
      <c r="BD803" s="470"/>
      <c r="BE803" s="13"/>
      <c r="BF803" s="16"/>
      <c r="BG803" s="13"/>
      <c r="BH803" s="16"/>
      <c r="BI803" s="13"/>
      <c r="BJ803" s="16"/>
      <c r="BK803" s="13"/>
      <c r="BL803" s="16"/>
      <c r="BM803" s="13"/>
      <c r="BN803" s="16"/>
      <c r="BO803" s="13"/>
      <c r="BP803" s="16"/>
      <c r="BQ803" s="106">
        <f t="shared" si="1398"/>
        <v>0</v>
      </c>
      <c r="BR803" s="566"/>
      <c r="BS803" s="569"/>
      <c r="BT803" s="570"/>
      <c r="BU803" s="557"/>
      <c r="BV803" s="560"/>
      <c r="BW803" s="563"/>
      <c r="BX803" s="615"/>
    </row>
    <row r="804" spans="1:76" x14ac:dyDescent="0.25">
      <c r="A804" s="586"/>
      <c r="B804" s="590"/>
      <c r="C804" s="591"/>
      <c r="D804" s="605"/>
      <c r="E804" s="517"/>
      <c r="F804" s="518"/>
      <c r="G804" s="523"/>
      <c r="H804" s="524"/>
      <c r="I804" s="529"/>
      <c r="J804" s="530"/>
      <c r="K804" s="513"/>
      <c r="L804" s="534"/>
      <c r="M804" s="537"/>
      <c r="N804" s="541"/>
      <c r="O804" s="542"/>
      <c r="P804" s="483"/>
      <c r="Q804" s="484"/>
      <c r="R804" s="517"/>
      <c r="S804" s="518"/>
      <c r="T804" s="487"/>
      <c r="U804" s="488"/>
      <c r="V804" s="492"/>
      <c r="W804" s="483"/>
      <c r="X804" s="495"/>
      <c r="Y804" s="484"/>
      <c r="Z804" s="498"/>
      <c r="AA804" s="502"/>
      <c r="AB804" s="503"/>
      <c r="AC804" s="508"/>
      <c r="AD804" s="509"/>
      <c r="AE804" s="509"/>
      <c r="AF804" s="511"/>
      <c r="AG804" s="511"/>
      <c r="AH804" s="511"/>
      <c r="AI804" s="511"/>
      <c r="AJ804" s="511"/>
      <c r="AK804" s="511"/>
      <c r="AL804" s="511"/>
      <c r="AM804" s="511"/>
      <c r="AN804" s="511"/>
      <c r="AO804" s="511"/>
      <c r="AP804" s="511"/>
      <c r="AQ804" s="466"/>
      <c r="AR804" s="468"/>
      <c r="AS804" s="122" t="s">
        <v>259</v>
      </c>
      <c r="AT804" s="123"/>
      <c r="AU804" s="123"/>
      <c r="AV804" s="123"/>
      <c r="AW804" s="124"/>
      <c r="AX804" s="126">
        <f t="shared" si="1509"/>
        <v>0</v>
      </c>
      <c r="AY804" s="142" t="s">
        <v>259</v>
      </c>
      <c r="AZ804" s="138"/>
      <c r="BA804" s="138"/>
      <c r="BB804" s="135">
        <f t="shared" si="1510"/>
        <v>0</v>
      </c>
      <c r="BC804" s="474" t="s">
        <v>260</v>
      </c>
      <c r="BD804" s="475"/>
      <c r="BE804" s="14"/>
      <c r="BF804" s="17"/>
      <c r="BG804" s="14"/>
      <c r="BH804" s="17"/>
      <c r="BI804" s="14"/>
      <c r="BJ804" s="17"/>
      <c r="BK804" s="14"/>
      <c r="BL804" s="17"/>
      <c r="BM804" s="14"/>
      <c r="BN804" s="17"/>
      <c r="BO804" s="14"/>
      <c r="BP804" s="17"/>
      <c r="BQ804" s="107">
        <f t="shared" si="1398"/>
        <v>0</v>
      </c>
      <c r="BR804" s="567"/>
      <c r="BS804" s="571"/>
      <c r="BT804" s="572"/>
      <c r="BU804" s="558"/>
      <c r="BV804" s="561"/>
      <c r="BW804" s="564"/>
      <c r="BX804" s="616"/>
    </row>
    <row r="805" spans="1:76" ht="15.75" thickBot="1" x14ac:dyDescent="0.3">
      <c r="A805" s="586"/>
      <c r="B805" s="590"/>
      <c r="C805" s="591"/>
      <c r="D805" s="605"/>
      <c r="E805" s="517"/>
      <c r="F805" s="518"/>
      <c r="G805" s="523"/>
      <c r="H805" s="524"/>
      <c r="I805" s="529"/>
      <c r="J805" s="530"/>
      <c r="K805" s="513"/>
      <c r="L805" s="534"/>
      <c r="M805" s="537"/>
      <c r="N805" s="541"/>
      <c r="O805" s="542"/>
      <c r="P805" s="483"/>
      <c r="Q805" s="484"/>
      <c r="R805" s="517"/>
      <c r="S805" s="518"/>
      <c r="T805" s="487"/>
      <c r="U805" s="488"/>
      <c r="V805" s="492"/>
      <c r="W805" s="483"/>
      <c r="X805" s="495"/>
      <c r="Y805" s="484"/>
      <c r="Z805" s="498"/>
      <c r="AA805" s="502"/>
      <c r="AB805" s="503"/>
      <c r="AC805" s="471" t="s">
        <v>259</v>
      </c>
      <c r="AD805" s="472"/>
      <c r="AE805" s="473"/>
      <c r="AF805" s="100"/>
      <c r="AG805" s="100"/>
      <c r="AH805" s="100"/>
      <c r="AI805" s="100"/>
      <c r="AJ805" s="100"/>
      <c r="AK805" s="100"/>
      <c r="AL805" s="100"/>
      <c r="AM805" s="100"/>
      <c r="AN805" s="100"/>
      <c r="AO805" s="100"/>
      <c r="AP805" s="100"/>
      <c r="AQ805" s="101"/>
      <c r="AR805" s="104">
        <f t="shared" ref="AR805:AR806" si="1511">SUM(AF805:AQ805)</f>
        <v>0</v>
      </c>
      <c r="AS805" s="128" t="s">
        <v>261</v>
      </c>
      <c r="AT805" s="129"/>
      <c r="AU805" s="129"/>
      <c r="AV805" s="129"/>
      <c r="AW805" s="130"/>
      <c r="AX805" s="126">
        <f t="shared" si="1509"/>
        <v>0</v>
      </c>
      <c r="AY805" s="143" t="s">
        <v>261</v>
      </c>
      <c r="AZ805" s="139"/>
      <c r="BA805" s="139"/>
      <c r="BB805" s="136">
        <f t="shared" si="1510"/>
        <v>0</v>
      </c>
      <c r="BC805" s="474" t="s">
        <v>262</v>
      </c>
      <c r="BD805" s="475"/>
      <c r="BE805" s="14"/>
      <c r="BF805" s="17"/>
      <c r="BG805" s="14"/>
      <c r="BH805" s="17"/>
      <c r="BI805" s="14"/>
      <c r="BJ805" s="17"/>
      <c r="BK805" s="14"/>
      <c r="BL805" s="17"/>
      <c r="BM805" s="14"/>
      <c r="BN805" s="17"/>
      <c r="BO805" s="14"/>
      <c r="BP805" s="17"/>
      <c r="BQ805" s="108">
        <f t="shared" si="1398"/>
        <v>0</v>
      </c>
      <c r="BR805" s="567"/>
      <c r="BS805" s="571"/>
      <c r="BT805" s="572"/>
      <c r="BU805" s="558"/>
      <c r="BV805" s="561"/>
      <c r="BW805" s="564"/>
      <c r="BX805" s="616"/>
    </row>
    <row r="806" spans="1:76" ht="15.75" thickBot="1" x14ac:dyDescent="0.3">
      <c r="A806" s="587"/>
      <c r="B806" s="592"/>
      <c r="C806" s="593"/>
      <c r="D806" s="606"/>
      <c r="E806" s="519"/>
      <c r="F806" s="520"/>
      <c r="G806" s="525"/>
      <c r="H806" s="526"/>
      <c r="I806" s="531"/>
      <c r="J806" s="532"/>
      <c r="K806" s="514"/>
      <c r="L806" s="535"/>
      <c r="M806" s="538"/>
      <c r="N806" s="543"/>
      <c r="O806" s="544"/>
      <c r="P806" s="485"/>
      <c r="Q806" s="486"/>
      <c r="R806" s="519"/>
      <c r="S806" s="520"/>
      <c r="T806" s="489"/>
      <c r="U806" s="490"/>
      <c r="V806" s="493"/>
      <c r="W806" s="485"/>
      <c r="X806" s="496"/>
      <c r="Y806" s="486"/>
      <c r="Z806" s="499"/>
      <c r="AA806" s="504"/>
      <c r="AB806" s="505"/>
      <c r="AC806" s="476" t="s">
        <v>261</v>
      </c>
      <c r="AD806" s="477"/>
      <c r="AE806" s="478"/>
      <c r="AF806" s="102"/>
      <c r="AG806" s="102"/>
      <c r="AH806" s="102"/>
      <c r="AI806" s="102"/>
      <c r="AJ806" s="102"/>
      <c r="AK806" s="102"/>
      <c r="AL806" s="102"/>
      <c r="AM806" s="102"/>
      <c r="AN806" s="102"/>
      <c r="AO806" s="102"/>
      <c r="AP806" s="102"/>
      <c r="AQ806" s="103"/>
      <c r="AR806" s="105">
        <f t="shared" si="1511"/>
        <v>0</v>
      </c>
      <c r="AS806" s="131" t="s">
        <v>161</v>
      </c>
      <c r="AT806" s="132">
        <f t="shared" ref="AT806:AX806" si="1512">SUM(AT803:AT805)</f>
        <v>0</v>
      </c>
      <c r="AU806" s="132">
        <f t="shared" si="1512"/>
        <v>0</v>
      </c>
      <c r="AV806" s="132">
        <f t="shared" si="1512"/>
        <v>0</v>
      </c>
      <c r="AW806" s="133">
        <f t="shared" si="1512"/>
        <v>0</v>
      </c>
      <c r="AX806" s="127">
        <f t="shared" si="1512"/>
        <v>0</v>
      </c>
      <c r="AY806" s="144" t="s">
        <v>161</v>
      </c>
      <c r="AZ806" s="140">
        <f t="shared" ref="AZ806:BB806" si="1513">SUM(AZ803:AZ805)</f>
        <v>0</v>
      </c>
      <c r="BA806" s="140">
        <f t="shared" si="1513"/>
        <v>0</v>
      </c>
      <c r="BB806" s="140">
        <f t="shared" si="1513"/>
        <v>0</v>
      </c>
      <c r="BC806" s="479" t="s">
        <v>263</v>
      </c>
      <c r="BD806" s="480"/>
      <c r="BE806" s="15"/>
      <c r="BF806" s="18"/>
      <c r="BG806" s="15"/>
      <c r="BH806" s="18"/>
      <c r="BI806" s="15"/>
      <c r="BJ806" s="18"/>
      <c r="BK806" s="15"/>
      <c r="BL806" s="18"/>
      <c r="BM806" s="15"/>
      <c r="BN806" s="18"/>
      <c r="BO806" s="15"/>
      <c r="BP806" s="18"/>
      <c r="BQ806" s="109">
        <f t="shared" si="1398"/>
        <v>0</v>
      </c>
      <c r="BR806" s="568"/>
      <c r="BS806" s="573"/>
      <c r="BT806" s="574"/>
      <c r="BU806" s="559"/>
      <c r="BV806" s="562"/>
      <c r="BW806" s="565"/>
      <c r="BX806" s="617"/>
    </row>
    <row r="807" spans="1:76" ht="15.75" thickTop="1" x14ac:dyDescent="0.25">
      <c r="A807" s="585">
        <v>200</v>
      </c>
      <c r="B807" s="588"/>
      <c r="C807" s="589"/>
      <c r="D807" s="604"/>
      <c r="E807" s="515"/>
      <c r="F807" s="516"/>
      <c r="G807" s="521"/>
      <c r="H807" s="522"/>
      <c r="I807" s="527"/>
      <c r="J807" s="528"/>
      <c r="K807" s="512" t="e">
        <f t="shared" ref="K807" si="1514">INT(YEARFRAC(I807,AA807))</f>
        <v>#VALUE!</v>
      </c>
      <c r="L807" s="533">
        <f t="shared" ref="L807" ca="1" si="1515">INT(YEARFRAC(I807,TODAY()))</f>
        <v>121</v>
      </c>
      <c r="M807" s="536"/>
      <c r="N807" s="539"/>
      <c r="O807" s="540"/>
      <c r="P807" s="481"/>
      <c r="Q807" s="482"/>
      <c r="R807" s="515"/>
      <c r="S807" s="516"/>
      <c r="T807" s="487"/>
      <c r="U807" s="488"/>
      <c r="V807" s="491"/>
      <c r="W807" s="481"/>
      <c r="X807" s="494"/>
      <c r="Y807" s="482"/>
      <c r="Z807" s="497"/>
      <c r="AA807" s="500" t="s">
        <v>441</v>
      </c>
      <c r="AB807" s="501"/>
      <c r="AC807" s="506" t="s">
        <v>257</v>
      </c>
      <c r="AD807" s="507"/>
      <c r="AE807" s="507"/>
      <c r="AF807" s="510"/>
      <c r="AG807" s="510"/>
      <c r="AH807" s="510"/>
      <c r="AI807" s="510"/>
      <c r="AJ807" s="510"/>
      <c r="AK807" s="510"/>
      <c r="AL807" s="510"/>
      <c r="AM807" s="510"/>
      <c r="AN807" s="510"/>
      <c r="AO807" s="510"/>
      <c r="AP807" s="510"/>
      <c r="AQ807" s="465"/>
      <c r="AR807" s="467">
        <f t="shared" ref="AR807" si="1516">SUM(AF807:AQ808)</f>
        <v>0</v>
      </c>
      <c r="AS807" s="119" t="s">
        <v>257</v>
      </c>
      <c r="AT807" s="120"/>
      <c r="AU807" s="120"/>
      <c r="AV807" s="120"/>
      <c r="AW807" s="121"/>
      <c r="AX807" s="125">
        <f t="shared" ref="AX807:AX809" si="1517">SUM(AT807:AW807)</f>
        <v>0</v>
      </c>
      <c r="AY807" s="141" t="s">
        <v>257</v>
      </c>
      <c r="AZ807" s="137"/>
      <c r="BA807" s="137"/>
      <c r="BB807" s="134">
        <f t="shared" ref="BB807:BB809" si="1518">AZ807-BA807</f>
        <v>0</v>
      </c>
      <c r="BC807" s="469" t="s">
        <v>258</v>
      </c>
      <c r="BD807" s="470"/>
      <c r="BE807" s="13"/>
      <c r="BF807" s="16"/>
      <c r="BG807" s="13"/>
      <c r="BH807" s="16"/>
      <c r="BI807" s="13"/>
      <c r="BJ807" s="16"/>
      <c r="BK807" s="13"/>
      <c r="BL807" s="16"/>
      <c r="BM807" s="13"/>
      <c r="BN807" s="16"/>
      <c r="BO807" s="13"/>
      <c r="BP807" s="16"/>
      <c r="BQ807" s="106">
        <f t="shared" si="1398"/>
        <v>0</v>
      </c>
      <c r="BR807" s="566"/>
      <c r="BS807" s="569"/>
      <c r="BT807" s="570"/>
      <c r="BU807" s="557"/>
      <c r="BV807" s="560"/>
      <c r="BW807" s="563"/>
      <c r="BX807" s="615"/>
    </row>
    <row r="808" spans="1:76" x14ac:dyDescent="0.25">
      <c r="A808" s="586"/>
      <c r="B808" s="590"/>
      <c r="C808" s="591"/>
      <c r="D808" s="605"/>
      <c r="E808" s="517"/>
      <c r="F808" s="518"/>
      <c r="G808" s="523"/>
      <c r="H808" s="524"/>
      <c r="I808" s="529"/>
      <c r="J808" s="530"/>
      <c r="K808" s="513"/>
      <c r="L808" s="534"/>
      <c r="M808" s="537"/>
      <c r="N808" s="541"/>
      <c r="O808" s="542"/>
      <c r="P808" s="483"/>
      <c r="Q808" s="484"/>
      <c r="R808" s="517"/>
      <c r="S808" s="518"/>
      <c r="T808" s="487"/>
      <c r="U808" s="488"/>
      <c r="V808" s="492"/>
      <c r="W808" s="483"/>
      <c r="X808" s="495"/>
      <c r="Y808" s="484"/>
      <c r="Z808" s="498"/>
      <c r="AA808" s="502"/>
      <c r="AB808" s="503"/>
      <c r="AC808" s="508"/>
      <c r="AD808" s="509"/>
      <c r="AE808" s="509"/>
      <c r="AF808" s="511"/>
      <c r="AG808" s="511"/>
      <c r="AH808" s="511"/>
      <c r="AI808" s="511"/>
      <c r="AJ808" s="511"/>
      <c r="AK808" s="511"/>
      <c r="AL808" s="511"/>
      <c r="AM808" s="511"/>
      <c r="AN808" s="511"/>
      <c r="AO808" s="511"/>
      <c r="AP808" s="511"/>
      <c r="AQ808" s="466"/>
      <c r="AR808" s="468"/>
      <c r="AS808" s="122" t="s">
        <v>259</v>
      </c>
      <c r="AT808" s="123"/>
      <c r="AU808" s="123"/>
      <c r="AV808" s="123"/>
      <c r="AW808" s="124"/>
      <c r="AX808" s="126">
        <f t="shared" si="1517"/>
        <v>0</v>
      </c>
      <c r="AY808" s="142" t="s">
        <v>259</v>
      </c>
      <c r="AZ808" s="138"/>
      <c r="BA808" s="138"/>
      <c r="BB808" s="135">
        <f t="shared" si="1518"/>
        <v>0</v>
      </c>
      <c r="BC808" s="474" t="s">
        <v>260</v>
      </c>
      <c r="BD808" s="475"/>
      <c r="BE808" s="14"/>
      <c r="BF808" s="17"/>
      <c r="BG808" s="14"/>
      <c r="BH808" s="17"/>
      <c r="BI808" s="14"/>
      <c r="BJ808" s="17"/>
      <c r="BK808" s="14"/>
      <c r="BL808" s="17"/>
      <c r="BM808" s="14"/>
      <c r="BN808" s="17"/>
      <c r="BO808" s="14"/>
      <c r="BP808" s="17"/>
      <c r="BQ808" s="107">
        <f t="shared" si="1398"/>
        <v>0</v>
      </c>
      <c r="BR808" s="567"/>
      <c r="BS808" s="571"/>
      <c r="BT808" s="572"/>
      <c r="BU808" s="558"/>
      <c r="BV808" s="561"/>
      <c r="BW808" s="564"/>
      <c r="BX808" s="616"/>
    </row>
    <row r="809" spans="1:76" ht="15.75" thickBot="1" x14ac:dyDescent="0.3">
      <c r="A809" s="586"/>
      <c r="B809" s="590"/>
      <c r="C809" s="591"/>
      <c r="D809" s="605"/>
      <c r="E809" s="517"/>
      <c r="F809" s="518"/>
      <c r="G809" s="523"/>
      <c r="H809" s="524"/>
      <c r="I809" s="529"/>
      <c r="J809" s="530"/>
      <c r="K809" s="513"/>
      <c r="L809" s="534"/>
      <c r="M809" s="537"/>
      <c r="N809" s="541"/>
      <c r="O809" s="542"/>
      <c r="P809" s="483"/>
      <c r="Q809" s="484"/>
      <c r="R809" s="517"/>
      <c r="S809" s="518"/>
      <c r="T809" s="487"/>
      <c r="U809" s="488"/>
      <c r="V809" s="492"/>
      <c r="W809" s="483"/>
      <c r="X809" s="495"/>
      <c r="Y809" s="484"/>
      <c r="Z809" s="498"/>
      <c r="AA809" s="502"/>
      <c r="AB809" s="503"/>
      <c r="AC809" s="471" t="s">
        <v>259</v>
      </c>
      <c r="AD809" s="472"/>
      <c r="AE809" s="473"/>
      <c r="AF809" s="100"/>
      <c r="AG809" s="100"/>
      <c r="AH809" s="100"/>
      <c r="AI809" s="100"/>
      <c r="AJ809" s="100"/>
      <c r="AK809" s="100"/>
      <c r="AL809" s="100"/>
      <c r="AM809" s="100"/>
      <c r="AN809" s="100"/>
      <c r="AO809" s="100"/>
      <c r="AP809" s="100"/>
      <c r="AQ809" s="101"/>
      <c r="AR809" s="104">
        <f t="shared" ref="AR809:AR810" si="1519">SUM(AF809:AQ809)</f>
        <v>0</v>
      </c>
      <c r="AS809" s="128" t="s">
        <v>261</v>
      </c>
      <c r="AT809" s="129"/>
      <c r="AU809" s="129"/>
      <c r="AV809" s="129"/>
      <c r="AW809" s="130"/>
      <c r="AX809" s="126">
        <f t="shared" si="1517"/>
        <v>0</v>
      </c>
      <c r="AY809" s="143" t="s">
        <v>261</v>
      </c>
      <c r="AZ809" s="139"/>
      <c r="BA809" s="139"/>
      <c r="BB809" s="136">
        <f t="shared" si="1518"/>
        <v>0</v>
      </c>
      <c r="BC809" s="474" t="s">
        <v>262</v>
      </c>
      <c r="BD809" s="475"/>
      <c r="BE809" s="14"/>
      <c r="BF809" s="17"/>
      <c r="BG809" s="14"/>
      <c r="BH809" s="17"/>
      <c r="BI809" s="14"/>
      <c r="BJ809" s="17"/>
      <c r="BK809" s="14"/>
      <c r="BL809" s="17"/>
      <c r="BM809" s="14"/>
      <c r="BN809" s="17"/>
      <c r="BO809" s="14"/>
      <c r="BP809" s="17"/>
      <c r="BQ809" s="108">
        <f t="shared" si="1398"/>
        <v>0</v>
      </c>
      <c r="BR809" s="567"/>
      <c r="BS809" s="571"/>
      <c r="BT809" s="572"/>
      <c r="BU809" s="558"/>
      <c r="BV809" s="561"/>
      <c r="BW809" s="564"/>
      <c r="BX809" s="616"/>
    </row>
    <row r="810" spans="1:76" ht="15.75" thickBot="1" x14ac:dyDescent="0.3">
      <c r="A810" s="587"/>
      <c r="B810" s="592"/>
      <c r="C810" s="593"/>
      <c r="D810" s="606"/>
      <c r="E810" s="519"/>
      <c r="F810" s="520"/>
      <c r="G810" s="525"/>
      <c r="H810" s="526"/>
      <c r="I810" s="531"/>
      <c r="J810" s="532"/>
      <c r="K810" s="514"/>
      <c r="L810" s="535"/>
      <c r="M810" s="538"/>
      <c r="N810" s="543"/>
      <c r="O810" s="544"/>
      <c r="P810" s="485"/>
      <c r="Q810" s="486"/>
      <c r="R810" s="519"/>
      <c r="S810" s="520"/>
      <c r="T810" s="489"/>
      <c r="U810" s="490"/>
      <c r="V810" s="493"/>
      <c r="W810" s="485"/>
      <c r="X810" s="496"/>
      <c r="Y810" s="486"/>
      <c r="Z810" s="499"/>
      <c r="AA810" s="504"/>
      <c r="AB810" s="505"/>
      <c r="AC810" s="476" t="s">
        <v>261</v>
      </c>
      <c r="AD810" s="477"/>
      <c r="AE810" s="478"/>
      <c r="AF810" s="102"/>
      <c r="AG810" s="102"/>
      <c r="AH810" s="102"/>
      <c r="AI810" s="102"/>
      <c r="AJ810" s="102"/>
      <c r="AK810" s="102"/>
      <c r="AL810" s="102"/>
      <c r="AM810" s="102"/>
      <c r="AN810" s="102"/>
      <c r="AO810" s="102"/>
      <c r="AP810" s="102"/>
      <c r="AQ810" s="103"/>
      <c r="AR810" s="105">
        <f t="shared" si="1519"/>
        <v>0</v>
      </c>
      <c r="AS810" s="131" t="s">
        <v>161</v>
      </c>
      <c r="AT810" s="132">
        <f t="shared" ref="AT810:AX810" si="1520">SUM(AT807:AT809)</f>
        <v>0</v>
      </c>
      <c r="AU810" s="132">
        <f t="shared" si="1520"/>
        <v>0</v>
      </c>
      <c r="AV810" s="132">
        <f t="shared" si="1520"/>
        <v>0</v>
      </c>
      <c r="AW810" s="133">
        <f t="shared" si="1520"/>
        <v>0</v>
      </c>
      <c r="AX810" s="127">
        <f t="shared" si="1520"/>
        <v>0</v>
      </c>
      <c r="AY810" s="144" t="s">
        <v>161</v>
      </c>
      <c r="AZ810" s="140">
        <f t="shared" ref="AZ810:BB810" si="1521">SUM(AZ807:AZ809)</f>
        <v>0</v>
      </c>
      <c r="BA810" s="140">
        <f t="shared" si="1521"/>
        <v>0</v>
      </c>
      <c r="BB810" s="140">
        <f t="shared" si="1521"/>
        <v>0</v>
      </c>
      <c r="BC810" s="479" t="s">
        <v>263</v>
      </c>
      <c r="BD810" s="480"/>
      <c r="BE810" s="15"/>
      <c r="BF810" s="18"/>
      <c r="BG810" s="15"/>
      <c r="BH810" s="18"/>
      <c r="BI810" s="15"/>
      <c r="BJ810" s="18"/>
      <c r="BK810" s="15"/>
      <c r="BL810" s="18"/>
      <c r="BM810" s="15"/>
      <c r="BN810" s="18"/>
      <c r="BO810" s="15"/>
      <c r="BP810" s="18"/>
      <c r="BQ810" s="109">
        <f t="shared" si="1398"/>
        <v>0</v>
      </c>
      <c r="BR810" s="568"/>
      <c r="BS810" s="573"/>
      <c r="BT810" s="574"/>
      <c r="BU810" s="559"/>
      <c r="BV810" s="562"/>
      <c r="BW810" s="565"/>
      <c r="BX810" s="617"/>
    </row>
    <row r="811" spans="1:76" ht="15.75" thickTop="1" x14ac:dyDescent="0.25">
      <c r="A811" s="585">
        <v>201</v>
      </c>
      <c r="B811" s="588"/>
      <c r="C811" s="589"/>
      <c r="D811" s="604"/>
      <c r="E811" s="515"/>
      <c r="F811" s="516"/>
      <c r="G811" s="521"/>
      <c r="H811" s="522"/>
      <c r="I811" s="527"/>
      <c r="J811" s="528"/>
      <c r="K811" s="512" t="e">
        <f t="shared" ref="K811" si="1522">INT(YEARFRAC(I811,AA811))</f>
        <v>#VALUE!</v>
      </c>
      <c r="L811" s="533">
        <f t="shared" ref="L811" ca="1" si="1523">INT(YEARFRAC(I811,TODAY()))</f>
        <v>121</v>
      </c>
      <c r="M811" s="536"/>
      <c r="N811" s="539"/>
      <c r="O811" s="540"/>
      <c r="P811" s="481"/>
      <c r="Q811" s="482"/>
      <c r="R811" s="515"/>
      <c r="S811" s="516"/>
      <c r="T811" s="487"/>
      <c r="U811" s="488"/>
      <c r="V811" s="491"/>
      <c r="W811" s="481"/>
      <c r="X811" s="494"/>
      <c r="Y811" s="482"/>
      <c r="Z811" s="497"/>
      <c r="AA811" s="500" t="s">
        <v>442</v>
      </c>
      <c r="AB811" s="501"/>
      <c r="AC811" s="506" t="s">
        <v>257</v>
      </c>
      <c r="AD811" s="507"/>
      <c r="AE811" s="507"/>
      <c r="AF811" s="510"/>
      <c r="AG811" s="510"/>
      <c r="AH811" s="510"/>
      <c r="AI811" s="510"/>
      <c r="AJ811" s="510"/>
      <c r="AK811" s="510"/>
      <c r="AL811" s="510"/>
      <c r="AM811" s="510"/>
      <c r="AN811" s="510"/>
      <c r="AO811" s="510"/>
      <c r="AP811" s="510"/>
      <c r="AQ811" s="465"/>
      <c r="AR811" s="467">
        <f t="shared" ref="AR811" si="1524">SUM(AF811:AQ812)</f>
        <v>0</v>
      </c>
      <c r="AS811" s="119" t="s">
        <v>257</v>
      </c>
      <c r="AT811" s="120"/>
      <c r="AU811" s="120"/>
      <c r="AV811" s="120"/>
      <c r="AW811" s="121"/>
      <c r="AX811" s="125">
        <f t="shared" ref="AX811:AX813" si="1525">SUM(AT811:AW811)</f>
        <v>0</v>
      </c>
      <c r="AY811" s="141" t="s">
        <v>257</v>
      </c>
      <c r="AZ811" s="137"/>
      <c r="BA811" s="137"/>
      <c r="BB811" s="134">
        <f t="shared" ref="BB811:BB813" si="1526">AZ811-BA811</f>
        <v>0</v>
      </c>
      <c r="BC811" s="469" t="s">
        <v>258</v>
      </c>
      <c r="BD811" s="470"/>
      <c r="BE811" s="13"/>
      <c r="BF811" s="16"/>
      <c r="BG811" s="13"/>
      <c r="BH811" s="16"/>
      <c r="BI811" s="13"/>
      <c r="BJ811" s="16"/>
      <c r="BK811" s="13"/>
      <c r="BL811" s="16"/>
      <c r="BM811" s="13"/>
      <c r="BN811" s="16"/>
      <c r="BO811" s="13"/>
      <c r="BP811" s="16"/>
      <c r="BQ811" s="106">
        <f t="shared" ref="BQ811:BQ862" si="1527">SUM(BE811:BP811)</f>
        <v>0</v>
      </c>
      <c r="BR811" s="566"/>
      <c r="BS811" s="569"/>
      <c r="BT811" s="570"/>
      <c r="BU811" s="557"/>
      <c r="BV811" s="560"/>
      <c r="BW811" s="563"/>
      <c r="BX811" s="615"/>
    </row>
    <row r="812" spans="1:76" x14ac:dyDescent="0.25">
      <c r="A812" s="586"/>
      <c r="B812" s="590"/>
      <c r="C812" s="591"/>
      <c r="D812" s="605"/>
      <c r="E812" s="517"/>
      <c r="F812" s="518"/>
      <c r="G812" s="523"/>
      <c r="H812" s="524"/>
      <c r="I812" s="529"/>
      <c r="J812" s="530"/>
      <c r="K812" s="513"/>
      <c r="L812" s="534"/>
      <c r="M812" s="537"/>
      <c r="N812" s="541"/>
      <c r="O812" s="542"/>
      <c r="P812" s="483"/>
      <c r="Q812" s="484"/>
      <c r="R812" s="517"/>
      <c r="S812" s="518"/>
      <c r="T812" s="487"/>
      <c r="U812" s="488"/>
      <c r="V812" s="492"/>
      <c r="W812" s="483"/>
      <c r="X812" s="495"/>
      <c r="Y812" s="484"/>
      <c r="Z812" s="498"/>
      <c r="AA812" s="502"/>
      <c r="AB812" s="503"/>
      <c r="AC812" s="508"/>
      <c r="AD812" s="509"/>
      <c r="AE812" s="509"/>
      <c r="AF812" s="511"/>
      <c r="AG812" s="511"/>
      <c r="AH812" s="511"/>
      <c r="AI812" s="511"/>
      <c r="AJ812" s="511"/>
      <c r="AK812" s="511"/>
      <c r="AL812" s="511"/>
      <c r="AM812" s="511"/>
      <c r="AN812" s="511"/>
      <c r="AO812" s="511"/>
      <c r="AP812" s="511"/>
      <c r="AQ812" s="466"/>
      <c r="AR812" s="468"/>
      <c r="AS812" s="122" t="s">
        <v>259</v>
      </c>
      <c r="AT812" s="123"/>
      <c r="AU812" s="123"/>
      <c r="AV812" s="123"/>
      <c r="AW812" s="124"/>
      <c r="AX812" s="126">
        <f t="shared" si="1525"/>
        <v>0</v>
      </c>
      <c r="AY812" s="142" t="s">
        <v>259</v>
      </c>
      <c r="AZ812" s="138"/>
      <c r="BA812" s="138"/>
      <c r="BB812" s="135">
        <f t="shared" si="1526"/>
        <v>0</v>
      </c>
      <c r="BC812" s="474" t="s">
        <v>260</v>
      </c>
      <c r="BD812" s="475"/>
      <c r="BE812" s="14"/>
      <c r="BF812" s="17"/>
      <c r="BG812" s="14"/>
      <c r="BH812" s="17"/>
      <c r="BI812" s="14"/>
      <c r="BJ812" s="17"/>
      <c r="BK812" s="14"/>
      <c r="BL812" s="17"/>
      <c r="BM812" s="14"/>
      <c r="BN812" s="17"/>
      <c r="BO812" s="14"/>
      <c r="BP812" s="17"/>
      <c r="BQ812" s="107">
        <f t="shared" si="1527"/>
        <v>0</v>
      </c>
      <c r="BR812" s="567"/>
      <c r="BS812" s="571"/>
      <c r="BT812" s="572"/>
      <c r="BU812" s="558"/>
      <c r="BV812" s="561"/>
      <c r="BW812" s="564"/>
      <c r="BX812" s="616"/>
    </row>
    <row r="813" spans="1:76" ht="15.75" thickBot="1" x14ac:dyDescent="0.3">
      <c r="A813" s="586"/>
      <c r="B813" s="590"/>
      <c r="C813" s="591"/>
      <c r="D813" s="605"/>
      <c r="E813" s="517"/>
      <c r="F813" s="518"/>
      <c r="G813" s="523"/>
      <c r="H813" s="524"/>
      <c r="I813" s="529"/>
      <c r="J813" s="530"/>
      <c r="K813" s="513"/>
      <c r="L813" s="534"/>
      <c r="M813" s="537"/>
      <c r="N813" s="541"/>
      <c r="O813" s="542"/>
      <c r="P813" s="483"/>
      <c r="Q813" s="484"/>
      <c r="R813" s="517"/>
      <c r="S813" s="518"/>
      <c r="T813" s="487"/>
      <c r="U813" s="488"/>
      <c r="V813" s="492"/>
      <c r="W813" s="483"/>
      <c r="X813" s="495"/>
      <c r="Y813" s="484"/>
      <c r="Z813" s="498"/>
      <c r="AA813" s="502"/>
      <c r="AB813" s="503"/>
      <c r="AC813" s="471" t="s">
        <v>259</v>
      </c>
      <c r="AD813" s="472"/>
      <c r="AE813" s="473"/>
      <c r="AF813" s="100"/>
      <c r="AG813" s="100"/>
      <c r="AH813" s="100"/>
      <c r="AI813" s="100"/>
      <c r="AJ813" s="100"/>
      <c r="AK813" s="100"/>
      <c r="AL813" s="100"/>
      <c r="AM813" s="100"/>
      <c r="AN813" s="100"/>
      <c r="AO813" s="100"/>
      <c r="AP813" s="100"/>
      <c r="AQ813" s="101"/>
      <c r="AR813" s="104">
        <f t="shared" ref="AR813:AR814" si="1528">SUM(AF813:AQ813)</f>
        <v>0</v>
      </c>
      <c r="AS813" s="128" t="s">
        <v>261</v>
      </c>
      <c r="AT813" s="129"/>
      <c r="AU813" s="129"/>
      <c r="AV813" s="129"/>
      <c r="AW813" s="130"/>
      <c r="AX813" s="126">
        <f t="shared" si="1525"/>
        <v>0</v>
      </c>
      <c r="AY813" s="143" t="s">
        <v>261</v>
      </c>
      <c r="AZ813" s="139"/>
      <c r="BA813" s="139"/>
      <c r="BB813" s="136">
        <f t="shared" si="1526"/>
        <v>0</v>
      </c>
      <c r="BC813" s="474" t="s">
        <v>262</v>
      </c>
      <c r="BD813" s="475"/>
      <c r="BE813" s="14"/>
      <c r="BF813" s="17"/>
      <c r="BG813" s="14"/>
      <c r="BH813" s="17"/>
      <c r="BI813" s="14"/>
      <c r="BJ813" s="17"/>
      <c r="BK813" s="14"/>
      <c r="BL813" s="17"/>
      <c r="BM813" s="14"/>
      <c r="BN813" s="17"/>
      <c r="BO813" s="14"/>
      <c r="BP813" s="17"/>
      <c r="BQ813" s="108">
        <f t="shared" si="1527"/>
        <v>0</v>
      </c>
      <c r="BR813" s="567"/>
      <c r="BS813" s="571"/>
      <c r="BT813" s="572"/>
      <c r="BU813" s="558"/>
      <c r="BV813" s="561"/>
      <c r="BW813" s="564"/>
      <c r="BX813" s="616"/>
    </row>
    <row r="814" spans="1:76" ht="15.75" thickBot="1" x14ac:dyDescent="0.3">
      <c r="A814" s="587"/>
      <c r="B814" s="592"/>
      <c r="C814" s="593"/>
      <c r="D814" s="606"/>
      <c r="E814" s="519"/>
      <c r="F814" s="520"/>
      <c r="G814" s="525"/>
      <c r="H814" s="526"/>
      <c r="I814" s="531"/>
      <c r="J814" s="532"/>
      <c r="K814" s="514"/>
      <c r="L814" s="535"/>
      <c r="M814" s="538"/>
      <c r="N814" s="543"/>
      <c r="O814" s="544"/>
      <c r="P814" s="485"/>
      <c r="Q814" s="486"/>
      <c r="R814" s="519"/>
      <c r="S814" s="520"/>
      <c r="T814" s="489"/>
      <c r="U814" s="490"/>
      <c r="V814" s="493"/>
      <c r="W814" s="485"/>
      <c r="X814" s="496"/>
      <c r="Y814" s="486"/>
      <c r="Z814" s="499"/>
      <c r="AA814" s="504"/>
      <c r="AB814" s="505"/>
      <c r="AC814" s="476" t="s">
        <v>261</v>
      </c>
      <c r="AD814" s="477"/>
      <c r="AE814" s="478"/>
      <c r="AF814" s="102"/>
      <c r="AG814" s="102"/>
      <c r="AH814" s="102"/>
      <c r="AI814" s="102"/>
      <c r="AJ814" s="102"/>
      <c r="AK814" s="102"/>
      <c r="AL814" s="102"/>
      <c r="AM814" s="102"/>
      <c r="AN814" s="102"/>
      <c r="AO814" s="102"/>
      <c r="AP814" s="102"/>
      <c r="AQ814" s="103"/>
      <c r="AR814" s="105">
        <f t="shared" si="1528"/>
        <v>0</v>
      </c>
      <c r="AS814" s="131" t="s">
        <v>161</v>
      </c>
      <c r="AT814" s="132">
        <f t="shared" ref="AT814:AX814" si="1529">SUM(AT811:AT813)</f>
        <v>0</v>
      </c>
      <c r="AU814" s="132">
        <f t="shared" si="1529"/>
        <v>0</v>
      </c>
      <c r="AV814" s="132">
        <f t="shared" si="1529"/>
        <v>0</v>
      </c>
      <c r="AW814" s="133">
        <f t="shared" si="1529"/>
        <v>0</v>
      </c>
      <c r="AX814" s="127">
        <f t="shared" si="1529"/>
        <v>0</v>
      </c>
      <c r="AY814" s="144" t="s">
        <v>161</v>
      </c>
      <c r="AZ814" s="140">
        <f t="shared" ref="AZ814:BB814" si="1530">SUM(AZ811:AZ813)</f>
        <v>0</v>
      </c>
      <c r="BA814" s="140">
        <f t="shared" si="1530"/>
        <v>0</v>
      </c>
      <c r="BB814" s="140">
        <f t="shared" si="1530"/>
        <v>0</v>
      </c>
      <c r="BC814" s="479" t="s">
        <v>263</v>
      </c>
      <c r="BD814" s="480"/>
      <c r="BE814" s="15"/>
      <c r="BF814" s="18"/>
      <c r="BG814" s="15"/>
      <c r="BH814" s="18"/>
      <c r="BI814" s="15"/>
      <c r="BJ814" s="18"/>
      <c r="BK814" s="15"/>
      <c r="BL814" s="18"/>
      <c r="BM814" s="15"/>
      <c r="BN814" s="18"/>
      <c r="BO814" s="15"/>
      <c r="BP814" s="18"/>
      <c r="BQ814" s="109">
        <f t="shared" si="1527"/>
        <v>0</v>
      </c>
      <c r="BR814" s="568"/>
      <c r="BS814" s="573"/>
      <c r="BT814" s="574"/>
      <c r="BU814" s="559"/>
      <c r="BV814" s="562"/>
      <c r="BW814" s="565"/>
      <c r="BX814" s="617"/>
    </row>
    <row r="815" spans="1:76" ht="15.75" thickTop="1" x14ac:dyDescent="0.25">
      <c r="A815" s="585">
        <v>202</v>
      </c>
      <c r="B815" s="588"/>
      <c r="C815" s="589"/>
      <c r="D815" s="604"/>
      <c r="E815" s="515"/>
      <c r="F815" s="516"/>
      <c r="G815" s="521"/>
      <c r="H815" s="522"/>
      <c r="I815" s="527"/>
      <c r="J815" s="528"/>
      <c r="K815" s="512" t="e">
        <f t="shared" ref="K815" si="1531">INT(YEARFRAC(I815,AA815))</f>
        <v>#VALUE!</v>
      </c>
      <c r="L815" s="533">
        <f t="shared" ref="L815" ca="1" si="1532">INT(YEARFRAC(I815,TODAY()))</f>
        <v>121</v>
      </c>
      <c r="M815" s="536"/>
      <c r="N815" s="539"/>
      <c r="O815" s="540"/>
      <c r="P815" s="481"/>
      <c r="Q815" s="482"/>
      <c r="R815" s="515"/>
      <c r="S815" s="516"/>
      <c r="T815" s="487"/>
      <c r="U815" s="488"/>
      <c r="V815" s="491"/>
      <c r="W815" s="481"/>
      <c r="X815" s="494"/>
      <c r="Y815" s="482"/>
      <c r="Z815" s="497"/>
      <c r="AA815" s="500" t="s">
        <v>443</v>
      </c>
      <c r="AB815" s="501"/>
      <c r="AC815" s="506" t="s">
        <v>257</v>
      </c>
      <c r="AD815" s="507"/>
      <c r="AE815" s="507"/>
      <c r="AF815" s="510"/>
      <c r="AG815" s="510"/>
      <c r="AH815" s="510"/>
      <c r="AI815" s="510"/>
      <c r="AJ815" s="510"/>
      <c r="AK815" s="510"/>
      <c r="AL815" s="510"/>
      <c r="AM815" s="510"/>
      <c r="AN815" s="510"/>
      <c r="AO815" s="510"/>
      <c r="AP815" s="510"/>
      <c r="AQ815" s="465"/>
      <c r="AR815" s="467">
        <f t="shared" ref="AR815" si="1533">SUM(AF815:AQ816)</f>
        <v>0</v>
      </c>
      <c r="AS815" s="119" t="s">
        <v>257</v>
      </c>
      <c r="AT815" s="120"/>
      <c r="AU815" s="120"/>
      <c r="AV815" s="120"/>
      <c r="AW815" s="121"/>
      <c r="AX815" s="125">
        <f t="shared" ref="AX815:AX817" si="1534">SUM(AT815:AW815)</f>
        <v>0</v>
      </c>
      <c r="AY815" s="141" t="s">
        <v>257</v>
      </c>
      <c r="AZ815" s="137"/>
      <c r="BA815" s="137"/>
      <c r="BB815" s="134">
        <f t="shared" ref="BB815:BB817" si="1535">AZ815-BA815</f>
        <v>0</v>
      </c>
      <c r="BC815" s="469" t="s">
        <v>258</v>
      </c>
      <c r="BD815" s="470"/>
      <c r="BE815" s="13"/>
      <c r="BF815" s="16"/>
      <c r="BG815" s="13"/>
      <c r="BH815" s="16"/>
      <c r="BI815" s="13"/>
      <c r="BJ815" s="16"/>
      <c r="BK815" s="13"/>
      <c r="BL815" s="16"/>
      <c r="BM815" s="13"/>
      <c r="BN815" s="16"/>
      <c r="BO815" s="13"/>
      <c r="BP815" s="16"/>
      <c r="BQ815" s="106">
        <f t="shared" si="1527"/>
        <v>0</v>
      </c>
      <c r="BR815" s="566"/>
      <c r="BS815" s="569"/>
      <c r="BT815" s="570"/>
      <c r="BU815" s="557"/>
      <c r="BV815" s="560"/>
      <c r="BW815" s="563"/>
      <c r="BX815" s="615"/>
    </row>
    <row r="816" spans="1:76" x14ac:dyDescent="0.25">
      <c r="A816" s="586"/>
      <c r="B816" s="590"/>
      <c r="C816" s="591"/>
      <c r="D816" s="605"/>
      <c r="E816" s="517"/>
      <c r="F816" s="518"/>
      <c r="G816" s="523"/>
      <c r="H816" s="524"/>
      <c r="I816" s="529"/>
      <c r="J816" s="530"/>
      <c r="K816" s="513"/>
      <c r="L816" s="534"/>
      <c r="M816" s="537"/>
      <c r="N816" s="541"/>
      <c r="O816" s="542"/>
      <c r="P816" s="483"/>
      <c r="Q816" s="484"/>
      <c r="R816" s="517"/>
      <c r="S816" s="518"/>
      <c r="T816" s="487"/>
      <c r="U816" s="488"/>
      <c r="V816" s="492"/>
      <c r="W816" s="483"/>
      <c r="X816" s="495"/>
      <c r="Y816" s="484"/>
      <c r="Z816" s="498"/>
      <c r="AA816" s="502"/>
      <c r="AB816" s="503"/>
      <c r="AC816" s="508"/>
      <c r="AD816" s="509"/>
      <c r="AE816" s="509"/>
      <c r="AF816" s="511"/>
      <c r="AG816" s="511"/>
      <c r="AH816" s="511"/>
      <c r="AI816" s="511"/>
      <c r="AJ816" s="511"/>
      <c r="AK816" s="511"/>
      <c r="AL816" s="511"/>
      <c r="AM816" s="511"/>
      <c r="AN816" s="511"/>
      <c r="AO816" s="511"/>
      <c r="AP816" s="511"/>
      <c r="AQ816" s="466"/>
      <c r="AR816" s="468"/>
      <c r="AS816" s="122" t="s">
        <v>259</v>
      </c>
      <c r="AT816" s="123"/>
      <c r="AU816" s="123"/>
      <c r="AV816" s="123"/>
      <c r="AW816" s="124"/>
      <c r="AX816" s="126">
        <f t="shared" si="1534"/>
        <v>0</v>
      </c>
      <c r="AY816" s="142" t="s">
        <v>259</v>
      </c>
      <c r="AZ816" s="138"/>
      <c r="BA816" s="138"/>
      <c r="BB816" s="135">
        <f t="shared" si="1535"/>
        <v>0</v>
      </c>
      <c r="BC816" s="474" t="s">
        <v>260</v>
      </c>
      <c r="BD816" s="475"/>
      <c r="BE816" s="14"/>
      <c r="BF816" s="17"/>
      <c r="BG816" s="14"/>
      <c r="BH816" s="17"/>
      <c r="BI816" s="14"/>
      <c r="BJ816" s="17"/>
      <c r="BK816" s="14"/>
      <c r="BL816" s="17"/>
      <c r="BM816" s="14"/>
      <c r="BN816" s="17"/>
      <c r="BO816" s="14"/>
      <c r="BP816" s="17"/>
      <c r="BQ816" s="107">
        <f t="shared" si="1527"/>
        <v>0</v>
      </c>
      <c r="BR816" s="567"/>
      <c r="BS816" s="571"/>
      <c r="BT816" s="572"/>
      <c r="BU816" s="558"/>
      <c r="BV816" s="561"/>
      <c r="BW816" s="564"/>
      <c r="BX816" s="616"/>
    </row>
    <row r="817" spans="1:76" ht="15.75" thickBot="1" x14ac:dyDescent="0.3">
      <c r="A817" s="586"/>
      <c r="B817" s="590"/>
      <c r="C817" s="591"/>
      <c r="D817" s="605"/>
      <c r="E817" s="517"/>
      <c r="F817" s="518"/>
      <c r="G817" s="523"/>
      <c r="H817" s="524"/>
      <c r="I817" s="529"/>
      <c r="J817" s="530"/>
      <c r="K817" s="513"/>
      <c r="L817" s="534"/>
      <c r="M817" s="537"/>
      <c r="N817" s="541"/>
      <c r="O817" s="542"/>
      <c r="P817" s="483"/>
      <c r="Q817" s="484"/>
      <c r="R817" s="517"/>
      <c r="S817" s="518"/>
      <c r="T817" s="487"/>
      <c r="U817" s="488"/>
      <c r="V817" s="492"/>
      <c r="W817" s="483"/>
      <c r="X817" s="495"/>
      <c r="Y817" s="484"/>
      <c r="Z817" s="498"/>
      <c r="AA817" s="502"/>
      <c r="AB817" s="503"/>
      <c r="AC817" s="471" t="s">
        <v>259</v>
      </c>
      <c r="AD817" s="472"/>
      <c r="AE817" s="473"/>
      <c r="AF817" s="100"/>
      <c r="AG817" s="100"/>
      <c r="AH817" s="100"/>
      <c r="AI817" s="100"/>
      <c r="AJ817" s="100"/>
      <c r="AK817" s="100"/>
      <c r="AL817" s="100"/>
      <c r="AM817" s="100"/>
      <c r="AN817" s="100"/>
      <c r="AO817" s="100"/>
      <c r="AP817" s="100"/>
      <c r="AQ817" s="101"/>
      <c r="AR817" s="104">
        <f t="shared" ref="AR817:AR818" si="1536">SUM(AF817:AQ817)</f>
        <v>0</v>
      </c>
      <c r="AS817" s="128" t="s">
        <v>261</v>
      </c>
      <c r="AT817" s="129"/>
      <c r="AU817" s="129"/>
      <c r="AV817" s="129"/>
      <c r="AW817" s="130"/>
      <c r="AX817" s="126">
        <f t="shared" si="1534"/>
        <v>0</v>
      </c>
      <c r="AY817" s="143" t="s">
        <v>261</v>
      </c>
      <c r="AZ817" s="139"/>
      <c r="BA817" s="139"/>
      <c r="BB817" s="136">
        <f t="shared" si="1535"/>
        <v>0</v>
      </c>
      <c r="BC817" s="474" t="s">
        <v>262</v>
      </c>
      <c r="BD817" s="475"/>
      <c r="BE817" s="14"/>
      <c r="BF817" s="17"/>
      <c r="BG817" s="14"/>
      <c r="BH817" s="17"/>
      <c r="BI817" s="14"/>
      <c r="BJ817" s="17"/>
      <c r="BK817" s="14"/>
      <c r="BL817" s="17"/>
      <c r="BM817" s="14"/>
      <c r="BN817" s="17"/>
      <c r="BO817" s="14"/>
      <c r="BP817" s="17"/>
      <c r="BQ817" s="108">
        <f t="shared" si="1527"/>
        <v>0</v>
      </c>
      <c r="BR817" s="567"/>
      <c r="BS817" s="571"/>
      <c r="BT817" s="572"/>
      <c r="BU817" s="558"/>
      <c r="BV817" s="561"/>
      <c r="BW817" s="564"/>
      <c r="BX817" s="616"/>
    </row>
    <row r="818" spans="1:76" ht="15.75" thickBot="1" x14ac:dyDescent="0.3">
      <c r="A818" s="587"/>
      <c r="B818" s="592"/>
      <c r="C818" s="593"/>
      <c r="D818" s="606"/>
      <c r="E818" s="519"/>
      <c r="F818" s="520"/>
      <c r="G818" s="525"/>
      <c r="H818" s="526"/>
      <c r="I818" s="531"/>
      <c r="J818" s="532"/>
      <c r="K818" s="514"/>
      <c r="L818" s="535"/>
      <c r="M818" s="538"/>
      <c r="N818" s="543"/>
      <c r="O818" s="544"/>
      <c r="P818" s="485"/>
      <c r="Q818" s="486"/>
      <c r="R818" s="519"/>
      <c r="S818" s="520"/>
      <c r="T818" s="489"/>
      <c r="U818" s="490"/>
      <c r="V818" s="493"/>
      <c r="W818" s="485"/>
      <c r="X818" s="496"/>
      <c r="Y818" s="486"/>
      <c r="Z818" s="499"/>
      <c r="AA818" s="504"/>
      <c r="AB818" s="505"/>
      <c r="AC818" s="476" t="s">
        <v>261</v>
      </c>
      <c r="AD818" s="477"/>
      <c r="AE818" s="478"/>
      <c r="AF818" s="102"/>
      <c r="AG818" s="102"/>
      <c r="AH818" s="102"/>
      <c r="AI818" s="102"/>
      <c r="AJ818" s="102"/>
      <c r="AK818" s="102"/>
      <c r="AL818" s="102"/>
      <c r="AM818" s="102"/>
      <c r="AN818" s="102"/>
      <c r="AO818" s="102"/>
      <c r="AP818" s="102"/>
      <c r="AQ818" s="103"/>
      <c r="AR818" s="105">
        <f t="shared" si="1536"/>
        <v>0</v>
      </c>
      <c r="AS818" s="131" t="s">
        <v>161</v>
      </c>
      <c r="AT818" s="132">
        <f t="shared" ref="AT818:AX818" si="1537">SUM(AT815:AT817)</f>
        <v>0</v>
      </c>
      <c r="AU818" s="132">
        <f t="shared" si="1537"/>
        <v>0</v>
      </c>
      <c r="AV818" s="132">
        <f t="shared" si="1537"/>
        <v>0</v>
      </c>
      <c r="AW818" s="133">
        <f t="shared" si="1537"/>
        <v>0</v>
      </c>
      <c r="AX818" s="127">
        <f t="shared" si="1537"/>
        <v>0</v>
      </c>
      <c r="AY818" s="144" t="s">
        <v>161</v>
      </c>
      <c r="AZ818" s="140">
        <f t="shared" ref="AZ818:BB818" si="1538">SUM(AZ815:AZ817)</f>
        <v>0</v>
      </c>
      <c r="BA818" s="140">
        <f t="shared" si="1538"/>
        <v>0</v>
      </c>
      <c r="BB818" s="140">
        <f t="shared" si="1538"/>
        <v>0</v>
      </c>
      <c r="BC818" s="479" t="s">
        <v>263</v>
      </c>
      <c r="BD818" s="480"/>
      <c r="BE818" s="15"/>
      <c r="BF818" s="18"/>
      <c r="BG818" s="15"/>
      <c r="BH818" s="18"/>
      <c r="BI818" s="15"/>
      <c r="BJ818" s="18"/>
      <c r="BK818" s="15"/>
      <c r="BL818" s="18"/>
      <c r="BM818" s="15"/>
      <c r="BN818" s="18"/>
      <c r="BO818" s="15"/>
      <c r="BP818" s="18"/>
      <c r="BQ818" s="109">
        <f t="shared" si="1527"/>
        <v>0</v>
      </c>
      <c r="BR818" s="568"/>
      <c r="BS818" s="573"/>
      <c r="BT818" s="574"/>
      <c r="BU818" s="559"/>
      <c r="BV818" s="562"/>
      <c r="BW818" s="565"/>
      <c r="BX818" s="617"/>
    </row>
    <row r="819" spans="1:76" ht="15.75" thickTop="1" x14ac:dyDescent="0.25">
      <c r="A819" s="585">
        <v>203</v>
      </c>
      <c r="B819" s="588"/>
      <c r="C819" s="589"/>
      <c r="D819" s="604"/>
      <c r="E819" s="515"/>
      <c r="F819" s="516"/>
      <c r="G819" s="521"/>
      <c r="H819" s="522"/>
      <c r="I819" s="527"/>
      <c r="J819" s="528"/>
      <c r="K819" s="512" t="e">
        <f t="shared" ref="K819" si="1539">INT(YEARFRAC(I819,AA819))</f>
        <v>#VALUE!</v>
      </c>
      <c r="L819" s="533">
        <f t="shared" ref="L819" ca="1" si="1540">INT(YEARFRAC(I819,TODAY()))</f>
        <v>121</v>
      </c>
      <c r="M819" s="536"/>
      <c r="N819" s="539"/>
      <c r="O819" s="540"/>
      <c r="P819" s="481"/>
      <c r="Q819" s="482"/>
      <c r="R819" s="515"/>
      <c r="S819" s="516"/>
      <c r="T819" s="487"/>
      <c r="U819" s="488"/>
      <c r="V819" s="491"/>
      <c r="W819" s="481"/>
      <c r="X819" s="494"/>
      <c r="Y819" s="482"/>
      <c r="Z819" s="497"/>
      <c r="AA819" s="500" t="s">
        <v>444</v>
      </c>
      <c r="AB819" s="501"/>
      <c r="AC819" s="506" t="s">
        <v>257</v>
      </c>
      <c r="AD819" s="507"/>
      <c r="AE819" s="507"/>
      <c r="AF819" s="510"/>
      <c r="AG819" s="510"/>
      <c r="AH819" s="510"/>
      <c r="AI819" s="510"/>
      <c r="AJ819" s="510"/>
      <c r="AK819" s="510"/>
      <c r="AL819" s="510"/>
      <c r="AM819" s="510"/>
      <c r="AN819" s="510"/>
      <c r="AO819" s="510"/>
      <c r="AP819" s="510"/>
      <c r="AQ819" s="465"/>
      <c r="AR819" s="467">
        <f t="shared" ref="AR819" si="1541">SUM(AF819:AQ820)</f>
        <v>0</v>
      </c>
      <c r="AS819" s="119" t="s">
        <v>257</v>
      </c>
      <c r="AT819" s="120"/>
      <c r="AU819" s="120"/>
      <c r="AV819" s="120"/>
      <c r="AW819" s="121"/>
      <c r="AX819" s="125">
        <f t="shared" ref="AX819:AX821" si="1542">SUM(AT819:AW819)</f>
        <v>0</v>
      </c>
      <c r="AY819" s="141" t="s">
        <v>257</v>
      </c>
      <c r="AZ819" s="137"/>
      <c r="BA819" s="137"/>
      <c r="BB819" s="134">
        <f t="shared" ref="BB819:BB821" si="1543">AZ819-BA819</f>
        <v>0</v>
      </c>
      <c r="BC819" s="469" t="s">
        <v>258</v>
      </c>
      <c r="BD819" s="470"/>
      <c r="BE819" s="13"/>
      <c r="BF819" s="16"/>
      <c r="BG819" s="13"/>
      <c r="BH819" s="16"/>
      <c r="BI819" s="13"/>
      <c r="BJ819" s="16"/>
      <c r="BK819" s="13"/>
      <c r="BL819" s="16"/>
      <c r="BM819" s="13"/>
      <c r="BN819" s="16"/>
      <c r="BO819" s="13"/>
      <c r="BP819" s="16"/>
      <c r="BQ819" s="106">
        <f t="shared" si="1527"/>
        <v>0</v>
      </c>
      <c r="BR819" s="566"/>
      <c r="BS819" s="569"/>
      <c r="BT819" s="570"/>
      <c r="BU819" s="557"/>
      <c r="BV819" s="560"/>
      <c r="BW819" s="563"/>
      <c r="BX819" s="615"/>
    </row>
    <row r="820" spans="1:76" x14ac:dyDescent="0.25">
      <c r="A820" s="586"/>
      <c r="B820" s="590"/>
      <c r="C820" s="591"/>
      <c r="D820" s="605"/>
      <c r="E820" s="517"/>
      <c r="F820" s="518"/>
      <c r="G820" s="523"/>
      <c r="H820" s="524"/>
      <c r="I820" s="529"/>
      <c r="J820" s="530"/>
      <c r="K820" s="513"/>
      <c r="L820" s="534"/>
      <c r="M820" s="537"/>
      <c r="N820" s="541"/>
      <c r="O820" s="542"/>
      <c r="P820" s="483"/>
      <c r="Q820" s="484"/>
      <c r="R820" s="517"/>
      <c r="S820" s="518"/>
      <c r="T820" s="487"/>
      <c r="U820" s="488"/>
      <c r="V820" s="492"/>
      <c r="W820" s="483"/>
      <c r="X820" s="495"/>
      <c r="Y820" s="484"/>
      <c r="Z820" s="498"/>
      <c r="AA820" s="502"/>
      <c r="AB820" s="503"/>
      <c r="AC820" s="508"/>
      <c r="AD820" s="509"/>
      <c r="AE820" s="509"/>
      <c r="AF820" s="511"/>
      <c r="AG820" s="511"/>
      <c r="AH820" s="511"/>
      <c r="AI820" s="511"/>
      <c r="AJ820" s="511"/>
      <c r="AK820" s="511"/>
      <c r="AL820" s="511"/>
      <c r="AM820" s="511"/>
      <c r="AN820" s="511"/>
      <c r="AO820" s="511"/>
      <c r="AP820" s="511"/>
      <c r="AQ820" s="466"/>
      <c r="AR820" s="468"/>
      <c r="AS820" s="122" t="s">
        <v>259</v>
      </c>
      <c r="AT820" s="123"/>
      <c r="AU820" s="123"/>
      <c r="AV820" s="123"/>
      <c r="AW820" s="124"/>
      <c r="AX820" s="126">
        <f t="shared" si="1542"/>
        <v>0</v>
      </c>
      <c r="AY820" s="142" t="s">
        <v>259</v>
      </c>
      <c r="AZ820" s="138"/>
      <c r="BA820" s="138"/>
      <c r="BB820" s="135">
        <f t="shared" si="1543"/>
        <v>0</v>
      </c>
      <c r="BC820" s="474" t="s">
        <v>260</v>
      </c>
      <c r="BD820" s="475"/>
      <c r="BE820" s="14"/>
      <c r="BF820" s="17"/>
      <c r="BG820" s="14"/>
      <c r="BH820" s="17"/>
      <c r="BI820" s="14"/>
      <c r="BJ820" s="17"/>
      <c r="BK820" s="14"/>
      <c r="BL820" s="17"/>
      <c r="BM820" s="14"/>
      <c r="BN820" s="17"/>
      <c r="BO820" s="14"/>
      <c r="BP820" s="17"/>
      <c r="BQ820" s="107">
        <f t="shared" si="1527"/>
        <v>0</v>
      </c>
      <c r="BR820" s="567"/>
      <c r="BS820" s="571"/>
      <c r="BT820" s="572"/>
      <c r="BU820" s="558"/>
      <c r="BV820" s="561"/>
      <c r="BW820" s="564"/>
      <c r="BX820" s="616"/>
    </row>
    <row r="821" spans="1:76" ht="15.75" thickBot="1" x14ac:dyDescent="0.3">
      <c r="A821" s="586"/>
      <c r="B821" s="590"/>
      <c r="C821" s="591"/>
      <c r="D821" s="605"/>
      <c r="E821" s="517"/>
      <c r="F821" s="518"/>
      <c r="G821" s="523"/>
      <c r="H821" s="524"/>
      <c r="I821" s="529"/>
      <c r="J821" s="530"/>
      <c r="K821" s="513"/>
      <c r="L821" s="534"/>
      <c r="M821" s="537"/>
      <c r="N821" s="541"/>
      <c r="O821" s="542"/>
      <c r="P821" s="483"/>
      <c r="Q821" s="484"/>
      <c r="R821" s="517"/>
      <c r="S821" s="518"/>
      <c r="T821" s="487"/>
      <c r="U821" s="488"/>
      <c r="V821" s="492"/>
      <c r="W821" s="483"/>
      <c r="X821" s="495"/>
      <c r="Y821" s="484"/>
      <c r="Z821" s="498"/>
      <c r="AA821" s="502"/>
      <c r="AB821" s="503"/>
      <c r="AC821" s="471" t="s">
        <v>259</v>
      </c>
      <c r="AD821" s="472"/>
      <c r="AE821" s="473"/>
      <c r="AF821" s="100"/>
      <c r="AG821" s="100"/>
      <c r="AH821" s="100"/>
      <c r="AI821" s="100"/>
      <c r="AJ821" s="100"/>
      <c r="AK821" s="100"/>
      <c r="AL821" s="100"/>
      <c r="AM821" s="100"/>
      <c r="AN821" s="100"/>
      <c r="AO821" s="100"/>
      <c r="AP821" s="100"/>
      <c r="AQ821" s="101"/>
      <c r="AR821" s="104">
        <f t="shared" ref="AR821:AR822" si="1544">SUM(AF821:AQ821)</f>
        <v>0</v>
      </c>
      <c r="AS821" s="128" t="s">
        <v>261</v>
      </c>
      <c r="AT821" s="129"/>
      <c r="AU821" s="129"/>
      <c r="AV821" s="129"/>
      <c r="AW821" s="130"/>
      <c r="AX821" s="126">
        <f t="shared" si="1542"/>
        <v>0</v>
      </c>
      <c r="AY821" s="143" t="s">
        <v>261</v>
      </c>
      <c r="AZ821" s="139"/>
      <c r="BA821" s="139"/>
      <c r="BB821" s="136">
        <f t="shared" si="1543"/>
        <v>0</v>
      </c>
      <c r="BC821" s="474" t="s">
        <v>262</v>
      </c>
      <c r="BD821" s="475"/>
      <c r="BE821" s="14"/>
      <c r="BF821" s="17"/>
      <c r="BG821" s="14"/>
      <c r="BH821" s="17"/>
      <c r="BI821" s="14"/>
      <c r="BJ821" s="17"/>
      <c r="BK821" s="14"/>
      <c r="BL821" s="17"/>
      <c r="BM821" s="14"/>
      <c r="BN821" s="17"/>
      <c r="BO821" s="14"/>
      <c r="BP821" s="17"/>
      <c r="BQ821" s="108">
        <f t="shared" si="1527"/>
        <v>0</v>
      </c>
      <c r="BR821" s="567"/>
      <c r="BS821" s="571"/>
      <c r="BT821" s="572"/>
      <c r="BU821" s="558"/>
      <c r="BV821" s="561"/>
      <c r="BW821" s="564"/>
      <c r="BX821" s="616"/>
    </row>
    <row r="822" spans="1:76" ht="15.75" thickBot="1" x14ac:dyDescent="0.3">
      <c r="A822" s="587"/>
      <c r="B822" s="592"/>
      <c r="C822" s="593"/>
      <c r="D822" s="606"/>
      <c r="E822" s="519"/>
      <c r="F822" s="520"/>
      <c r="G822" s="525"/>
      <c r="H822" s="526"/>
      <c r="I822" s="531"/>
      <c r="J822" s="532"/>
      <c r="K822" s="514"/>
      <c r="L822" s="535"/>
      <c r="M822" s="538"/>
      <c r="N822" s="543"/>
      <c r="O822" s="544"/>
      <c r="P822" s="485"/>
      <c r="Q822" s="486"/>
      <c r="R822" s="519"/>
      <c r="S822" s="520"/>
      <c r="T822" s="489"/>
      <c r="U822" s="490"/>
      <c r="V822" s="493"/>
      <c r="W822" s="485"/>
      <c r="X822" s="496"/>
      <c r="Y822" s="486"/>
      <c r="Z822" s="499"/>
      <c r="AA822" s="504"/>
      <c r="AB822" s="505"/>
      <c r="AC822" s="476" t="s">
        <v>261</v>
      </c>
      <c r="AD822" s="477"/>
      <c r="AE822" s="478"/>
      <c r="AF822" s="102"/>
      <c r="AG822" s="102"/>
      <c r="AH822" s="102"/>
      <c r="AI822" s="102"/>
      <c r="AJ822" s="102"/>
      <c r="AK822" s="102"/>
      <c r="AL822" s="102"/>
      <c r="AM822" s="102"/>
      <c r="AN822" s="102"/>
      <c r="AO822" s="102"/>
      <c r="AP822" s="102"/>
      <c r="AQ822" s="103"/>
      <c r="AR822" s="105">
        <f t="shared" si="1544"/>
        <v>0</v>
      </c>
      <c r="AS822" s="131" t="s">
        <v>161</v>
      </c>
      <c r="AT822" s="132">
        <f t="shared" ref="AT822:AX822" si="1545">SUM(AT819:AT821)</f>
        <v>0</v>
      </c>
      <c r="AU822" s="132">
        <f t="shared" si="1545"/>
        <v>0</v>
      </c>
      <c r="AV822" s="132">
        <f t="shared" si="1545"/>
        <v>0</v>
      </c>
      <c r="AW822" s="133">
        <f t="shared" si="1545"/>
        <v>0</v>
      </c>
      <c r="AX822" s="127">
        <f t="shared" si="1545"/>
        <v>0</v>
      </c>
      <c r="AY822" s="144" t="s">
        <v>161</v>
      </c>
      <c r="AZ822" s="140">
        <f t="shared" ref="AZ822:BB822" si="1546">SUM(AZ819:AZ821)</f>
        <v>0</v>
      </c>
      <c r="BA822" s="140">
        <f t="shared" si="1546"/>
        <v>0</v>
      </c>
      <c r="BB822" s="140">
        <f t="shared" si="1546"/>
        <v>0</v>
      </c>
      <c r="BC822" s="479" t="s">
        <v>263</v>
      </c>
      <c r="BD822" s="480"/>
      <c r="BE822" s="15"/>
      <c r="BF822" s="18"/>
      <c r="BG822" s="15"/>
      <c r="BH822" s="18"/>
      <c r="BI822" s="15"/>
      <c r="BJ822" s="18"/>
      <c r="BK822" s="15"/>
      <c r="BL822" s="18"/>
      <c r="BM822" s="15"/>
      <c r="BN822" s="18"/>
      <c r="BO822" s="15"/>
      <c r="BP822" s="18"/>
      <c r="BQ822" s="109">
        <f t="shared" si="1527"/>
        <v>0</v>
      </c>
      <c r="BR822" s="568"/>
      <c r="BS822" s="573"/>
      <c r="BT822" s="574"/>
      <c r="BU822" s="559"/>
      <c r="BV822" s="562"/>
      <c r="BW822" s="565"/>
      <c r="BX822" s="617"/>
    </row>
    <row r="823" spans="1:76" ht="15.75" thickTop="1" x14ac:dyDescent="0.25">
      <c r="A823" s="585">
        <v>204</v>
      </c>
      <c r="B823" s="588"/>
      <c r="C823" s="589"/>
      <c r="D823" s="604"/>
      <c r="E823" s="515"/>
      <c r="F823" s="516"/>
      <c r="G823" s="521"/>
      <c r="H823" s="522"/>
      <c r="I823" s="527"/>
      <c r="J823" s="528"/>
      <c r="K823" s="512" t="e">
        <f t="shared" ref="K823" si="1547">INT(YEARFRAC(I823,AA823))</f>
        <v>#VALUE!</v>
      </c>
      <c r="L823" s="533">
        <f t="shared" ref="L823" ca="1" si="1548">INT(YEARFRAC(I823,TODAY()))</f>
        <v>121</v>
      </c>
      <c r="M823" s="536"/>
      <c r="N823" s="539"/>
      <c r="O823" s="540"/>
      <c r="P823" s="481"/>
      <c r="Q823" s="482"/>
      <c r="R823" s="515"/>
      <c r="S823" s="516"/>
      <c r="T823" s="487"/>
      <c r="U823" s="488"/>
      <c r="V823" s="491"/>
      <c r="W823" s="481"/>
      <c r="X823" s="494"/>
      <c r="Y823" s="482"/>
      <c r="Z823" s="497"/>
      <c r="AA823" s="500" t="s">
        <v>445</v>
      </c>
      <c r="AB823" s="501"/>
      <c r="AC823" s="506" t="s">
        <v>257</v>
      </c>
      <c r="AD823" s="507"/>
      <c r="AE823" s="507"/>
      <c r="AF823" s="510"/>
      <c r="AG823" s="510"/>
      <c r="AH823" s="510"/>
      <c r="AI823" s="510"/>
      <c r="AJ823" s="510"/>
      <c r="AK823" s="510"/>
      <c r="AL823" s="510"/>
      <c r="AM823" s="510"/>
      <c r="AN823" s="510"/>
      <c r="AO823" s="510"/>
      <c r="AP823" s="510"/>
      <c r="AQ823" s="465"/>
      <c r="AR823" s="467">
        <f t="shared" ref="AR823" si="1549">SUM(AF823:AQ824)</f>
        <v>0</v>
      </c>
      <c r="AS823" s="119" t="s">
        <v>257</v>
      </c>
      <c r="AT823" s="120"/>
      <c r="AU823" s="120"/>
      <c r="AV823" s="120"/>
      <c r="AW823" s="121"/>
      <c r="AX823" s="125">
        <f t="shared" ref="AX823:AX825" si="1550">SUM(AT823:AW823)</f>
        <v>0</v>
      </c>
      <c r="AY823" s="141" t="s">
        <v>257</v>
      </c>
      <c r="AZ823" s="137"/>
      <c r="BA823" s="137"/>
      <c r="BB823" s="134">
        <f t="shared" ref="BB823:BB825" si="1551">AZ823-BA823</f>
        <v>0</v>
      </c>
      <c r="BC823" s="469" t="s">
        <v>258</v>
      </c>
      <c r="BD823" s="470"/>
      <c r="BE823" s="13"/>
      <c r="BF823" s="16"/>
      <c r="BG823" s="13"/>
      <c r="BH823" s="16"/>
      <c r="BI823" s="13"/>
      <c r="BJ823" s="16"/>
      <c r="BK823" s="13"/>
      <c r="BL823" s="16"/>
      <c r="BM823" s="13"/>
      <c r="BN823" s="16"/>
      <c r="BO823" s="13"/>
      <c r="BP823" s="16"/>
      <c r="BQ823" s="106">
        <f t="shared" si="1527"/>
        <v>0</v>
      </c>
      <c r="BR823" s="566"/>
      <c r="BS823" s="569"/>
      <c r="BT823" s="570"/>
      <c r="BU823" s="557"/>
      <c r="BV823" s="560"/>
      <c r="BW823" s="563"/>
      <c r="BX823" s="615"/>
    </row>
    <row r="824" spans="1:76" x14ac:dyDescent="0.25">
      <c r="A824" s="586"/>
      <c r="B824" s="590"/>
      <c r="C824" s="591"/>
      <c r="D824" s="605"/>
      <c r="E824" s="517"/>
      <c r="F824" s="518"/>
      <c r="G824" s="523"/>
      <c r="H824" s="524"/>
      <c r="I824" s="529"/>
      <c r="J824" s="530"/>
      <c r="K824" s="513"/>
      <c r="L824" s="534"/>
      <c r="M824" s="537"/>
      <c r="N824" s="541"/>
      <c r="O824" s="542"/>
      <c r="P824" s="483"/>
      <c r="Q824" s="484"/>
      <c r="R824" s="517"/>
      <c r="S824" s="518"/>
      <c r="T824" s="487"/>
      <c r="U824" s="488"/>
      <c r="V824" s="492"/>
      <c r="W824" s="483"/>
      <c r="X824" s="495"/>
      <c r="Y824" s="484"/>
      <c r="Z824" s="498"/>
      <c r="AA824" s="502"/>
      <c r="AB824" s="503"/>
      <c r="AC824" s="508"/>
      <c r="AD824" s="509"/>
      <c r="AE824" s="509"/>
      <c r="AF824" s="511"/>
      <c r="AG824" s="511"/>
      <c r="AH824" s="511"/>
      <c r="AI824" s="511"/>
      <c r="AJ824" s="511"/>
      <c r="AK824" s="511"/>
      <c r="AL824" s="511"/>
      <c r="AM824" s="511"/>
      <c r="AN824" s="511"/>
      <c r="AO824" s="511"/>
      <c r="AP824" s="511"/>
      <c r="AQ824" s="466"/>
      <c r="AR824" s="468"/>
      <c r="AS824" s="122" t="s">
        <v>259</v>
      </c>
      <c r="AT824" s="123"/>
      <c r="AU824" s="123"/>
      <c r="AV824" s="123"/>
      <c r="AW824" s="124"/>
      <c r="AX824" s="126">
        <f t="shared" si="1550"/>
        <v>0</v>
      </c>
      <c r="AY824" s="142" t="s">
        <v>259</v>
      </c>
      <c r="AZ824" s="138"/>
      <c r="BA824" s="138"/>
      <c r="BB824" s="135">
        <f t="shared" si="1551"/>
        <v>0</v>
      </c>
      <c r="BC824" s="474" t="s">
        <v>260</v>
      </c>
      <c r="BD824" s="475"/>
      <c r="BE824" s="14"/>
      <c r="BF824" s="17"/>
      <c r="BG824" s="14"/>
      <c r="BH824" s="17"/>
      <c r="BI824" s="14"/>
      <c r="BJ824" s="17"/>
      <c r="BK824" s="14"/>
      <c r="BL824" s="17"/>
      <c r="BM824" s="14"/>
      <c r="BN824" s="17"/>
      <c r="BO824" s="14"/>
      <c r="BP824" s="17"/>
      <c r="BQ824" s="107">
        <f t="shared" si="1527"/>
        <v>0</v>
      </c>
      <c r="BR824" s="567"/>
      <c r="BS824" s="571"/>
      <c r="BT824" s="572"/>
      <c r="BU824" s="558"/>
      <c r="BV824" s="561"/>
      <c r="BW824" s="564"/>
      <c r="BX824" s="616"/>
    </row>
    <row r="825" spans="1:76" ht="15.75" thickBot="1" x14ac:dyDescent="0.3">
      <c r="A825" s="586"/>
      <c r="B825" s="590"/>
      <c r="C825" s="591"/>
      <c r="D825" s="605"/>
      <c r="E825" s="517"/>
      <c r="F825" s="518"/>
      <c r="G825" s="523"/>
      <c r="H825" s="524"/>
      <c r="I825" s="529"/>
      <c r="J825" s="530"/>
      <c r="K825" s="513"/>
      <c r="L825" s="534"/>
      <c r="M825" s="537"/>
      <c r="N825" s="541"/>
      <c r="O825" s="542"/>
      <c r="P825" s="483"/>
      <c r="Q825" s="484"/>
      <c r="R825" s="517"/>
      <c r="S825" s="518"/>
      <c r="T825" s="487"/>
      <c r="U825" s="488"/>
      <c r="V825" s="492"/>
      <c r="W825" s="483"/>
      <c r="X825" s="495"/>
      <c r="Y825" s="484"/>
      <c r="Z825" s="498"/>
      <c r="AA825" s="502"/>
      <c r="AB825" s="503"/>
      <c r="AC825" s="471" t="s">
        <v>259</v>
      </c>
      <c r="AD825" s="472"/>
      <c r="AE825" s="473"/>
      <c r="AF825" s="100"/>
      <c r="AG825" s="100"/>
      <c r="AH825" s="100"/>
      <c r="AI825" s="100"/>
      <c r="AJ825" s="100"/>
      <c r="AK825" s="100"/>
      <c r="AL825" s="100"/>
      <c r="AM825" s="100"/>
      <c r="AN825" s="100"/>
      <c r="AO825" s="100"/>
      <c r="AP825" s="100"/>
      <c r="AQ825" s="101"/>
      <c r="AR825" s="104">
        <f t="shared" ref="AR825:AR826" si="1552">SUM(AF825:AQ825)</f>
        <v>0</v>
      </c>
      <c r="AS825" s="128" t="s">
        <v>261</v>
      </c>
      <c r="AT825" s="129"/>
      <c r="AU825" s="129"/>
      <c r="AV825" s="129"/>
      <c r="AW825" s="130"/>
      <c r="AX825" s="126">
        <f t="shared" si="1550"/>
        <v>0</v>
      </c>
      <c r="AY825" s="143" t="s">
        <v>261</v>
      </c>
      <c r="AZ825" s="139"/>
      <c r="BA825" s="139"/>
      <c r="BB825" s="136">
        <f t="shared" si="1551"/>
        <v>0</v>
      </c>
      <c r="BC825" s="474" t="s">
        <v>262</v>
      </c>
      <c r="BD825" s="475"/>
      <c r="BE825" s="14"/>
      <c r="BF825" s="17"/>
      <c r="BG825" s="14"/>
      <c r="BH825" s="17"/>
      <c r="BI825" s="14"/>
      <c r="BJ825" s="17"/>
      <c r="BK825" s="14"/>
      <c r="BL825" s="17"/>
      <c r="BM825" s="14"/>
      <c r="BN825" s="17"/>
      <c r="BO825" s="14"/>
      <c r="BP825" s="17"/>
      <c r="BQ825" s="108">
        <f t="shared" si="1527"/>
        <v>0</v>
      </c>
      <c r="BR825" s="567"/>
      <c r="BS825" s="571"/>
      <c r="BT825" s="572"/>
      <c r="BU825" s="558"/>
      <c r="BV825" s="561"/>
      <c r="BW825" s="564"/>
      <c r="BX825" s="616"/>
    </row>
    <row r="826" spans="1:76" ht="15.75" thickBot="1" x14ac:dyDescent="0.3">
      <c r="A826" s="587"/>
      <c r="B826" s="592"/>
      <c r="C826" s="593"/>
      <c r="D826" s="606"/>
      <c r="E826" s="519"/>
      <c r="F826" s="520"/>
      <c r="G826" s="525"/>
      <c r="H826" s="526"/>
      <c r="I826" s="531"/>
      <c r="J826" s="532"/>
      <c r="K826" s="514"/>
      <c r="L826" s="535"/>
      <c r="M826" s="538"/>
      <c r="N826" s="543"/>
      <c r="O826" s="544"/>
      <c r="P826" s="485"/>
      <c r="Q826" s="486"/>
      <c r="R826" s="519"/>
      <c r="S826" s="520"/>
      <c r="T826" s="489"/>
      <c r="U826" s="490"/>
      <c r="V826" s="493"/>
      <c r="W826" s="485"/>
      <c r="X826" s="496"/>
      <c r="Y826" s="486"/>
      <c r="Z826" s="499"/>
      <c r="AA826" s="504"/>
      <c r="AB826" s="505"/>
      <c r="AC826" s="476" t="s">
        <v>261</v>
      </c>
      <c r="AD826" s="477"/>
      <c r="AE826" s="478"/>
      <c r="AF826" s="102"/>
      <c r="AG826" s="102"/>
      <c r="AH826" s="102"/>
      <c r="AI826" s="102"/>
      <c r="AJ826" s="102"/>
      <c r="AK826" s="102"/>
      <c r="AL826" s="102"/>
      <c r="AM826" s="102"/>
      <c r="AN826" s="102"/>
      <c r="AO826" s="102"/>
      <c r="AP826" s="102"/>
      <c r="AQ826" s="103"/>
      <c r="AR826" s="105">
        <f t="shared" si="1552"/>
        <v>0</v>
      </c>
      <c r="AS826" s="131" t="s">
        <v>161</v>
      </c>
      <c r="AT826" s="132">
        <f t="shared" ref="AT826:AX826" si="1553">SUM(AT823:AT825)</f>
        <v>0</v>
      </c>
      <c r="AU826" s="132">
        <f t="shared" si="1553"/>
        <v>0</v>
      </c>
      <c r="AV826" s="132">
        <f t="shared" si="1553"/>
        <v>0</v>
      </c>
      <c r="AW826" s="133">
        <f t="shared" si="1553"/>
        <v>0</v>
      </c>
      <c r="AX826" s="127">
        <f t="shared" si="1553"/>
        <v>0</v>
      </c>
      <c r="AY826" s="144" t="s">
        <v>161</v>
      </c>
      <c r="AZ826" s="140">
        <f t="shared" ref="AZ826:BB826" si="1554">SUM(AZ823:AZ825)</f>
        <v>0</v>
      </c>
      <c r="BA826" s="140">
        <f t="shared" si="1554"/>
        <v>0</v>
      </c>
      <c r="BB826" s="140">
        <f t="shared" si="1554"/>
        <v>0</v>
      </c>
      <c r="BC826" s="479" t="s">
        <v>263</v>
      </c>
      <c r="BD826" s="480"/>
      <c r="BE826" s="15"/>
      <c r="BF826" s="18"/>
      <c r="BG826" s="15"/>
      <c r="BH826" s="18"/>
      <c r="BI826" s="15"/>
      <c r="BJ826" s="18"/>
      <c r="BK826" s="15"/>
      <c r="BL826" s="18"/>
      <c r="BM826" s="15"/>
      <c r="BN826" s="18"/>
      <c r="BO826" s="15"/>
      <c r="BP826" s="18"/>
      <c r="BQ826" s="109">
        <f t="shared" si="1527"/>
        <v>0</v>
      </c>
      <c r="BR826" s="568"/>
      <c r="BS826" s="573"/>
      <c r="BT826" s="574"/>
      <c r="BU826" s="559"/>
      <c r="BV826" s="562"/>
      <c r="BW826" s="565"/>
      <c r="BX826" s="617"/>
    </row>
    <row r="827" spans="1:76" ht="15.75" thickTop="1" x14ac:dyDescent="0.25">
      <c r="A827" s="585">
        <v>205</v>
      </c>
      <c r="B827" s="588"/>
      <c r="C827" s="589"/>
      <c r="D827" s="604"/>
      <c r="E827" s="515"/>
      <c r="F827" s="516"/>
      <c r="G827" s="521"/>
      <c r="H827" s="522"/>
      <c r="I827" s="527"/>
      <c r="J827" s="528"/>
      <c r="K827" s="512" t="e">
        <f t="shared" ref="K827" si="1555">INT(YEARFRAC(I827,AA827))</f>
        <v>#VALUE!</v>
      </c>
      <c r="L827" s="533">
        <f t="shared" ref="L827" ca="1" si="1556">INT(YEARFRAC(I827,TODAY()))</f>
        <v>121</v>
      </c>
      <c r="M827" s="536"/>
      <c r="N827" s="539"/>
      <c r="O827" s="540"/>
      <c r="P827" s="481"/>
      <c r="Q827" s="482"/>
      <c r="R827" s="515"/>
      <c r="S827" s="516"/>
      <c r="T827" s="487"/>
      <c r="U827" s="488"/>
      <c r="V827" s="491"/>
      <c r="W827" s="481"/>
      <c r="X827" s="494"/>
      <c r="Y827" s="482"/>
      <c r="Z827" s="497"/>
      <c r="AA827" s="500" t="s">
        <v>446</v>
      </c>
      <c r="AB827" s="501"/>
      <c r="AC827" s="506" t="s">
        <v>257</v>
      </c>
      <c r="AD827" s="507"/>
      <c r="AE827" s="507"/>
      <c r="AF827" s="510"/>
      <c r="AG827" s="510"/>
      <c r="AH827" s="510"/>
      <c r="AI827" s="510"/>
      <c r="AJ827" s="510"/>
      <c r="AK827" s="510"/>
      <c r="AL827" s="510"/>
      <c r="AM827" s="510"/>
      <c r="AN827" s="510"/>
      <c r="AO827" s="510"/>
      <c r="AP827" s="510"/>
      <c r="AQ827" s="465"/>
      <c r="AR827" s="467">
        <f t="shared" ref="AR827" si="1557">SUM(AF827:AQ828)</f>
        <v>0</v>
      </c>
      <c r="AS827" s="119" t="s">
        <v>257</v>
      </c>
      <c r="AT827" s="120"/>
      <c r="AU827" s="120"/>
      <c r="AV827" s="120"/>
      <c r="AW827" s="121"/>
      <c r="AX827" s="125">
        <f t="shared" ref="AX827:AX829" si="1558">SUM(AT827:AW827)</f>
        <v>0</v>
      </c>
      <c r="AY827" s="141" t="s">
        <v>257</v>
      </c>
      <c r="AZ827" s="137"/>
      <c r="BA827" s="137"/>
      <c r="BB827" s="134">
        <f t="shared" ref="BB827:BB829" si="1559">AZ827-BA827</f>
        <v>0</v>
      </c>
      <c r="BC827" s="469" t="s">
        <v>258</v>
      </c>
      <c r="BD827" s="470"/>
      <c r="BE827" s="13"/>
      <c r="BF827" s="16"/>
      <c r="BG827" s="13"/>
      <c r="BH827" s="16"/>
      <c r="BI827" s="13"/>
      <c r="BJ827" s="16"/>
      <c r="BK827" s="13"/>
      <c r="BL827" s="16"/>
      <c r="BM827" s="13"/>
      <c r="BN827" s="16"/>
      <c r="BO827" s="13"/>
      <c r="BP827" s="16"/>
      <c r="BQ827" s="106">
        <f t="shared" si="1527"/>
        <v>0</v>
      </c>
      <c r="BR827" s="566"/>
      <c r="BS827" s="569"/>
      <c r="BT827" s="570"/>
      <c r="BU827" s="557"/>
      <c r="BV827" s="560"/>
      <c r="BW827" s="563"/>
      <c r="BX827" s="615"/>
    </row>
    <row r="828" spans="1:76" x14ac:dyDescent="0.25">
      <c r="A828" s="586"/>
      <c r="B828" s="590"/>
      <c r="C828" s="591"/>
      <c r="D828" s="605"/>
      <c r="E828" s="517"/>
      <c r="F828" s="518"/>
      <c r="G828" s="523"/>
      <c r="H828" s="524"/>
      <c r="I828" s="529"/>
      <c r="J828" s="530"/>
      <c r="K828" s="513"/>
      <c r="L828" s="534"/>
      <c r="M828" s="537"/>
      <c r="N828" s="541"/>
      <c r="O828" s="542"/>
      <c r="P828" s="483"/>
      <c r="Q828" s="484"/>
      <c r="R828" s="517"/>
      <c r="S828" s="518"/>
      <c r="T828" s="487"/>
      <c r="U828" s="488"/>
      <c r="V828" s="492"/>
      <c r="W828" s="483"/>
      <c r="X828" s="495"/>
      <c r="Y828" s="484"/>
      <c r="Z828" s="498"/>
      <c r="AA828" s="502"/>
      <c r="AB828" s="503"/>
      <c r="AC828" s="508"/>
      <c r="AD828" s="509"/>
      <c r="AE828" s="509"/>
      <c r="AF828" s="511"/>
      <c r="AG828" s="511"/>
      <c r="AH828" s="511"/>
      <c r="AI828" s="511"/>
      <c r="AJ828" s="511"/>
      <c r="AK828" s="511"/>
      <c r="AL828" s="511"/>
      <c r="AM828" s="511"/>
      <c r="AN828" s="511"/>
      <c r="AO828" s="511"/>
      <c r="AP828" s="511"/>
      <c r="AQ828" s="466"/>
      <c r="AR828" s="468"/>
      <c r="AS828" s="122" t="s">
        <v>259</v>
      </c>
      <c r="AT828" s="123"/>
      <c r="AU828" s="123"/>
      <c r="AV828" s="123"/>
      <c r="AW828" s="124"/>
      <c r="AX828" s="126">
        <f t="shared" si="1558"/>
        <v>0</v>
      </c>
      <c r="AY828" s="142" t="s">
        <v>259</v>
      </c>
      <c r="AZ828" s="138"/>
      <c r="BA828" s="138"/>
      <c r="BB828" s="135">
        <f t="shared" si="1559"/>
        <v>0</v>
      </c>
      <c r="BC828" s="474" t="s">
        <v>260</v>
      </c>
      <c r="BD828" s="475"/>
      <c r="BE828" s="14"/>
      <c r="BF828" s="17"/>
      <c r="BG828" s="14"/>
      <c r="BH828" s="17"/>
      <c r="BI828" s="14"/>
      <c r="BJ828" s="17"/>
      <c r="BK828" s="14"/>
      <c r="BL828" s="17"/>
      <c r="BM828" s="14"/>
      <c r="BN828" s="17"/>
      <c r="BO828" s="14"/>
      <c r="BP828" s="17"/>
      <c r="BQ828" s="107">
        <f t="shared" si="1527"/>
        <v>0</v>
      </c>
      <c r="BR828" s="567"/>
      <c r="BS828" s="571"/>
      <c r="BT828" s="572"/>
      <c r="BU828" s="558"/>
      <c r="BV828" s="561"/>
      <c r="BW828" s="564"/>
      <c r="BX828" s="616"/>
    </row>
    <row r="829" spans="1:76" ht="15.75" thickBot="1" x14ac:dyDescent="0.3">
      <c r="A829" s="586"/>
      <c r="B829" s="590"/>
      <c r="C829" s="591"/>
      <c r="D829" s="605"/>
      <c r="E829" s="517"/>
      <c r="F829" s="518"/>
      <c r="G829" s="523"/>
      <c r="H829" s="524"/>
      <c r="I829" s="529"/>
      <c r="J829" s="530"/>
      <c r="K829" s="513"/>
      <c r="L829" s="534"/>
      <c r="M829" s="537"/>
      <c r="N829" s="541"/>
      <c r="O829" s="542"/>
      <c r="P829" s="483"/>
      <c r="Q829" s="484"/>
      <c r="R829" s="517"/>
      <c r="S829" s="518"/>
      <c r="T829" s="487"/>
      <c r="U829" s="488"/>
      <c r="V829" s="492"/>
      <c r="W829" s="483"/>
      <c r="X829" s="495"/>
      <c r="Y829" s="484"/>
      <c r="Z829" s="498"/>
      <c r="AA829" s="502"/>
      <c r="AB829" s="503"/>
      <c r="AC829" s="471" t="s">
        <v>259</v>
      </c>
      <c r="AD829" s="472"/>
      <c r="AE829" s="473"/>
      <c r="AF829" s="100"/>
      <c r="AG829" s="100"/>
      <c r="AH829" s="100"/>
      <c r="AI829" s="100"/>
      <c r="AJ829" s="100"/>
      <c r="AK829" s="100"/>
      <c r="AL829" s="100"/>
      <c r="AM829" s="100"/>
      <c r="AN829" s="100"/>
      <c r="AO829" s="100"/>
      <c r="AP829" s="100"/>
      <c r="AQ829" s="101"/>
      <c r="AR829" s="104">
        <f t="shared" ref="AR829:AR830" si="1560">SUM(AF829:AQ829)</f>
        <v>0</v>
      </c>
      <c r="AS829" s="128" t="s">
        <v>261</v>
      </c>
      <c r="AT829" s="129"/>
      <c r="AU829" s="129"/>
      <c r="AV829" s="129"/>
      <c r="AW829" s="130"/>
      <c r="AX829" s="126">
        <f t="shared" si="1558"/>
        <v>0</v>
      </c>
      <c r="AY829" s="143" t="s">
        <v>261</v>
      </c>
      <c r="AZ829" s="139"/>
      <c r="BA829" s="139"/>
      <c r="BB829" s="136">
        <f t="shared" si="1559"/>
        <v>0</v>
      </c>
      <c r="BC829" s="474" t="s">
        <v>262</v>
      </c>
      <c r="BD829" s="475"/>
      <c r="BE829" s="14"/>
      <c r="BF829" s="17"/>
      <c r="BG829" s="14"/>
      <c r="BH829" s="17"/>
      <c r="BI829" s="14"/>
      <c r="BJ829" s="17"/>
      <c r="BK829" s="14"/>
      <c r="BL829" s="17"/>
      <c r="BM829" s="14"/>
      <c r="BN829" s="17"/>
      <c r="BO829" s="14"/>
      <c r="BP829" s="17"/>
      <c r="BQ829" s="108">
        <f t="shared" si="1527"/>
        <v>0</v>
      </c>
      <c r="BR829" s="567"/>
      <c r="BS829" s="571"/>
      <c r="BT829" s="572"/>
      <c r="BU829" s="558"/>
      <c r="BV829" s="561"/>
      <c r="BW829" s="564"/>
      <c r="BX829" s="616"/>
    </row>
    <row r="830" spans="1:76" ht="15.75" thickBot="1" x14ac:dyDescent="0.3">
      <c r="A830" s="587"/>
      <c r="B830" s="592"/>
      <c r="C830" s="593"/>
      <c r="D830" s="606"/>
      <c r="E830" s="519"/>
      <c r="F830" s="520"/>
      <c r="G830" s="525"/>
      <c r="H830" s="526"/>
      <c r="I830" s="531"/>
      <c r="J830" s="532"/>
      <c r="K830" s="514"/>
      <c r="L830" s="535"/>
      <c r="M830" s="538"/>
      <c r="N830" s="543"/>
      <c r="O830" s="544"/>
      <c r="P830" s="485"/>
      <c r="Q830" s="486"/>
      <c r="R830" s="519"/>
      <c r="S830" s="520"/>
      <c r="T830" s="489"/>
      <c r="U830" s="490"/>
      <c r="V830" s="493"/>
      <c r="W830" s="485"/>
      <c r="X830" s="496"/>
      <c r="Y830" s="486"/>
      <c r="Z830" s="499"/>
      <c r="AA830" s="504"/>
      <c r="AB830" s="505"/>
      <c r="AC830" s="476" t="s">
        <v>261</v>
      </c>
      <c r="AD830" s="477"/>
      <c r="AE830" s="478"/>
      <c r="AF830" s="102"/>
      <c r="AG830" s="102"/>
      <c r="AH830" s="102"/>
      <c r="AI830" s="102"/>
      <c r="AJ830" s="102"/>
      <c r="AK830" s="102"/>
      <c r="AL830" s="102"/>
      <c r="AM830" s="102"/>
      <c r="AN830" s="102"/>
      <c r="AO830" s="102"/>
      <c r="AP830" s="102"/>
      <c r="AQ830" s="103"/>
      <c r="AR830" s="105">
        <f t="shared" si="1560"/>
        <v>0</v>
      </c>
      <c r="AS830" s="131" t="s">
        <v>161</v>
      </c>
      <c r="AT830" s="132">
        <f t="shared" ref="AT830:AX830" si="1561">SUM(AT827:AT829)</f>
        <v>0</v>
      </c>
      <c r="AU830" s="132">
        <f t="shared" si="1561"/>
        <v>0</v>
      </c>
      <c r="AV830" s="132">
        <f t="shared" si="1561"/>
        <v>0</v>
      </c>
      <c r="AW830" s="133">
        <f t="shared" si="1561"/>
        <v>0</v>
      </c>
      <c r="AX830" s="127">
        <f t="shared" si="1561"/>
        <v>0</v>
      </c>
      <c r="AY830" s="144" t="s">
        <v>161</v>
      </c>
      <c r="AZ830" s="140">
        <f t="shared" ref="AZ830:BB830" si="1562">SUM(AZ827:AZ829)</f>
        <v>0</v>
      </c>
      <c r="BA830" s="140">
        <f t="shared" si="1562"/>
        <v>0</v>
      </c>
      <c r="BB830" s="140">
        <f t="shared" si="1562"/>
        <v>0</v>
      </c>
      <c r="BC830" s="479" t="s">
        <v>263</v>
      </c>
      <c r="BD830" s="480"/>
      <c r="BE830" s="15"/>
      <c r="BF830" s="18"/>
      <c r="BG830" s="15"/>
      <c r="BH830" s="18"/>
      <c r="BI830" s="15"/>
      <c r="BJ830" s="18"/>
      <c r="BK830" s="15"/>
      <c r="BL830" s="18"/>
      <c r="BM830" s="15"/>
      <c r="BN830" s="18"/>
      <c r="BO830" s="15"/>
      <c r="BP830" s="18"/>
      <c r="BQ830" s="109">
        <f t="shared" si="1527"/>
        <v>0</v>
      </c>
      <c r="BR830" s="568"/>
      <c r="BS830" s="573"/>
      <c r="BT830" s="574"/>
      <c r="BU830" s="559"/>
      <c r="BV830" s="562"/>
      <c r="BW830" s="565"/>
      <c r="BX830" s="617"/>
    </row>
    <row r="831" spans="1:76" ht="15.75" thickTop="1" x14ac:dyDescent="0.25">
      <c r="A831" s="585">
        <v>206</v>
      </c>
      <c r="B831" s="588"/>
      <c r="C831" s="589"/>
      <c r="D831" s="604"/>
      <c r="E831" s="515"/>
      <c r="F831" s="516"/>
      <c r="G831" s="521"/>
      <c r="H831" s="522"/>
      <c r="I831" s="527"/>
      <c r="J831" s="528"/>
      <c r="K831" s="512" t="e">
        <f t="shared" ref="K831" si="1563">INT(YEARFRAC(I831,AA831))</f>
        <v>#VALUE!</v>
      </c>
      <c r="L831" s="533">
        <f t="shared" ref="L831" ca="1" si="1564">INT(YEARFRAC(I831,TODAY()))</f>
        <v>121</v>
      </c>
      <c r="M831" s="536"/>
      <c r="N831" s="539"/>
      <c r="O831" s="540"/>
      <c r="P831" s="481"/>
      <c r="Q831" s="482"/>
      <c r="R831" s="515"/>
      <c r="S831" s="516"/>
      <c r="T831" s="487"/>
      <c r="U831" s="488"/>
      <c r="V831" s="491"/>
      <c r="W831" s="481"/>
      <c r="X831" s="494"/>
      <c r="Y831" s="482"/>
      <c r="Z831" s="497"/>
      <c r="AA831" s="500" t="s">
        <v>447</v>
      </c>
      <c r="AB831" s="501"/>
      <c r="AC831" s="506" t="s">
        <v>257</v>
      </c>
      <c r="AD831" s="507"/>
      <c r="AE831" s="507"/>
      <c r="AF831" s="510"/>
      <c r="AG831" s="510"/>
      <c r="AH831" s="510"/>
      <c r="AI831" s="510"/>
      <c r="AJ831" s="510"/>
      <c r="AK831" s="510"/>
      <c r="AL831" s="510"/>
      <c r="AM831" s="510"/>
      <c r="AN831" s="510"/>
      <c r="AO831" s="510"/>
      <c r="AP831" s="510"/>
      <c r="AQ831" s="465"/>
      <c r="AR831" s="467">
        <f t="shared" ref="AR831" si="1565">SUM(AF831:AQ832)</f>
        <v>0</v>
      </c>
      <c r="AS831" s="119" t="s">
        <v>257</v>
      </c>
      <c r="AT831" s="120"/>
      <c r="AU831" s="120"/>
      <c r="AV831" s="120"/>
      <c r="AW831" s="121"/>
      <c r="AX831" s="125">
        <f t="shared" ref="AX831:AX833" si="1566">SUM(AT831:AW831)</f>
        <v>0</v>
      </c>
      <c r="AY831" s="141" t="s">
        <v>257</v>
      </c>
      <c r="AZ831" s="137"/>
      <c r="BA831" s="137"/>
      <c r="BB831" s="134">
        <f t="shared" ref="BB831:BB833" si="1567">AZ831-BA831</f>
        <v>0</v>
      </c>
      <c r="BC831" s="469" t="s">
        <v>258</v>
      </c>
      <c r="BD831" s="470"/>
      <c r="BE831" s="13"/>
      <c r="BF831" s="16"/>
      <c r="BG831" s="13"/>
      <c r="BH831" s="16"/>
      <c r="BI831" s="13"/>
      <c r="BJ831" s="16"/>
      <c r="BK831" s="13"/>
      <c r="BL831" s="16"/>
      <c r="BM831" s="13"/>
      <c r="BN831" s="16"/>
      <c r="BO831" s="13"/>
      <c r="BP831" s="16"/>
      <c r="BQ831" s="106">
        <f t="shared" si="1527"/>
        <v>0</v>
      </c>
      <c r="BR831" s="566"/>
      <c r="BS831" s="569"/>
      <c r="BT831" s="570"/>
      <c r="BU831" s="557"/>
      <c r="BV831" s="560"/>
      <c r="BW831" s="563"/>
      <c r="BX831" s="615"/>
    </row>
    <row r="832" spans="1:76" x14ac:dyDescent="0.25">
      <c r="A832" s="586"/>
      <c r="B832" s="590"/>
      <c r="C832" s="591"/>
      <c r="D832" s="605"/>
      <c r="E832" s="517"/>
      <c r="F832" s="518"/>
      <c r="G832" s="523"/>
      <c r="H832" s="524"/>
      <c r="I832" s="529"/>
      <c r="J832" s="530"/>
      <c r="K832" s="513"/>
      <c r="L832" s="534"/>
      <c r="M832" s="537"/>
      <c r="N832" s="541"/>
      <c r="O832" s="542"/>
      <c r="P832" s="483"/>
      <c r="Q832" s="484"/>
      <c r="R832" s="517"/>
      <c r="S832" s="518"/>
      <c r="T832" s="487"/>
      <c r="U832" s="488"/>
      <c r="V832" s="492"/>
      <c r="W832" s="483"/>
      <c r="X832" s="495"/>
      <c r="Y832" s="484"/>
      <c r="Z832" s="498"/>
      <c r="AA832" s="502"/>
      <c r="AB832" s="503"/>
      <c r="AC832" s="508"/>
      <c r="AD832" s="509"/>
      <c r="AE832" s="509"/>
      <c r="AF832" s="511"/>
      <c r="AG832" s="511"/>
      <c r="AH832" s="511"/>
      <c r="AI832" s="511"/>
      <c r="AJ832" s="511"/>
      <c r="AK832" s="511"/>
      <c r="AL832" s="511"/>
      <c r="AM832" s="511"/>
      <c r="AN832" s="511"/>
      <c r="AO832" s="511"/>
      <c r="AP832" s="511"/>
      <c r="AQ832" s="466"/>
      <c r="AR832" s="468"/>
      <c r="AS832" s="122" t="s">
        <v>259</v>
      </c>
      <c r="AT832" s="123"/>
      <c r="AU832" s="123"/>
      <c r="AV832" s="123"/>
      <c r="AW832" s="124"/>
      <c r="AX832" s="126">
        <f t="shared" si="1566"/>
        <v>0</v>
      </c>
      <c r="AY832" s="142" t="s">
        <v>259</v>
      </c>
      <c r="AZ832" s="138"/>
      <c r="BA832" s="138"/>
      <c r="BB832" s="135">
        <f t="shared" si="1567"/>
        <v>0</v>
      </c>
      <c r="BC832" s="474" t="s">
        <v>260</v>
      </c>
      <c r="BD832" s="475"/>
      <c r="BE832" s="14"/>
      <c r="BF832" s="17"/>
      <c r="BG832" s="14"/>
      <c r="BH832" s="17"/>
      <c r="BI832" s="14"/>
      <c r="BJ832" s="17"/>
      <c r="BK832" s="14"/>
      <c r="BL832" s="17"/>
      <c r="BM832" s="14"/>
      <c r="BN832" s="17"/>
      <c r="BO832" s="14"/>
      <c r="BP832" s="17"/>
      <c r="BQ832" s="107">
        <f t="shared" si="1527"/>
        <v>0</v>
      </c>
      <c r="BR832" s="567"/>
      <c r="BS832" s="571"/>
      <c r="BT832" s="572"/>
      <c r="BU832" s="558"/>
      <c r="BV832" s="561"/>
      <c r="BW832" s="564"/>
      <c r="BX832" s="616"/>
    </row>
    <row r="833" spans="1:76" ht="15.75" thickBot="1" x14ac:dyDescent="0.3">
      <c r="A833" s="586"/>
      <c r="B833" s="590"/>
      <c r="C833" s="591"/>
      <c r="D833" s="605"/>
      <c r="E833" s="517"/>
      <c r="F833" s="518"/>
      <c r="G833" s="523"/>
      <c r="H833" s="524"/>
      <c r="I833" s="529"/>
      <c r="J833" s="530"/>
      <c r="K833" s="513"/>
      <c r="L833" s="534"/>
      <c r="M833" s="537"/>
      <c r="N833" s="541"/>
      <c r="O833" s="542"/>
      <c r="P833" s="483"/>
      <c r="Q833" s="484"/>
      <c r="R833" s="517"/>
      <c r="S833" s="518"/>
      <c r="T833" s="487"/>
      <c r="U833" s="488"/>
      <c r="V833" s="492"/>
      <c r="W833" s="483"/>
      <c r="X833" s="495"/>
      <c r="Y833" s="484"/>
      <c r="Z833" s="498"/>
      <c r="AA833" s="502"/>
      <c r="AB833" s="503"/>
      <c r="AC833" s="471" t="s">
        <v>259</v>
      </c>
      <c r="AD833" s="472"/>
      <c r="AE833" s="473"/>
      <c r="AF833" s="100"/>
      <c r="AG833" s="100"/>
      <c r="AH833" s="100"/>
      <c r="AI833" s="100"/>
      <c r="AJ833" s="100"/>
      <c r="AK833" s="100"/>
      <c r="AL833" s="100"/>
      <c r="AM833" s="100"/>
      <c r="AN833" s="100"/>
      <c r="AO833" s="100"/>
      <c r="AP833" s="100"/>
      <c r="AQ833" s="101"/>
      <c r="AR833" s="104">
        <f t="shared" ref="AR833:AR834" si="1568">SUM(AF833:AQ833)</f>
        <v>0</v>
      </c>
      <c r="AS833" s="128" t="s">
        <v>261</v>
      </c>
      <c r="AT833" s="129"/>
      <c r="AU833" s="129"/>
      <c r="AV833" s="129"/>
      <c r="AW833" s="130"/>
      <c r="AX833" s="126">
        <f t="shared" si="1566"/>
        <v>0</v>
      </c>
      <c r="AY833" s="143" t="s">
        <v>261</v>
      </c>
      <c r="AZ833" s="139"/>
      <c r="BA833" s="139"/>
      <c r="BB833" s="136">
        <f t="shared" si="1567"/>
        <v>0</v>
      </c>
      <c r="BC833" s="474" t="s">
        <v>262</v>
      </c>
      <c r="BD833" s="475"/>
      <c r="BE833" s="14"/>
      <c r="BF833" s="17"/>
      <c r="BG833" s="14"/>
      <c r="BH833" s="17"/>
      <c r="BI833" s="14"/>
      <c r="BJ833" s="17"/>
      <c r="BK833" s="14"/>
      <c r="BL833" s="17"/>
      <c r="BM833" s="14"/>
      <c r="BN833" s="17"/>
      <c r="BO833" s="14"/>
      <c r="BP833" s="17"/>
      <c r="BQ833" s="108">
        <f t="shared" si="1527"/>
        <v>0</v>
      </c>
      <c r="BR833" s="567"/>
      <c r="BS833" s="571"/>
      <c r="BT833" s="572"/>
      <c r="BU833" s="558"/>
      <c r="BV833" s="561"/>
      <c r="BW833" s="564"/>
      <c r="BX833" s="616"/>
    </row>
    <row r="834" spans="1:76" ht="15.75" thickBot="1" x14ac:dyDescent="0.3">
      <c r="A834" s="587"/>
      <c r="B834" s="592"/>
      <c r="C834" s="593"/>
      <c r="D834" s="606"/>
      <c r="E834" s="519"/>
      <c r="F834" s="520"/>
      <c r="G834" s="525"/>
      <c r="H834" s="526"/>
      <c r="I834" s="531"/>
      <c r="J834" s="532"/>
      <c r="K834" s="514"/>
      <c r="L834" s="535"/>
      <c r="M834" s="538"/>
      <c r="N834" s="543"/>
      <c r="O834" s="544"/>
      <c r="P834" s="485"/>
      <c r="Q834" s="486"/>
      <c r="R834" s="519"/>
      <c r="S834" s="520"/>
      <c r="T834" s="489"/>
      <c r="U834" s="490"/>
      <c r="V834" s="493"/>
      <c r="W834" s="485"/>
      <c r="X834" s="496"/>
      <c r="Y834" s="486"/>
      <c r="Z834" s="499"/>
      <c r="AA834" s="504"/>
      <c r="AB834" s="505"/>
      <c r="AC834" s="476" t="s">
        <v>261</v>
      </c>
      <c r="AD834" s="477"/>
      <c r="AE834" s="478"/>
      <c r="AF834" s="102"/>
      <c r="AG834" s="102"/>
      <c r="AH834" s="102"/>
      <c r="AI834" s="102"/>
      <c r="AJ834" s="102"/>
      <c r="AK834" s="102"/>
      <c r="AL834" s="102"/>
      <c r="AM834" s="102"/>
      <c r="AN834" s="102"/>
      <c r="AO834" s="102"/>
      <c r="AP834" s="102"/>
      <c r="AQ834" s="103"/>
      <c r="AR834" s="105">
        <f t="shared" si="1568"/>
        <v>0</v>
      </c>
      <c r="AS834" s="131" t="s">
        <v>161</v>
      </c>
      <c r="AT834" s="132">
        <f t="shared" ref="AT834:AX834" si="1569">SUM(AT831:AT833)</f>
        <v>0</v>
      </c>
      <c r="AU834" s="132">
        <f t="shared" si="1569"/>
        <v>0</v>
      </c>
      <c r="AV834" s="132">
        <f t="shared" si="1569"/>
        <v>0</v>
      </c>
      <c r="AW834" s="133">
        <f t="shared" si="1569"/>
        <v>0</v>
      </c>
      <c r="AX834" s="127">
        <f t="shared" si="1569"/>
        <v>0</v>
      </c>
      <c r="AY834" s="144" t="s">
        <v>161</v>
      </c>
      <c r="AZ834" s="140">
        <f t="shared" ref="AZ834:BB834" si="1570">SUM(AZ831:AZ833)</f>
        <v>0</v>
      </c>
      <c r="BA834" s="140">
        <f t="shared" si="1570"/>
        <v>0</v>
      </c>
      <c r="BB834" s="140">
        <f t="shared" si="1570"/>
        <v>0</v>
      </c>
      <c r="BC834" s="479" t="s">
        <v>263</v>
      </c>
      <c r="BD834" s="480"/>
      <c r="BE834" s="15"/>
      <c r="BF834" s="18"/>
      <c r="BG834" s="15"/>
      <c r="BH834" s="18"/>
      <c r="BI834" s="15"/>
      <c r="BJ834" s="18"/>
      <c r="BK834" s="15"/>
      <c r="BL834" s="18"/>
      <c r="BM834" s="15"/>
      <c r="BN834" s="18"/>
      <c r="BO834" s="15"/>
      <c r="BP834" s="18"/>
      <c r="BQ834" s="109">
        <f t="shared" si="1527"/>
        <v>0</v>
      </c>
      <c r="BR834" s="568"/>
      <c r="BS834" s="573"/>
      <c r="BT834" s="574"/>
      <c r="BU834" s="559"/>
      <c r="BV834" s="562"/>
      <c r="BW834" s="565"/>
      <c r="BX834" s="617"/>
    </row>
    <row r="835" spans="1:76" ht="15.75" thickTop="1" x14ac:dyDescent="0.25">
      <c r="A835" s="585">
        <v>207</v>
      </c>
      <c r="B835" s="588"/>
      <c r="C835" s="589"/>
      <c r="D835" s="604"/>
      <c r="E835" s="515"/>
      <c r="F835" s="516"/>
      <c r="G835" s="521"/>
      <c r="H835" s="522"/>
      <c r="I835" s="527"/>
      <c r="J835" s="528"/>
      <c r="K835" s="512" t="e">
        <f t="shared" ref="K835" si="1571">INT(YEARFRAC(I835,AA835))</f>
        <v>#VALUE!</v>
      </c>
      <c r="L835" s="533">
        <f t="shared" ref="L835" ca="1" si="1572">INT(YEARFRAC(I835,TODAY()))</f>
        <v>121</v>
      </c>
      <c r="M835" s="536"/>
      <c r="N835" s="539"/>
      <c r="O835" s="540"/>
      <c r="P835" s="481"/>
      <c r="Q835" s="482"/>
      <c r="R835" s="515"/>
      <c r="S835" s="516"/>
      <c r="T835" s="487"/>
      <c r="U835" s="488"/>
      <c r="V835" s="491"/>
      <c r="W835" s="481"/>
      <c r="X835" s="494"/>
      <c r="Y835" s="482"/>
      <c r="Z835" s="497"/>
      <c r="AA835" s="500" t="s">
        <v>448</v>
      </c>
      <c r="AB835" s="501"/>
      <c r="AC835" s="506" t="s">
        <v>257</v>
      </c>
      <c r="AD835" s="507"/>
      <c r="AE835" s="507"/>
      <c r="AF835" s="510"/>
      <c r="AG835" s="510"/>
      <c r="AH835" s="510"/>
      <c r="AI835" s="510"/>
      <c r="AJ835" s="510"/>
      <c r="AK835" s="510"/>
      <c r="AL835" s="510"/>
      <c r="AM835" s="510"/>
      <c r="AN835" s="510"/>
      <c r="AO835" s="510"/>
      <c r="AP835" s="510"/>
      <c r="AQ835" s="465"/>
      <c r="AR835" s="467">
        <f t="shared" ref="AR835" si="1573">SUM(AF835:AQ836)</f>
        <v>0</v>
      </c>
      <c r="AS835" s="119" t="s">
        <v>257</v>
      </c>
      <c r="AT835" s="120"/>
      <c r="AU835" s="120"/>
      <c r="AV835" s="120"/>
      <c r="AW835" s="121"/>
      <c r="AX835" s="125">
        <f t="shared" ref="AX835:AX837" si="1574">SUM(AT835:AW835)</f>
        <v>0</v>
      </c>
      <c r="AY835" s="141" t="s">
        <v>257</v>
      </c>
      <c r="AZ835" s="137"/>
      <c r="BA835" s="137"/>
      <c r="BB835" s="134">
        <f t="shared" ref="BB835:BB837" si="1575">AZ835-BA835</f>
        <v>0</v>
      </c>
      <c r="BC835" s="469" t="s">
        <v>258</v>
      </c>
      <c r="BD835" s="470"/>
      <c r="BE835" s="13"/>
      <c r="BF835" s="16"/>
      <c r="BG835" s="13"/>
      <c r="BH835" s="16"/>
      <c r="BI835" s="13"/>
      <c r="BJ835" s="16"/>
      <c r="BK835" s="13"/>
      <c r="BL835" s="16"/>
      <c r="BM835" s="13"/>
      <c r="BN835" s="16"/>
      <c r="BO835" s="13"/>
      <c r="BP835" s="16"/>
      <c r="BQ835" s="106">
        <f t="shared" si="1527"/>
        <v>0</v>
      </c>
      <c r="BR835" s="566"/>
      <c r="BS835" s="569"/>
      <c r="BT835" s="570"/>
      <c r="BU835" s="557"/>
      <c r="BV835" s="560"/>
      <c r="BW835" s="563"/>
      <c r="BX835" s="615"/>
    </row>
    <row r="836" spans="1:76" x14ac:dyDescent="0.25">
      <c r="A836" s="586"/>
      <c r="B836" s="590"/>
      <c r="C836" s="591"/>
      <c r="D836" s="605"/>
      <c r="E836" s="517"/>
      <c r="F836" s="518"/>
      <c r="G836" s="523"/>
      <c r="H836" s="524"/>
      <c r="I836" s="529"/>
      <c r="J836" s="530"/>
      <c r="K836" s="513"/>
      <c r="L836" s="534"/>
      <c r="M836" s="537"/>
      <c r="N836" s="541"/>
      <c r="O836" s="542"/>
      <c r="P836" s="483"/>
      <c r="Q836" s="484"/>
      <c r="R836" s="517"/>
      <c r="S836" s="518"/>
      <c r="T836" s="487"/>
      <c r="U836" s="488"/>
      <c r="V836" s="492"/>
      <c r="W836" s="483"/>
      <c r="X836" s="495"/>
      <c r="Y836" s="484"/>
      <c r="Z836" s="498"/>
      <c r="AA836" s="502"/>
      <c r="AB836" s="503"/>
      <c r="AC836" s="508"/>
      <c r="AD836" s="509"/>
      <c r="AE836" s="509"/>
      <c r="AF836" s="511"/>
      <c r="AG836" s="511"/>
      <c r="AH836" s="511"/>
      <c r="AI836" s="511"/>
      <c r="AJ836" s="511"/>
      <c r="AK836" s="511"/>
      <c r="AL836" s="511"/>
      <c r="AM836" s="511"/>
      <c r="AN836" s="511"/>
      <c r="AO836" s="511"/>
      <c r="AP836" s="511"/>
      <c r="AQ836" s="466"/>
      <c r="AR836" s="468"/>
      <c r="AS836" s="122" t="s">
        <v>259</v>
      </c>
      <c r="AT836" s="123"/>
      <c r="AU836" s="123"/>
      <c r="AV836" s="123"/>
      <c r="AW836" s="124"/>
      <c r="AX836" s="126">
        <f t="shared" si="1574"/>
        <v>0</v>
      </c>
      <c r="AY836" s="142" t="s">
        <v>259</v>
      </c>
      <c r="AZ836" s="138"/>
      <c r="BA836" s="138"/>
      <c r="BB836" s="135">
        <f t="shared" si="1575"/>
        <v>0</v>
      </c>
      <c r="BC836" s="474" t="s">
        <v>260</v>
      </c>
      <c r="BD836" s="475"/>
      <c r="BE836" s="14"/>
      <c r="BF836" s="17"/>
      <c r="BG836" s="14"/>
      <c r="BH836" s="17"/>
      <c r="BI836" s="14"/>
      <c r="BJ836" s="17"/>
      <c r="BK836" s="14"/>
      <c r="BL836" s="17"/>
      <c r="BM836" s="14"/>
      <c r="BN836" s="17"/>
      <c r="BO836" s="14"/>
      <c r="BP836" s="17"/>
      <c r="BQ836" s="107">
        <f t="shared" si="1527"/>
        <v>0</v>
      </c>
      <c r="BR836" s="567"/>
      <c r="BS836" s="571"/>
      <c r="BT836" s="572"/>
      <c r="BU836" s="558"/>
      <c r="BV836" s="561"/>
      <c r="BW836" s="564"/>
      <c r="BX836" s="616"/>
    </row>
    <row r="837" spans="1:76" ht="15.75" thickBot="1" x14ac:dyDescent="0.3">
      <c r="A837" s="586"/>
      <c r="B837" s="590"/>
      <c r="C837" s="591"/>
      <c r="D837" s="605"/>
      <c r="E837" s="517"/>
      <c r="F837" s="518"/>
      <c r="G837" s="523"/>
      <c r="H837" s="524"/>
      <c r="I837" s="529"/>
      <c r="J837" s="530"/>
      <c r="K837" s="513"/>
      <c r="L837" s="534"/>
      <c r="M837" s="537"/>
      <c r="N837" s="541"/>
      <c r="O837" s="542"/>
      <c r="P837" s="483"/>
      <c r="Q837" s="484"/>
      <c r="R837" s="517"/>
      <c r="S837" s="518"/>
      <c r="T837" s="487"/>
      <c r="U837" s="488"/>
      <c r="V837" s="492"/>
      <c r="W837" s="483"/>
      <c r="X837" s="495"/>
      <c r="Y837" s="484"/>
      <c r="Z837" s="498"/>
      <c r="AA837" s="502"/>
      <c r="AB837" s="503"/>
      <c r="AC837" s="471" t="s">
        <v>259</v>
      </c>
      <c r="AD837" s="472"/>
      <c r="AE837" s="473"/>
      <c r="AF837" s="100"/>
      <c r="AG837" s="100"/>
      <c r="AH837" s="100"/>
      <c r="AI837" s="100"/>
      <c r="AJ837" s="100"/>
      <c r="AK837" s="100"/>
      <c r="AL837" s="100"/>
      <c r="AM837" s="100"/>
      <c r="AN837" s="100"/>
      <c r="AO837" s="100"/>
      <c r="AP837" s="100"/>
      <c r="AQ837" s="101"/>
      <c r="AR837" s="104">
        <f t="shared" ref="AR837:AR838" si="1576">SUM(AF837:AQ837)</f>
        <v>0</v>
      </c>
      <c r="AS837" s="128" t="s">
        <v>261</v>
      </c>
      <c r="AT837" s="129"/>
      <c r="AU837" s="129"/>
      <c r="AV837" s="129"/>
      <c r="AW837" s="130"/>
      <c r="AX837" s="126">
        <f t="shared" si="1574"/>
        <v>0</v>
      </c>
      <c r="AY837" s="143" t="s">
        <v>261</v>
      </c>
      <c r="AZ837" s="139"/>
      <c r="BA837" s="139"/>
      <c r="BB837" s="136">
        <f t="shared" si="1575"/>
        <v>0</v>
      </c>
      <c r="BC837" s="474" t="s">
        <v>262</v>
      </c>
      <c r="BD837" s="475"/>
      <c r="BE837" s="14"/>
      <c r="BF837" s="17"/>
      <c r="BG837" s="14"/>
      <c r="BH837" s="17"/>
      <c r="BI837" s="14"/>
      <c r="BJ837" s="17"/>
      <c r="BK837" s="14"/>
      <c r="BL837" s="17"/>
      <c r="BM837" s="14"/>
      <c r="BN837" s="17"/>
      <c r="BO837" s="14"/>
      <c r="BP837" s="17"/>
      <c r="BQ837" s="108">
        <f t="shared" si="1527"/>
        <v>0</v>
      </c>
      <c r="BR837" s="567"/>
      <c r="BS837" s="571"/>
      <c r="BT837" s="572"/>
      <c r="BU837" s="558"/>
      <c r="BV837" s="561"/>
      <c r="BW837" s="564"/>
      <c r="BX837" s="616"/>
    </row>
    <row r="838" spans="1:76" ht="15.75" thickBot="1" x14ac:dyDescent="0.3">
      <c r="A838" s="587"/>
      <c r="B838" s="592"/>
      <c r="C838" s="593"/>
      <c r="D838" s="606"/>
      <c r="E838" s="519"/>
      <c r="F838" s="520"/>
      <c r="G838" s="525"/>
      <c r="H838" s="526"/>
      <c r="I838" s="531"/>
      <c r="J838" s="532"/>
      <c r="K838" s="514"/>
      <c r="L838" s="535"/>
      <c r="M838" s="538"/>
      <c r="N838" s="543"/>
      <c r="O838" s="544"/>
      <c r="P838" s="485"/>
      <c r="Q838" s="486"/>
      <c r="R838" s="519"/>
      <c r="S838" s="520"/>
      <c r="T838" s="489"/>
      <c r="U838" s="490"/>
      <c r="V838" s="493"/>
      <c r="W838" s="485"/>
      <c r="X838" s="496"/>
      <c r="Y838" s="486"/>
      <c r="Z838" s="499"/>
      <c r="AA838" s="504"/>
      <c r="AB838" s="505"/>
      <c r="AC838" s="476" t="s">
        <v>261</v>
      </c>
      <c r="AD838" s="477"/>
      <c r="AE838" s="478"/>
      <c r="AF838" s="102"/>
      <c r="AG838" s="102"/>
      <c r="AH838" s="102"/>
      <c r="AI838" s="102"/>
      <c r="AJ838" s="102"/>
      <c r="AK838" s="102"/>
      <c r="AL838" s="102"/>
      <c r="AM838" s="102"/>
      <c r="AN838" s="102"/>
      <c r="AO838" s="102"/>
      <c r="AP838" s="102"/>
      <c r="AQ838" s="103"/>
      <c r="AR838" s="105">
        <f t="shared" si="1576"/>
        <v>0</v>
      </c>
      <c r="AS838" s="131" t="s">
        <v>161</v>
      </c>
      <c r="AT838" s="132">
        <f t="shared" ref="AT838:AX838" si="1577">SUM(AT835:AT837)</f>
        <v>0</v>
      </c>
      <c r="AU838" s="132">
        <f t="shared" si="1577"/>
        <v>0</v>
      </c>
      <c r="AV838" s="132">
        <f t="shared" si="1577"/>
        <v>0</v>
      </c>
      <c r="AW838" s="133">
        <f t="shared" si="1577"/>
        <v>0</v>
      </c>
      <c r="AX838" s="127">
        <f t="shared" si="1577"/>
        <v>0</v>
      </c>
      <c r="AY838" s="144" t="s">
        <v>161</v>
      </c>
      <c r="AZ838" s="140">
        <f t="shared" ref="AZ838:BB838" si="1578">SUM(AZ835:AZ837)</f>
        <v>0</v>
      </c>
      <c r="BA838" s="140">
        <f t="shared" si="1578"/>
        <v>0</v>
      </c>
      <c r="BB838" s="140">
        <f t="shared" si="1578"/>
        <v>0</v>
      </c>
      <c r="BC838" s="479" t="s">
        <v>263</v>
      </c>
      <c r="BD838" s="480"/>
      <c r="BE838" s="15"/>
      <c r="BF838" s="18"/>
      <c r="BG838" s="15"/>
      <c r="BH838" s="18"/>
      <c r="BI838" s="15"/>
      <c r="BJ838" s="18"/>
      <c r="BK838" s="15"/>
      <c r="BL838" s="18"/>
      <c r="BM838" s="15"/>
      <c r="BN838" s="18"/>
      <c r="BO838" s="15"/>
      <c r="BP838" s="18"/>
      <c r="BQ838" s="109">
        <f t="shared" si="1527"/>
        <v>0</v>
      </c>
      <c r="BR838" s="568"/>
      <c r="BS838" s="573"/>
      <c r="BT838" s="574"/>
      <c r="BU838" s="559"/>
      <c r="BV838" s="562"/>
      <c r="BW838" s="565"/>
      <c r="BX838" s="617"/>
    </row>
    <row r="839" spans="1:76" ht="15.75" thickTop="1" x14ac:dyDescent="0.25">
      <c r="A839" s="585">
        <v>208</v>
      </c>
      <c r="B839" s="588"/>
      <c r="C839" s="589"/>
      <c r="D839" s="604"/>
      <c r="E839" s="515"/>
      <c r="F839" s="516"/>
      <c r="G839" s="521"/>
      <c r="H839" s="522"/>
      <c r="I839" s="527"/>
      <c r="J839" s="528"/>
      <c r="K839" s="512" t="e">
        <f t="shared" ref="K839" si="1579">INT(YEARFRAC(I839,AA839))</f>
        <v>#VALUE!</v>
      </c>
      <c r="L839" s="533">
        <f t="shared" ref="L839" ca="1" si="1580">INT(YEARFRAC(I839,TODAY()))</f>
        <v>121</v>
      </c>
      <c r="M839" s="536"/>
      <c r="N839" s="539"/>
      <c r="O839" s="540"/>
      <c r="P839" s="481"/>
      <c r="Q839" s="482"/>
      <c r="R839" s="515"/>
      <c r="S839" s="516"/>
      <c r="T839" s="487"/>
      <c r="U839" s="488"/>
      <c r="V839" s="491"/>
      <c r="W839" s="481"/>
      <c r="X839" s="494"/>
      <c r="Y839" s="482"/>
      <c r="Z839" s="497"/>
      <c r="AA839" s="500" t="s">
        <v>449</v>
      </c>
      <c r="AB839" s="501"/>
      <c r="AC839" s="506" t="s">
        <v>257</v>
      </c>
      <c r="AD839" s="507"/>
      <c r="AE839" s="507"/>
      <c r="AF839" s="510"/>
      <c r="AG839" s="510"/>
      <c r="AH839" s="510"/>
      <c r="AI839" s="510"/>
      <c r="AJ839" s="510"/>
      <c r="AK839" s="510"/>
      <c r="AL839" s="510"/>
      <c r="AM839" s="510"/>
      <c r="AN839" s="510"/>
      <c r="AO839" s="510"/>
      <c r="AP839" s="510"/>
      <c r="AQ839" s="465"/>
      <c r="AR839" s="467">
        <f t="shared" ref="AR839" si="1581">SUM(AF839:AQ840)</f>
        <v>0</v>
      </c>
      <c r="AS839" s="119" t="s">
        <v>257</v>
      </c>
      <c r="AT839" s="120"/>
      <c r="AU839" s="120"/>
      <c r="AV839" s="120"/>
      <c r="AW839" s="121"/>
      <c r="AX839" s="125">
        <f t="shared" ref="AX839:AX841" si="1582">SUM(AT839:AW839)</f>
        <v>0</v>
      </c>
      <c r="AY839" s="141" t="s">
        <v>257</v>
      </c>
      <c r="AZ839" s="137"/>
      <c r="BA839" s="137"/>
      <c r="BB839" s="134">
        <f t="shared" ref="BB839:BB841" si="1583">AZ839-BA839</f>
        <v>0</v>
      </c>
      <c r="BC839" s="469" t="s">
        <v>258</v>
      </c>
      <c r="BD839" s="470"/>
      <c r="BE839" s="13"/>
      <c r="BF839" s="16"/>
      <c r="BG839" s="13"/>
      <c r="BH839" s="16"/>
      <c r="BI839" s="13"/>
      <c r="BJ839" s="16"/>
      <c r="BK839" s="13"/>
      <c r="BL839" s="16"/>
      <c r="BM839" s="13"/>
      <c r="BN839" s="16"/>
      <c r="BO839" s="13"/>
      <c r="BP839" s="16"/>
      <c r="BQ839" s="106">
        <f t="shared" si="1527"/>
        <v>0</v>
      </c>
      <c r="BR839" s="566"/>
      <c r="BS839" s="569"/>
      <c r="BT839" s="570"/>
      <c r="BU839" s="557"/>
      <c r="BV839" s="560"/>
      <c r="BW839" s="563"/>
      <c r="BX839" s="615"/>
    </row>
    <row r="840" spans="1:76" x14ac:dyDescent="0.25">
      <c r="A840" s="586"/>
      <c r="B840" s="590"/>
      <c r="C840" s="591"/>
      <c r="D840" s="605"/>
      <c r="E840" s="517"/>
      <c r="F840" s="518"/>
      <c r="G840" s="523"/>
      <c r="H840" s="524"/>
      <c r="I840" s="529"/>
      <c r="J840" s="530"/>
      <c r="K840" s="513"/>
      <c r="L840" s="534"/>
      <c r="M840" s="537"/>
      <c r="N840" s="541"/>
      <c r="O840" s="542"/>
      <c r="P840" s="483"/>
      <c r="Q840" s="484"/>
      <c r="R840" s="517"/>
      <c r="S840" s="518"/>
      <c r="T840" s="487"/>
      <c r="U840" s="488"/>
      <c r="V840" s="492"/>
      <c r="W840" s="483"/>
      <c r="X840" s="495"/>
      <c r="Y840" s="484"/>
      <c r="Z840" s="498"/>
      <c r="AA840" s="502"/>
      <c r="AB840" s="503"/>
      <c r="AC840" s="508"/>
      <c r="AD840" s="509"/>
      <c r="AE840" s="509"/>
      <c r="AF840" s="511"/>
      <c r="AG840" s="511"/>
      <c r="AH840" s="511"/>
      <c r="AI840" s="511"/>
      <c r="AJ840" s="511"/>
      <c r="AK840" s="511"/>
      <c r="AL840" s="511"/>
      <c r="AM840" s="511"/>
      <c r="AN840" s="511"/>
      <c r="AO840" s="511"/>
      <c r="AP840" s="511"/>
      <c r="AQ840" s="466"/>
      <c r="AR840" s="468"/>
      <c r="AS840" s="122" t="s">
        <v>259</v>
      </c>
      <c r="AT840" s="123"/>
      <c r="AU840" s="123"/>
      <c r="AV840" s="123"/>
      <c r="AW840" s="124"/>
      <c r="AX840" s="126">
        <f t="shared" si="1582"/>
        <v>0</v>
      </c>
      <c r="AY840" s="142" t="s">
        <v>259</v>
      </c>
      <c r="AZ840" s="138"/>
      <c r="BA840" s="138"/>
      <c r="BB840" s="135">
        <f t="shared" si="1583"/>
        <v>0</v>
      </c>
      <c r="BC840" s="474" t="s">
        <v>260</v>
      </c>
      <c r="BD840" s="475"/>
      <c r="BE840" s="14"/>
      <c r="BF840" s="17"/>
      <c r="BG840" s="14"/>
      <c r="BH840" s="17"/>
      <c r="BI840" s="14"/>
      <c r="BJ840" s="17"/>
      <c r="BK840" s="14"/>
      <c r="BL840" s="17"/>
      <c r="BM840" s="14"/>
      <c r="BN840" s="17"/>
      <c r="BO840" s="14"/>
      <c r="BP840" s="17"/>
      <c r="BQ840" s="107">
        <f t="shared" si="1527"/>
        <v>0</v>
      </c>
      <c r="BR840" s="567"/>
      <c r="BS840" s="571"/>
      <c r="BT840" s="572"/>
      <c r="BU840" s="558"/>
      <c r="BV840" s="561"/>
      <c r="BW840" s="564"/>
      <c r="BX840" s="616"/>
    </row>
    <row r="841" spans="1:76" ht="15.75" thickBot="1" x14ac:dyDescent="0.3">
      <c r="A841" s="586"/>
      <c r="B841" s="590"/>
      <c r="C841" s="591"/>
      <c r="D841" s="605"/>
      <c r="E841" s="517"/>
      <c r="F841" s="518"/>
      <c r="G841" s="523"/>
      <c r="H841" s="524"/>
      <c r="I841" s="529"/>
      <c r="J841" s="530"/>
      <c r="K841" s="513"/>
      <c r="L841" s="534"/>
      <c r="M841" s="537"/>
      <c r="N841" s="541"/>
      <c r="O841" s="542"/>
      <c r="P841" s="483"/>
      <c r="Q841" s="484"/>
      <c r="R841" s="517"/>
      <c r="S841" s="518"/>
      <c r="T841" s="487"/>
      <c r="U841" s="488"/>
      <c r="V841" s="492"/>
      <c r="W841" s="483"/>
      <c r="X841" s="495"/>
      <c r="Y841" s="484"/>
      <c r="Z841" s="498"/>
      <c r="AA841" s="502"/>
      <c r="AB841" s="503"/>
      <c r="AC841" s="471" t="s">
        <v>259</v>
      </c>
      <c r="AD841" s="472"/>
      <c r="AE841" s="473"/>
      <c r="AF841" s="100"/>
      <c r="AG841" s="100"/>
      <c r="AH841" s="100"/>
      <c r="AI841" s="100"/>
      <c r="AJ841" s="100"/>
      <c r="AK841" s="100"/>
      <c r="AL841" s="100"/>
      <c r="AM841" s="100"/>
      <c r="AN841" s="100"/>
      <c r="AO841" s="100"/>
      <c r="AP841" s="100"/>
      <c r="AQ841" s="101"/>
      <c r="AR841" s="104">
        <f t="shared" ref="AR841:AR842" si="1584">SUM(AF841:AQ841)</f>
        <v>0</v>
      </c>
      <c r="AS841" s="128" t="s">
        <v>261</v>
      </c>
      <c r="AT841" s="129"/>
      <c r="AU841" s="129"/>
      <c r="AV841" s="129"/>
      <c r="AW841" s="130"/>
      <c r="AX841" s="126">
        <f t="shared" si="1582"/>
        <v>0</v>
      </c>
      <c r="AY841" s="143" t="s">
        <v>261</v>
      </c>
      <c r="AZ841" s="139"/>
      <c r="BA841" s="139"/>
      <c r="BB841" s="136">
        <f t="shared" si="1583"/>
        <v>0</v>
      </c>
      <c r="BC841" s="474" t="s">
        <v>262</v>
      </c>
      <c r="BD841" s="475"/>
      <c r="BE841" s="14"/>
      <c r="BF841" s="17"/>
      <c r="BG841" s="14"/>
      <c r="BH841" s="17"/>
      <c r="BI841" s="14"/>
      <c r="BJ841" s="17"/>
      <c r="BK841" s="14"/>
      <c r="BL841" s="17"/>
      <c r="BM841" s="14"/>
      <c r="BN841" s="17"/>
      <c r="BO841" s="14"/>
      <c r="BP841" s="17"/>
      <c r="BQ841" s="108">
        <f t="shared" si="1527"/>
        <v>0</v>
      </c>
      <c r="BR841" s="567"/>
      <c r="BS841" s="571"/>
      <c r="BT841" s="572"/>
      <c r="BU841" s="558"/>
      <c r="BV841" s="561"/>
      <c r="BW841" s="564"/>
      <c r="BX841" s="616"/>
    </row>
    <row r="842" spans="1:76" ht="15.75" thickBot="1" x14ac:dyDescent="0.3">
      <c r="A842" s="587"/>
      <c r="B842" s="592"/>
      <c r="C842" s="593"/>
      <c r="D842" s="606"/>
      <c r="E842" s="519"/>
      <c r="F842" s="520"/>
      <c r="G842" s="525"/>
      <c r="H842" s="526"/>
      <c r="I842" s="531"/>
      <c r="J842" s="532"/>
      <c r="K842" s="514"/>
      <c r="L842" s="535"/>
      <c r="M842" s="538"/>
      <c r="N842" s="543"/>
      <c r="O842" s="544"/>
      <c r="P842" s="485"/>
      <c r="Q842" s="486"/>
      <c r="R842" s="519"/>
      <c r="S842" s="520"/>
      <c r="T842" s="489"/>
      <c r="U842" s="490"/>
      <c r="V842" s="493"/>
      <c r="W842" s="485"/>
      <c r="X842" s="496"/>
      <c r="Y842" s="486"/>
      <c r="Z842" s="499"/>
      <c r="AA842" s="504"/>
      <c r="AB842" s="505"/>
      <c r="AC842" s="476" t="s">
        <v>261</v>
      </c>
      <c r="AD842" s="477"/>
      <c r="AE842" s="478"/>
      <c r="AF842" s="102"/>
      <c r="AG842" s="102"/>
      <c r="AH842" s="102"/>
      <c r="AI842" s="102"/>
      <c r="AJ842" s="102"/>
      <c r="AK842" s="102"/>
      <c r="AL842" s="102"/>
      <c r="AM842" s="102"/>
      <c r="AN842" s="102"/>
      <c r="AO842" s="102"/>
      <c r="AP842" s="102"/>
      <c r="AQ842" s="103"/>
      <c r="AR842" s="105">
        <f t="shared" si="1584"/>
        <v>0</v>
      </c>
      <c r="AS842" s="131" t="s">
        <v>161</v>
      </c>
      <c r="AT842" s="132">
        <f t="shared" ref="AT842:AX842" si="1585">SUM(AT839:AT841)</f>
        <v>0</v>
      </c>
      <c r="AU842" s="132">
        <f t="shared" si="1585"/>
        <v>0</v>
      </c>
      <c r="AV842" s="132">
        <f t="shared" si="1585"/>
        <v>0</v>
      </c>
      <c r="AW842" s="133">
        <f t="shared" si="1585"/>
        <v>0</v>
      </c>
      <c r="AX842" s="127">
        <f t="shared" si="1585"/>
        <v>0</v>
      </c>
      <c r="AY842" s="144" t="s">
        <v>161</v>
      </c>
      <c r="AZ842" s="140">
        <f t="shared" ref="AZ842:BB842" si="1586">SUM(AZ839:AZ841)</f>
        <v>0</v>
      </c>
      <c r="BA842" s="140">
        <f t="shared" si="1586"/>
        <v>0</v>
      </c>
      <c r="BB842" s="140">
        <f t="shared" si="1586"/>
        <v>0</v>
      </c>
      <c r="BC842" s="479" t="s">
        <v>263</v>
      </c>
      <c r="BD842" s="480"/>
      <c r="BE842" s="15"/>
      <c r="BF842" s="18"/>
      <c r="BG842" s="15"/>
      <c r="BH842" s="18"/>
      <c r="BI842" s="15"/>
      <c r="BJ842" s="18"/>
      <c r="BK842" s="15"/>
      <c r="BL842" s="18"/>
      <c r="BM842" s="15"/>
      <c r="BN842" s="18"/>
      <c r="BO842" s="15"/>
      <c r="BP842" s="18"/>
      <c r="BQ842" s="109">
        <f t="shared" si="1527"/>
        <v>0</v>
      </c>
      <c r="BR842" s="568"/>
      <c r="BS842" s="573"/>
      <c r="BT842" s="574"/>
      <c r="BU842" s="559"/>
      <c r="BV842" s="562"/>
      <c r="BW842" s="565"/>
      <c r="BX842" s="617"/>
    </row>
    <row r="843" spans="1:76" ht="15.75" thickTop="1" x14ac:dyDescent="0.25">
      <c r="A843" s="585">
        <v>209</v>
      </c>
      <c r="B843" s="588"/>
      <c r="C843" s="589"/>
      <c r="D843" s="604"/>
      <c r="E843" s="515"/>
      <c r="F843" s="516"/>
      <c r="G843" s="521"/>
      <c r="H843" s="522"/>
      <c r="I843" s="527"/>
      <c r="J843" s="528"/>
      <c r="K843" s="512" t="e">
        <f t="shared" ref="K843" si="1587">INT(YEARFRAC(I843,AA843))</f>
        <v>#VALUE!</v>
      </c>
      <c r="L843" s="533">
        <f t="shared" ref="L843" ca="1" si="1588">INT(YEARFRAC(I843,TODAY()))</f>
        <v>121</v>
      </c>
      <c r="M843" s="536"/>
      <c r="N843" s="539"/>
      <c r="O843" s="540"/>
      <c r="P843" s="481"/>
      <c r="Q843" s="482"/>
      <c r="R843" s="515"/>
      <c r="S843" s="516"/>
      <c r="T843" s="487"/>
      <c r="U843" s="488"/>
      <c r="V843" s="491"/>
      <c r="W843" s="481"/>
      <c r="X843" s="494"/>
      <c r="Y843" s="482"/>
      <c r="Z843" s="497"/>
      <c r="AA843" s="500" t="s">
        <v>450</v>
      </c>
      <c r="AB843" s="501"/>
      <c r="AC843" s="506" t="s">
        <v>257</v>
      </c>
      <c r="AD843" s="507"/>
      <c r="AE843" s="507"/>
      <c r="AF843" s="510"/>
      <c r="AG843" s="510"/>
      <c r="AH843" s="510"/>
      <c r="AI843" s="510"/>
      <c r="AJ843" s="510"/>
      <c r="AK843" s="510"/>
      <c r="AL843" s="510"/>
      <c r="AM843" s="510"/>
      <c r="AN843" s="510"/>
      <c r="AO843" s="510"/>
      <c r="AP843" s="510"/>
      <c r="AQ843" s="465"/>
      <c r="AR843" s="467">
        <f t="shared" ref="AR843" si="1589">SUM(AF843:AQ844)</f>
        <v>0</v>
      </c>
      <c r="AS843" s="119" t="s">
        <v>257</v>
      </c>
      <c r="AT843" s="120"/>
      <c r="AU843" s="120"/>
      <c r="AV843" s="120"/>
      <c r="AW843" s="121"/>
      <c r="AX843" s="125">
        <f t="shared" ref="AX843:AX845" si="1590">SUM(AT843:AW843)</f>
        <v>0</v>
      </c>
      <c r="AY843" s="141" t="s">
        <v>257</v>
      </c>
      <c r="AZ843" s="137"/>
      <c r="BA843" s="137"/>
      <c r="BB843" s="134">
        <f t="shared" ref="BB843:BB845" si="1591">AZ843-BA843</f>
        <v>0</v>
      </c>
      <c r="BC843" s="469" t="s">
        <v>258</v>
      </c>
      <c r="BD843" s="470"/>
      <c r="BE843" s="13"/>
      <c r="BF843" s="16"/>
      <c r="BG843" s="13"/>
      <c r="BH843" s="16"/>
      <c r="BI843" s="13"/>
      <c r="BJ843" s="16"/>
      <c r="BK843" s="13"/>
      <c r="BL843" s="16"/>
      <c r="BM843" s="13"/>
      <c r="BN843" s="16"/>
      <c r="BO843" s="13"/>
      <c r="BP843" s="16"/>
      <c r="BQ843" s="106">
        <f t="shared" si="1527"/>
        <v>0</v>
      </c>
      <c r="BR843" s="566"/>
      <c r="BS843" s="569"/>
      <c r="BT843" s="570"/>
      <c r="BU843" s="557"/>
      <c r="BV843" s="560"/>
      <c r="BW843" s="563"/>
      <c r="BX843" s="615"/>
    </row>
    <row r="844" spans="1:76" x14ac:dyDescent="0.25">
      <c r="A844" s="586"/>
      <c r="B844" s="590"/>
      <c r="C844" s="591"/>
      <c r="D844" s="605"/>
      <c r="E844" s="517"/>
      <c r="F844" s="518"/>
      <c r="G844" s="523"/>
      <c r="H844" s="524"/>
      <c r="I844" s="529"/>
      <c r="J844" s="530"/>
      <c r="K844" s="513"/>
      <c r="L844" s="534"/>
      <c r="M844" s="537"/>
      <c r="N844" s="541"/>
      <c r="O844" s="542"/>
      <c r="P844" s="483"/>
      <c r="Q844" s="484"/>
      <c r="R844" s="517"/>
      <c r="S844" s="518"/>
      <c r="T844" s="487"/>
      <c r="U844" s="488"/>
      <c r="V844" s="492"/>
      <c r="W844" s="483"/>
      <c r="X844" s="495"/>
      <c r="Y844" s="484"/>
      <c r="Z844" s="498"/>
      <c r="AA844" s="502"/>
      <c r="AB844" s="503"/>
      <c r="AC844" s="508"/>
      <c r="AD844" s="509"/>
      <c r="AE844" s="509"/>
      <c r="AF844" s="511"/>
      <c r="AG844" s="511"/>
      <c r="AH844" s="511"/>
      <c r="AI844" s="511"/>
      <c r="AJ844" s="511"/>
      <c r="AK844" s="511"/>
      <c r="AL844" s="511"/>
      <c r="AM844" s="511"/>
      <c r="AN844" s="511"/>
      <c r="AO844" s="511"/>
      <c r="AP844" s="511"/>
      <c r="AQ844" s="466"/>
      <c r="AR844" s="468"/>
      <c r="AS844" s="122" t="s">
        <v>259</v>
      </c>
      <c r="AT844" s="123"/>
      <c r="AU844" s="123"/>
      <c r="AV844" s="123"/>
      <c r="AW844" s="124"/>
      <c r="AX844" s="126">
        <f t="shared" si="1590"/>
        <v>0</v>
      </c>
      <c r="AY844" s="142" t="s">
        <v>259</v>
      </c>
      <c r="AZ844" s="138"/>
      <c r="BA844" s="138"/>
      <c r="BB844" s="135">
        <f t="shared" si="1591"/>
        <v>0</v>
      </c>
      <c r="BC844" s="474" t="s">
        <v>260</v>
      </c>
      <c r="BD844" s="475"/>
      <c r="BE844" s="14"/>
      <c r="BF844" s="17"/>
      <c r="BG844" s="14"/>
      <c r="BH844" s="17"/>
      <c r="BI844" s="14"/>
      <c r="BJ844" s="17"/>
      <c r="BK844" s="14"/>
      <c r="BL844" s="17"/>
      <c r="BM844" s="14"/>
      <c r="BN844" s="17"/>
      <c r="BO844" s="14"/>
      <c r="BP844" s="17"/>
      <c r="BQ844" s="107">
        <f t="shared" si="1527"/>
        <v>0</v>
      </c>
      <c r="BR844" s="567"/>
      <c r="BS844" s="571"/>
      <c r="BT844" s="572"/>
      <c r="BU844" s="558"/>
      <c r="BV844" s="561"/>
      <c r="BW844" s="564"/>
      <c r="BX844" s="616"/>
    </row>
    <row r="845" spans="1:76" ht="15.75" thickBot="1" x14ac:dyDescent="0.3">
      <c r="A845" s="586"/>
      <c r="B845" s="590"/>
      <c r="C845" s="591"/>
      <c r="D845" s="605"/>
      <c r="E845" s="517"/>
      <c r="F845" s="518"/>
      <c r="G845" s="523"/>
      <c r="H845" s="524"/>
      <c r="I845" s="529"/>
      <c r="J845" s="530"/>
      <c r="K845" s="513"/>
      <c r="L845" s="534"/>
      <c r="M845" s="537"/>
      <c r="N845" s="541"/>
      <c r="O845" s="542"/>
      <c r="P845" s="483"/>
      <c r="Q845" s="484"/>
      <c r="R845" s="517"/>
      <c r="S845" s="518"/>
      <c r="T845" s="487"/>
      <c r="U845" s="488"/>
      <c r="V845" s="492"/>
      <c r="W845" s="483"/>
      <c r="X845" s="495"/>
      <c r="Y845" s="484"/>
      <c r="Z845" s="498"/>
      <c r="AA845" s="502"/>
      <c r="AB845" s="503"/>
      <c r="AC845" s="471" t="s">
        <v>259</v>
      </c>
      <c r="AD845" s="472"/>
      <c r="AE845" s="473"/>
      <c r="AF845" s="100"/>
      <c r="AG845" s="100"/>
      <c r="AH845" s="100"/>
      <c r="AI845" s="100"/>
      <c r="AJ845" s="100"/>
      <c r="AK845" s="100"/>
      <c r="AL845" s="100"/>
      <c r="AM845" s="100"/>
      <c r="AN845" s="100"/>
      <c r="AO845" s="100"/>
      <c r="AP845" s="100"/>
      <c r="AQ845" s="101"/>
      <c r="AR845" s="104">
        <f t="shared" ref="AR845:AR846" si="1592">SUM(AF845:AQ845)</f>
        <v>0</v>
      </c>
      <c r="AS845" s="128" t="s">
        <v>261</v>
      </c>
      <c r="AT845" s="129"/>
      <c r="AU845" s="129"/>
      <c r="AV845" s="129"/>
      <c r="AW845" s="130"/>
      <c r="AX845" s="126">
        <f t="shared" si="1590"/>
        <v>0</v>
      </c>
      <c r="AY845" s="143" t="s">
        <v>261</v>
      </c>
      <c r="AZ845" s="139"/>
      <c r="BA845" s="139"/>
      <c r="BB845" s="136">
        <f t="shared" si="1591"/>
        <v>0</v>
      </c>
      <c r="BC845" s="474" t="s">
        <v>262</v>
      </c>
      <c r="BD845" s="475"/>
      <c r="BE845" s="14"/>
      <c r="BF845" s="17"/>
      <c r="BG845" s="14"/>
      <c r="BH845" s="17"/>
      <c r="BI845" s="14"/>
      <c r="BJ845" s="17"/>
      <c r="BK845" s="14"/>
      <c r="BL845" s="17"/>
      <c r="BM845" s="14"/>
      <c r="BN845" s="17"/>
      <c r="BO845" s="14"/>
      <c r="BP845" s="17"/>
      <c r="BQ845" s="108">
        <f t="shared" si="1527"/>
        <v>0</v>
      </c>
      <c r="BR845" s="567"/>
      <c r="BS845" s="571"/>
      <c r="BT845" s="572"/>
      <c r="BU845" s="558"/>
      <c r="BV845" s="561"/>
      <c r="BW845" s="564"/>
      <c r="BX845" s="616"/>
    </row>
    <row r="846" spans="1:76" ht="15.75" thickBot="1" x14ac:dyDescent="0.3">
      <c r="A846" s="587"/>
      <c r="B846" s="592"/>
      <c r="C846" s="593"/>
      <c r="D846" s="606"/>
      <c r="E846" s="519"/>
      <c r="F846" s="520"/>
      <c r="G846" s="525"/>
      <c r="H846" s="526"/>
      <c r="I846" s="531"/>
      <c r="J846" s="532"/>
      <c r="K846" s="514"/>
      <c r="L846" s="535"/>
      <c r="M846" s="538"/>
      <c r="N846" s="543"/>
      <c r="O846" s="544"/>
      <c r="P846" s="485"/>
      <c r="Q846" s="486"/>
      <c r="R846" s="519"/>
      <c r="S846" s="520"/>
      <c r="T846" s="489"/>
      <c r="U846" s="490"/>
      <c r="V846" s="493"/>
      <c r="W846" s="485"/>
      <c r="X846" s="496"/>
      <c r="Y846" s="486"/>
      <c r="Z846" s="499"/>
      <c r="AA846" s="504"/>
      <c r="AB846" s="505"/>
      <c r="AC846" s="476" t="s">
        <v>261</v>
      </c>
      <c r="AD846" s="477"/>
      <c r="AE846" s="478"/>
      <c r="AF846" s="102"/>
      <c r="AG846" s="102"/>
      <c r="AH846" s="102"/>
      <c r="AI846" s="102"/>
      <c r="AJ846" s="102"/>
      <c r="AK846" s="102"/>
      <c r="AL846" s="102"/>
      <c r="AM846" s="102"/>
      <c r="AN846" s="102"/>
      <c r="AO846" s="102"/>
      <c r="AP846" s="102"/>
      <c r="AQ846" s="103"/>
      <c r="AR846" s="105">
        <f t="shared" si="1592"/>
        <v>0</v>
      </c>
      <c r="AS846" s="131" t="s">
        <v>161</v>
      </c>
      <c r="AT846" s="132">
        <f t="shared" ref="AT846:AX846" si="1593">SUM(AT843:AT845)</f>
        <v>0</v>
      </c>
      <c r="AU846" s="132">
        <f t="shared" si="1593"/>
        <v>0</v>
      </c>
      <c r="AV846" s="132">
        <f t="shared" si="1593"/>
        <v>0</v>
      </c>
      <c r="AW846" s="133">
        <f t="shared" si="1593"/>
        <v>0</v>
      </c>
      <c r="AX846" s="127">
        <f t="shared" si="1593"/>
        <v>0</v>
      </c>
      <c r="AY846" s="144" t="s">
        <v>161</v>
      </c>
      <c r="AZ846" s="140">
        <f t="shared" ref="AZ846:BB846" si="1594">SUM(AZ843:AZ845)</f>
        <v>0</v>
      </c>
      <c r="BA846" s="140">
        <f t="shared" si="1594"/>
        <v>0</v>
      </c>
      <c r="BB846" s="140">
        <f t="shared" si="1594"/>
        <v>0</v>
      </c>
      <c r="BC846" s="479" t="s">
        <v>263</v>
      </c>
      <c r="BD846" s="480"/>
      <c r="BE846" s="15"/>
      <c r="BF846" s="18"/>
      <c r="BG846" s="15"/>
      <c r="BH846" s="18"/>
      <c r="BI846" s="15"/>
      <c r="BJ846" s="18"/>
      <c r="BK846" s="15"/>
      <c r="BL846" s="18"/>
      <c r="BM846" s="15"/>
      <c r="BN846" s="18"/>
      <c r="BO846" s="15"/>
      <c r="BP846" s="18"/>
      <c r="BQ846" s="109">
        <f t="shared" si="1527"/>
        <v>0</v>
      </c>
      <c r="BR846" s="568"/>
      <c r="BS846" s="573"/>
      <c r="BT846" s="574"/>
      <c r="BU846" s="559"/>
      <c r="BV846" s="562"/>
      <c r="BW846" s="565"/>
      <c r="BX846" s="617"/>
    </row>
    <row r="847" spans="1:76" ht="15.75" thickTop="1" x14ac:dyDescent="0.25">
      <c r="A847" s="585">
        <v>210</v>
      </c>
      <c r="B847" s="588"/>
      <c r="C847" s="589"/>
      <c r="D847" s="604"/>
      <c r="E847" s="515"/>
      <c r="F847" s="516"/>
      <c r="G847" s="521"/>
      <c r="H847" s="522"/>
      <c r="I847" s="527"/>
      <c r="J847" s="528"/>
      <c r="K847" s="512" t="e">
        <f t="shared" ref="K847" si="1595">INT(YEARFRAC(I847,AA847))</f>
        <v>#VALUE!</v>
      </c>
      <c r="L847" s="533">
        <f t="shared" ref="L847" ca="1" si="1596">INT(YEARFRAC(I847,TODAY()))</f>
        <v>121</v>
      </c>
      <c r="M847" s="536"/>
      <c r="N847" s="539"/>
      <c r="O847" s="540"/>
      <c r="P847" s="481"/>
      <c r="Q847" s="482"/>
      <c r="R847" s="515"/>
      <c r="S847" s="516"/>
      <c r="T847" s="487"/>
      <c r="U847" s="488"/>
      <c r="V847" s="491"/>
      <c r="W847" s="481"/>
      <c r="X847" s="494"/>
      <c r="Y847" s="482"/>
      <c r="Z847" s="497"/>
      <c r="AA847" s="500" t="s">
        <v>451</v>
      </c>
      <c r="AB847" s="501"/>
      <c r="AC847" s="506" t="s">
        <v>257</v>
      </c>
      <c r="AD847" s="507"/>
      <c r="AE847" s="507"/>
      <c r="AF847" s="510"/>
      <c r="AG847" s="510"/>
      <c r="AH847" s="510"/>
      <c r="AI847" s="510"/>
      <c r="AJ847" s="510"/>
      <c r="AK847" s="510"/>
      <c r="AL847" s="510"/>
      <c r="AM847" s="510"/>
      <c r="AN847" s="510"/>
      <c r="AO847" s="510"/>
      <c r="AP847" s="510"/>
      <c r="AQ847" s="465"/>
      <c r="AR847" s="467">
        <f t="shared" ref="AR847" si="1597">SUM(AF847:AQ848)</f>
        <v>0</v>
      </c>
      <c r="AS847" s="119" t="s">
        <v>257</v>
      </c>
      <c r="AT847" s="120"/>
      <c r="AU847" s="120"/>
      <c r="AV847" s="120"/>
      <c r="AW847" s="121"/>
      <c r="AX847" s="125">
        <f t="shared" ref="AX847:AX849" si="1598">SUM(AT847:AW847)</f>
        <v>0</v>
      </c>
      <c r="AY847" s="141" t="s">
        <v>257</v>
      </c>
      <c r="AZ847" s="137"/>
      <c r="BA847" s="137"/>
      <c r="BB847" s="134">
        <f t="shared" ref="BB847:BB849" si="1599">AZ847-BA847</f>
        <v>0</v>
      </c>
      <c r="BC847" s="469" t="s">
        <v>258</v>
      </c>
      <c r="BD847" s="470"/>
      <c r="BE847" s="13"/>
      <c r="BF847" s="16"/>
      <c r="BG847" s="13"/>
      <c r="BH847" s="16"/>
      <c r="BI847" s="13"/>
      <c r="BJ847" s="16"/>
      <c r="BK847" s="13"/>
      <c r="BL847" s="16"/>
      <c r="BM847" s="13"/>
      <c r="BN847" s="16"/>
      <c r="BO847" s="13"/>
      <c r="BP847" s="16"/>
      <c r="BQ847" s="106">
        <f t="shared" si="1527"/>
        <v>0</v>
      </c>
      <c r="BR847" s="566"/>
      <c r="BS847" s="569"/>
      <c r="BT847" s="570"/>
      <c r="BU847" s="557"/>
      <c r="BV847" s="560"/>
      <c r="BW847" s="563"/>
      <c r="BX847" s="615"/>
    </row>
    <row r="848" spans="1:76" x14ac:dyDescent="0.25">
      <c r="A848" s="586"/>
      <c r="B848" s="590"/>
      <c r="C848" s="591"/>
      <c r="D848" s="605"/>
      <c r="E848" s="517"/>
      <c r="F848" s="518"/>
      <c r="G848" s="523"/>
      <c r="H848" s="524"/>
      <c r="I848" s="529"/>
      <c r="J848" s="530"/>
      <c r="K848" s="513"/>
      <c r="L848" s="534"/>
      <c r="M848" s="537"/>
      <c r="N848" s="541"/>
      <c r="O848" s="542"/>
      <c r="P848" s="483"/>
      <c r="Q848" s="484"/>
      <c r="R848" s="517"/>
      <c r="S848" s="518"/>
      <c r="T848" s="487"/>
      <c r="U848" s="488"/>
      <c r="V848" s="492"/>
      <c r="W848" s="483"/>
      <c r="X848" s="495"/>
      <c r="Y848" s="484"/>
      <c r="Z848" s="498"/>
      <c r="AA848" s="502"/>
      <c r="AB848" s="503"/>
      <c r="AC848" s="508"/>
      <c r="AD848" s="509"/>
      <c r="AE848" s="509"/>
      <c r="AF848" s="511"/>
      <c r="AG848" s="511"/>
      <c r="AH848" s="511"/>
      <c r="AI848" s="511"/>
      <c r="AJ848" s="511"/>
      <c r="AK848" s="511"/>
      <c r="AL848" s="511"/>
      <c r="AM848" s="511"/>
      <c r="AN848" s="511"/>
      <c r="AO848" s="511"/>
      <c r="AP848" s="511"/>
      <c r="AQ848" s="466"/>
      <c r="AR848" s="468"/>
      <c r="AS848" s="122" t="s">
        <v>259</v>
      </c>
      <c r="AT848" s="123"/>
      <c r="AU848" s="123"/>
      <c r="AV848" s="123"/>
      <c r="AW848" s="124"/>
      <c r="AX848" s="126">
        <f t="shared" si="1598"/>
        <v>0</v>
      </c>
      <c r="AY848" s="142" t="s">
        <v>259</v>
      </c>
      <c r="AZ848" s="138"/>
      <c r="BA848" s="138"/>
      <c r="BB848" s="135">
        <f t="shared" si="1599"/>
        <v>0</v>
      </c>
      <c r="BC848" s="474" t="s">
        <v>260</v>
      </c>
      <c r="BD848" s="475"/>
      <c r="BE848" s="14"/>
      <c r="BF848" s="17"/>
      <c r="BG848" s="14"/>
      <c r="BH848" s="17"/>
      <c r="BI848" s="14"/>
      <c r="BJ848" s="17"/>
      <c r="BK848" s="14"/>
      <c r="BL848" s="17"/>
      <c r="BM848" s="14"/>
      <c r="BN848" s="17"/>
      <c r="BO848" s="14"/>
      <c r="BP848" s="17"/>
      <c r="BQ848" s="107">
        <f t="shared" si="1527"/>
        <v>0</v>
      </c>
      <c r="BR848" s="567"/>
      <c r="BS848" s="571"/>
      <c r="BT848" s="572"/>
      <c r="BU848" s="558"/>
      <c r="BV848" s="561"/>
      <c r="BW848" s="564"/>
      <c r="BX848" s="616"/>
    </row>
    <row r="849" spans="1:76" ht="15.75" thickBot="1" x14ac:dyDescent="0.3">
      <c r="A849" s="586"/>
      <c r="B849" s="590"/>
      <c r="C849" s="591"/>
      <c r="D849" s="605"/>
      <c r="E849" s="517"/>
      <c r="F849" s="518"/>
      <c r="G849" s="523"/>
      <c r="H849" s="524"/>
      <c r="I849" s="529"/>
      <c r="J849" s="530"/>
      <c r="K849" s="513"/>
      <c r="L849" s="534"/>
      <c r="M849" s="537"/>
      <c r="N849" s="541"/>
      <c r="O849" s="542"/>
      <c r="P849" s="483"/>
      <c r="Q849" s="484"/>
      <c r="R849" s="517"/>
      <c r="S849" s="518"/>
      <c r="T849" s="487"/>
      <c r="U849" s="488"/>
      <c r="V849" s="492"/>
      <c r="W849" s="483"/>
      <c r="X849" s="495"/>
      <c r="Y849" s="484"/>
      <c r="Z849" s="498"/>
      <c r="AA849" s="502"/>
      <c r="AB849" s="503"/>
      <c r="AC849" s="471" t="s">
        <v>259</v>
      </c>
      <c r="AD849" s="472"/>
      <c r="AE849" s="473"/>
      <c r="AF849" s="100"/>
      <c r="AG849" s="100"/>
      <c r="AH849" s="100"/>
      <c r="AI849" s="100"/>
      <c r="AJ849" s="100"/>
      <c r="AK849" s="100"/>
      <c r="AL849" s="100"/>
      <c r="AM849" s="100"/>
      <c r="AN849" s="100"/>
      <c r="AO849" s="100"/>
      <c r="AP849" s="100"/>
      <c r="AQ849" s="101"/>
      <c r="AR849" s="104">
        <f t="shared" ref="AR849:AR850" si="1600">SUM(AF849:AQ849)</f>
        <v>0</v>
      </c>
      <c r="AS849" s="128" t="s">
        <v>261</v>
      </c>
      <c r="AT849" s="129"/>
      <c r="AU849" s="129"/>
      <c r="AV849" s="129"/>
      <c r="AW849" s="130"/>
      <c r="AX849" s="126">
        <f t="shared" si="1598"/>
        <v>0</v>
      </c>
      <c r="AY849" s="143" t="s">
        <v>261</v>
      </c>
      <c r="AZ849" s="139"/>
      <c r="BA849" s="139"/>
      <c r="BB849" s="136">
        <f t="shared" si="1599"/>
        <v>0</v>
      </c>
      <c r="BC849" s="474" t="s">
        <v>262</v>
      </c>
      <c r="BD849" s="475"/>
      <c r="BE849" s="14"/>
      <c r="BF849" s="17"/>
      <c r="BG849" s="14"/>
      <c r="BH849" s="17"/>
      <c r="BI849" s="14"/>
      <c r="BJ849" s="17"/>
      <c r="BK849" s="14"/>
      <c r="BL849" s="17"/>
      <c r="BM849" s="14"/>
      <c r="BN849" s="17"/>
      <c r="BO849" s="14"/>
      <c r="BP849" s="17"/>
      <c r="BQ849" s="108">
        <f t="shared" si="1527"/>
        <v>0</v>
      </c>
      <c r="BR849" s="567"/>
      <c r="BS849" s="571"/>
      <c r="BT849" s="572"/>
      <c r="BU849" s="558"/>
      <c r="BV849" s="561"/>
      <c r="BW849" s="564"/>
      <c r="BX849" s="616"/>
    </row>
    <row r="850" spans="1:76" ht="15.75" thickBot="1" x14ac:dyDescent="0.3">
      <c r="A850" s="587"/>
      <c r="B850" s="592"/>
      <c r="C850" s="593"/>
      <c r="D850" s="606"/>
      <c r="E850" s="519"/>
      <c r="F850" s="520"/>
      <c r="G850" s="525"/>
      <c r="H850" s="526"/>
      <c r="I850" s="531"/>
      <c r="J850" s="532"/>
      <c r="K850" s="514"/>
      <c r="L850" s="535"/>
      <c r="M850" s="538"/>
      <c r="N850" s="543"/>
      <c r="O850" s="544"/>
      <c r="P850" s="485"/>
      <c r="Q850" s="486"/>
      <c r="R850" s="519"/>
      <c r="S850" s="520"/>
      <c r="T850" s="489"/>
      <c r="U850" s="490"/>
      <c r="V850" s="493"/>
      <c r="W850" s="485"/>
      <c r="X850" s="496"/>
      <c r="Y850" s="486"/>
      <c r="Z850" s="499"/>
      <c r="AA850" s="504"/>
      <c r="AB850" s="505"/>
      <c r="AC850" s="476" t="s">
        <v>261</v>
      </c>
      <c r="AD850" s="477"/>
      <c r="AE850" s="478"/>
      <c r="AF850" s="102"/>
      <c r="AG850" s="102"/>
      <c r="AH850" s="102"/>
      <c r="AI850" s="102"/>
      <c r="AJ850" s="102"/>
      <c r="AK850" s="102"/>
      <c r="AL850" s="102"/>
      <c r="AM850" s="102"/>
      <c r="AN850" s="102"/>
      <c r="AO850" s="102"/>
      <c r="AP850" s="102"/>
      <c r="AQ850" s="103"/>
      <c r="AR850" s="105">
        <f t="shared" si="1600"/>
        <v>0</v>
      </c>
      <c r="AS850" s="131" t="s">
        <v>161</v>
      </c>
      <c r="AT850" s="132">
        <f t="shared" ref="AT850:AX850" si="1601">SUM(AT847:AT849)</f>
        <v>0</v>
      </c>
      <c r="AU850" s="132">
        <f t="shared" si="1601"/>
        <v>0</v>
      </c>
      <c r="AV850" s="132">
        <f t="shared" si="1601"/>
        <v>0</v>
      </c>
      <c r="AW850" s="133">
        <f t="shared" si="1601"/>
        <v>0</v>
      </c>
      <c r="AX850" s="127">
        <f t="shared" si="1601"/>
        <v>0</v>
      </c>
      <c r="AY850" s="144" t="s">
        <v>161</v>
      </c>
      <c r="AZ850" s="140">
        <f t="shared" ref="AZ850:BB850" si="1602">SUM(AZ847:AZ849)</f>
        <v>0</v>
      </c>
      <c r="BA850" s="140">
        <f t="shared" si="1602"/>
        <v>0</v>
      </c>
      <c r="BB850" s="140">
        <f t="shared" si="1602"/>
        <v>0</v>
      </c>
      <c r="BC850" s="479" t="s">
        <v>263</v>
      </c>
      <c r="BD850" s="480"/>
      <c r="BE850" s="15"/>
      <c r="BF850" s="18"/>
      <c r="BG850" s="15"/>
      <c r="BH850" s="18"/>
      <c r="BI850" s="15"/>
      <c r="BJ850" s="18"/>
      <c r="BK850" s="15"/>
      <c r="BL850" s="18"/>
      <c r="BM850" s="15"/>
      <c r="BN850" s="18"/>
      <c r="BO850" s="15"/>
      <c r="BP850" s="18"/>
      <c r="BQ850" s="109">
        <f t="shared" si="1527"/>
        <v>0</v>
      </c>
      <c r="BR850" s="568"/>
      <c r="BS850" s="573"/>
      <c r="BT850" s="574"/>
      <c r="BU850" s="559"/>
      <c r="BV850" s="562"/>
      <c r="BW850" s="565"/>
      <c r="BX850" s="617"/>
    </row>
    <row r="851" spans="1:76" ht="15.75" thickTop="1" x14ac:dyDescent="0.25">
      <c r="A851" s="585">
        <v>211</v>
      </c>
      <c r="B851" s="588"/>
      <c r="C851" s="589"/>
      <c r="D851" s="604"/>
      <c r="E851" s="515"/>
      <c r="F851" s="516"/>
      <c r="G851" s="521"/>
      <c r="H851" s="522"/>
      <c r="I851" s="527"/>
      <c r="J851" s="528"/>
      <c r="K851" s="512" t="e">
        <f t="shared" ref="K851" si="1603">INT(YEARFRAC(I851,AA851))</f>
        <v>#VALUE!</v>
      </c>
      <c r="L851" s="533">
        <f t="shared" ref="L851" ca="1" si="1604">INT(YEARFRAC(I851,TODAY()))</f>
        <v>121</v>
      </c>
      <c r="M851" s="536"/>
      <c r="N851" s="539"/>
      <c r="O851" s="540"/>
      <c r="P851" s="481"/>
      <c r="Q851" s="482"/>
      <c r="R851" s="515"/>
      <c r="S851" s="516"/>
      <c r="T851" s="487"/>
      <c r="U851" s="488"/>
      <c r="V851" s="491"/>
      <c r="W851" s="481"/>
      <c r="X851" s="494"/>
      <c r="Y851" s="482"/>
      <c r="Z851" s="497"/>
      <c r="AA851" s="500" t="s">
        <v>452</v>
      </c>
      <c r="AB851" s="501"/>
      <c r="AC851" s="506" t="s">
        <v>257</v>
      </c>
      <c r="AD851" s="507"/>
      <c r="AE851" s="507"/>
      <c r="AF851" s="510"/>
      <c r="AG851" s="510"/>
      <c r="AH851" s="510"/>
      <c r="AI851" s="510"/>
      <c r="AJ851" s="510"/>
      <c r="AK851" s="510"/>
      <c r="AL851" s="510"/>
      <c r="AM851" s="510"/>
      <c r="AN851" s="510"/>
      <c r="AO851" s="510"/>
      <c r="AP851" s="510"/>
      <c r="AQ851" s="465"/>
      <c r="AR851" s="467">
        <f t="shared" ref="AR851" si="1605">SUM(AF851:AQ852)</f>
        <v>0</v>
      </c>
      <c r="AS851" s="119" t="s">
        <v>257</v>
      </c>
      <c r="AT851" s="120"/>
      <c r="AU851" s="120"/>
      <c r="AV851" s="120"/>
      <c r="AW851" s="121"/>
      <c r="AX851" s="125">
        <f t="shared" ref="AX851:AX853" si="1606">SUM(AT851:AW851)</f>
        <v>0</v>
      </c>
      <c r="AY851" s="141" t="s">
        <v>257</v>
      </c>
      <c r="AZ851" s="137"/>
      <c r="BA851" s="137"/>
      <c r="BB851" s="134">
        <f t="shared" ref="BB851:BB853" si="1607">AZ851-BA851</f>
        <v>0</v>
      </c>
      <c r="BC851" s="469" t="s">
        <v>258</v>
      </c>
      <c r="BD851" s="470"/>
      <c r="BE851" s="13"/>
      <c r="BF851" s="16"/>
      <c r="BG851" s="13"/>
      <c r="BH851" s="16"/>
      <c r="BI851" s="13"/>
      <c r="BJ851" s="16"/>
      <c r="BK851" s="13"/>
      <c r="BL851" s="16"/>
      <c r="BM851" s="13"/>
      <c r="BN851" s="16"/>
      <c r="BO851" s="13"/>
      <c r="BP851" s="16"/>
      <c r="BQ851" s="106">
        <f t="shared" si="1527"/>
        <v>0</v>
      </c>
      <c r="BR851" s="566"/>
      <c r="BS851" s="569"/>
      <c r="BT851" s="570"/>
      <c r="BU851" s="557"/>
      <c r="BV851" s="560"/>
      <c r="BW851" s="563"/>
      <c r="BX851" s="615"/>
    </row>
    <row r="852" spans="1:76" x14ac:dyDescent="0.25">
      <c r="A852" s="586"/>
      <c r="B852" s="590"/>
      <c r="C852" s="591"/>
      <c r="D852" s="605"/>
      <c r="E852" s="517"/>
      <c r="F852" s="518"/>
      <c r="G852" s="523"/>
      <c r="H852" s="524"/>
      <c r="I852" s="529"/>
      <c r="J852" s="530"/>
      <c r="K852" s="513"/>
      <c r="L852" s="534"/>
      <c r="M852" s="537"/>
      <c r="N852" s="541"/>
      <c r="O852" s="542"/>
      <c r="P852" s="483"/>
      <c r="Q852" s="484"/>
      <c r="R852" s="517"/>
      <c r="S852" s="518"/>
      <c r="T852" s="487"/>
      <c r="U852" s="488"/>
      <c r="V852" s="492"/>
      <c r="W852" s="483"/>
      <c r="X852" s="495"/>
      <c r="Y852" s="484"/>
      <c r="Z852" s="498"/>
      <c r="AA852" s="502"/>
      <c r="AB852" s="503"/>
      <c r="AC852" s="508"/>
      <c r="AD852" s="509"/>
      <c r="AE852" s="509"/>
      <c r="AF852" s="511"/>
      <c r="AG852" s="511"/>
      <c r="AH852" s="511"/>
      <c r="AI852" s="511"/>
      <c r="AJ852" s="511"/>
      <c r="AK852" s="511"/>
      <c r="AL852" s="511"/>
      <c r="AM852" s="511"/>
      <c r="AN852" s="511"/>
      <c r="AO852" s="511"/>
      <c r="AP852" s="511"/>
      <c r="AQ852" s="466"/>
      <c r="AR852" s="468"/>
      <c r="AS852" s="122" t="s">
        <v>259</v>
      </c>
      <c r="AT852" s="123"/>
      <c r="AU852" s="123"/>
      <c r="AV852" s="123"/>
      <c r="AW852" s="124"/>
      <c r="AX852" s="126">
        <f t="shared" si="1606"/>
        <v>0</v>
      </c>
      <c r="AY852" s="142" t="s">
        <v>259</v>
      </c>
      <c r="AZ852" s="138"/>
      <c r="BA852" s="138"/>
      <c r="BB852" s="135">
        <f t="shared" si="1607"/>
        <v>0</v>
      </c>
      <c r="BC852" s="474" t="s">
        <v>260</v>
      </c>
      <c r="BD852" s="475"/>
      <c r="BE852" s="14"/>
      <c r="BF852" s="17"/>
      <c r="BG852" s="14"/>
      <c r="BH852" s="17"/>
      <c r="BI852" s="14"/>
      <c r="BJ852" s="17"/>
      <c r="BK852" s="14"/>
      <c r="BL852" s="17"/>
      <c r="BM852" s="14"/>
      <c r="BN852" s="17"/>
      <c r="BO852" s="14"/>
      <c r="BP852" s="17"/>
      <c r="BQ852" s="107">
        <f t="shared" si="1527"/>
        <v>0</v>
      </c>
      <c r="BR852" s="567"/>
      <c r="BS852" s="571"/>
      <c r="BT852" s="572"/>
      <c r="BU852" s="558"/>
      <c r="BV852" s="561"/>
      <c r="BW852" s="564"/>
      <c r="BX852" s="616"/>
    </row>
    <row r="853" spans="1:76" ht="15.75" thickBot="1" x14ac:dyDescent="0.3">
      <c r="A853" s="586"/>
      <c r="B853" s="590"/>
      <c r="C853" s="591"/>
      <c r="D853" s="605"/>
      <c r="E853" s="517"/>
      <c r="F853" s="518"/>
      <c r="G853" s="523"/>
      <c r="H853" s="524"/>
      <c r="I853" s="529"/>
      <c r="J853" s="530"/>
      <c r="K853" s="513"/>
      <c r="L853" s="534"/>
      <c r="M853" s="537"/>
      <c r="N853" s="541"/>
      <c r="O853" s="542"/>
      <c r="P853" s="483"/>
      <c r="Q853" s="484"/>
      <c r="R853" s="517"/>
      <c r="S853" s="518"/>
      <c r="T853" s="487"/>
      <c r="U853" s="488"/>
      <c r="V853" s="492"/>
      <c r="W853" s="483"/>
      <c r="X853" s="495"/>
      <c r="Y853" s="484"/>
      <c r="Z853" s="498"/>
      <c r="AA853" s="502"/>
      <c r="AB853" s="503"/>
      <c r="AC853" s="471" t="s">
        <v>259</v>
      </c>
      <c r="AD853" s="472"/>
      <c r="AE853" s="473"/>
      <c r="AF853" s="100"/>
      <c r="AG853" s="100"/>
      <c r="AH853" s="100"/>
      <c r="AI853" s="100"/>
      <c r="AJ853" s="100"/>
      <c r="AK853" s="100"/>
      <c r="AL853" s="100"/>
      <c r="AM853" s="100"/>
      <c r="AN853" s="100"/>
      <c r="AO853" s="100"/>
      <c r="AP853" s="100"/>
      <c r="AQ853" s="101"/>
      <c r="AR853" s="104">
        <f t="shared" ref="AR853:AR854" si="1608">SUM(AF853:AQ853)</f>
        <v>0</v>
      </c>
      <c r="AS853" s="128" t="s">
        <v>261</v>
      </c>
      <c r="AT853" s="129"/>
      <c r="AU853" s="129"/>
      <c r="AV853" s="129"/>
      <c r="AW853" s="130"/>
      <c r="AX853" s="126">
        <f t="shared" si="1606"/>
        <v>0</v>
      </c>
      <c r="AY853" s="143" t="s">
        <v>261</v>
      </c>
      <c r="AZ853" s="139"/>
      <c r="BA853" s="139"/>
      <c r="BB853" s="136">
        <f t="shared" si="1607"/>
        <v>0</v>
      </c>
      <c r="BC853" s="474" t="s">
        <v>262</v>
      </c>
      <c r="BD853" s="475"/>
      <c r="BE853" s="14"/>
      <c r="BF853" s="17"/>
      <c r="BG853" s="14"/>
      <c r="BH853" s="17"/>
      <c r="BI853" s="14"/>
      <c r="BJ853" s="17"/>
      <c r="BK853" s="14"/>
      <c r="BL853" s="17"/>
      <c r="BM853" s="14"/>
      <c r="BN853" s="17"/>
      <c r="BO853" s="14"/>
      <c r="BP853" s="17"/>
      <c r="BQ853" s="108">
        <f t="shared" si="1527"/>
        <v>0</v>
      </c>
      <c r="BR853" s="567"/>
      <c r="BS853" s="571"/>
      <c r="BT853" s="572"/>
      <c r="BU853" s="558"/>
      <c r="BV853" s="561"/>
      <c r="BW853" s="564"/>
      <c r="BX853" s="616"/>
    </row>
    <row r="854" spans="1:76" ht="15.75" thickBot="1" x14ac:dyDescent="0.3">
      <c r="A854" s="587"/>
      <c r="B854" s="592"/>
      <c r="C854" s="593"/>
      <c r="D854" s="606"/>
      <c r="E854" s="519"/>
      <c r="F854" s="520"/>
      <c r="G854" s="525"/>
      <c r="H854" s="526"/>
      <c r="I854" s="531"/>
      <c r="J854" s="532"/>
      <c r="K854" s="514"/>
      <c r="L854" s="535"/>
      <c r="M854" s="538"/>
      <c r="N854" s="543"/>
      <c r="O854" s="544"/>
      <c r="P854" s="485"/>
      <c r="Q854" s="486"/>
      <c r="R854" s="519"/>
      <c r="S854" s="520"/>
      <c r="T854" s="489"/>
      <c r="U854" s="490"/>
      <c r="V854" s="493"/>
      <c r="W854" s="485"/>
      <c r="X854" s="496"/>
      <c r="Y854" s="486"/>
      <c r="Z854" s="499"/>
      <c r="AA854" s="504"/>
      <c r="AB854" s="505"/>
      <c r="AC854" s="476" t="s">
        <v>261</v>
      </c>
      <c r="AD854" s="477"/>
      <c r="AE854" s="478"/>
      <c r="AF854" s="102"/>
      <c r="AG854" s="102"/>
      <c r="AH854" s="102"/>
      <c r="AI854" s="102"/>
      <c r="AJ854" s="102"/>
      <c r="AK854" s="102"/>
      <c r="AL854" s="102"/>
      <c r="AM854" s="102"/>
      <c r="AN854" s="102"/>
      <c r="AO854" s="102"/>
      <c r="AP854" s="102"/>
      <c r="AQ854" s="103"/>
      <c r="AR854" s="105">
        <f t="shared" si="1608"/>
        <v>0</v>
      </c>
      <c r="AS854" s="131" t="s">
        <v>161</v>
      </c>
      <c r="AT854" s="132">
        <f t="shared" ref="AT854:AX854" si="1609">SUM(AT851:AT853)</f>
        <v>0</v>
      </c>
      <c r="AU854" s="132">
        <f t="shared" si="1609"/>
        <v>0</v>
      </c>
      <c r="AV854" s="132">
        <f t="shared" si="1609"/>
        <v>0</v>
      </c>
      <c r="AW854" s="133">
        <f t="shared" si="1609"/>
        <v>0</v>
      </c>
      <c r="AX854" s="127">
        <f t="shared" si="1609"/>
        <v>0</v>
      </c>
      <c r="AY854" s="144" t="s">
        <v>161</v>
      </c>
      <c r="AZ854" s="140">
        <f t="shared" ref="AZ854:BB854" si="1610">SUM(AZ851:AZ853)</f>
        <v>0</v>
      </c>
      <c r="BA854" s="140">
        <f t="shared" si="1610"/>
        <v>0</v>
      </c>
      <c r="BB854" s="140">
        <f t="shared" si="1610"/>
        <v>0</v>
      </c>
      <c r="BC854" s="479" t="s">
        <v>263</v>
      </c>
      <c r="BD854" s="480"/>
      <c r="BE854" s="15"/>
      <c r="BF854" s="18"/>
      <c r="BG854" s="15"/>
      <c r="BH854" s="18"/>
      <c r="BI854" s="15"/>
      <c r="BJ854" s="18"/>
      <c r="BK854" s="15"/>
      <c r="BL854" s="18"/>
      <c r="BM854" s="15"/>
      <c r="BN854" s="18"/>
      <c r="BO854" s="15"/>
      <c r="BP854" s="18"/>
      <c r="BQ854" s="109">
        <f t="shared" si="1527"/>
        <v>0</v>
      </c>
      <c r="BR854" s="568"/>
      <c r="BS854" s="573"/>
      <c r="BT854" s="574"/>
      <c r="BU854" s="559"/>
      <c r="BV854" s="562"/>
      <c r="BW854" s="565"/>
      <c r="BX854" s="617"/>
    </row>
    <row r="855" spans="1:76" ht="15.75" thickTop="1" x14ac:dyDescent="0.25">
      <c r="A855" s="585">
        <v>212</v>
      </c>
      <c r="B855" s="588"/>
      <c r="C855" s="589"/>
      <c r="D855" s="604"/>
      <c r="E855" s="515"/>
      <c r="F855" s="516"/>
      <c r="G855" s="521"/>
      <c r="H855" s="522"/>
      <c r="I855" s="527"/>
      <c r="J855" s="528"/>
      <c r="K855" s="512" t="e">
        <f t="shared" ref="K855" si="1611">INT(YEARFRAC(I855,AA855))</f>
        <v>#VALUE!</v>
      </c>
      <c r="L855" s="533">
        <f t="shared" ref="L855" ca="1" si="1612">INT(YEARFRAC(I855,TODAY()))</f>
        <v>121</v>
      </c>
      <c r="M855" s="536"/>
      <c r="N855" s="539"/>
      <c r="O855" s="540"/>
      <c r="P855" s="481"/>
      <c r="Q855" s="482"/>
      <c r="R855" s="515"/>
      <c r="S855" s="516"/>
      <c r="T855" s="487"/>
      <c r="U855" s="488"/>
      <c r="V855" s="491"/>
      <c r="W855" s="481"/>
      <c r="X855" s="494"/>
      <c r="Y855" s="482"/>
      <c r="Z855" s="497"/>
      <c r="AA855" s="500" t="s">
        <v>453</v>
      </c>
      <c r="AB855" s="501"/>
      <c r="AC855" s="506" t="s">
        <v>257</v>
      </c>
      <c r="AD855" s="507"/>
      <c r="AE855" s="507"/>
      <c r="AF855" s="510"/>
      <c r="AG855" s="510"/>
      <c r="AH855" s="510"/>
      <c r="AI855" s="510"/>
      <c r="AJ855" s="510"/>
      <c r="AK855" s="510"/>
      <c r="AL855" s="510"/>
      <c r="AM855" s="510"/>
      <c r="AN855" s="510"/>
      <c r="AO855" s="510"/>
      <c r="AP855" s="510"/>
      <c r="AQ855" s="465"/>
      <c r="AR855" s="467">
        <f t="shared" ref="AR855" si="1613">SUM(AF855:AQ856)</f>
        <v>0</v>
      </c>
      <c r="AS855" s="119" t="s">
        <v>257</v>
      </c>
      <c r="AT855" s="120"/>
      <c r="AU855" s="120"/>
      <c r="AV855" s="120"/>
      <c r="AW855" s="121"/>
      <c r="AX855" s="125">
        <f t="shared" ref="AX855:AX857" si="1614">SUM(AT855:AW855)</f>
        <v>0</v>
      </c>
      <c r="AY855" s="141" t="s">
        <v>257</v>
      </c>
      <c r="AZ855" s="137"/>
      <c r="BA855" s="137"/>
      <c r="BB855" s="134">
        <f t="shared" ref="BB855:BB857" si="1615">AZ855-BA855</f>
        <v>0</v>
      </c>
      <c r="BC855" s="469" t="s">
        <v>258</v>
      </c>
      <c r="BD855" s="470"/>
      <c r="BE855" s="13"/>
      <c r="BF855" s="16"/>
      <c r="BG855" s="13"/>
      <c r="BH855" s="16"/>
      <c r="BI855" s="13"/>
      <c r="BJ855" s="16"/>
      <c r="BK855" s="13"/>
      <c r="BL855" s="16"/>
      <c r="BM855" s="13"/>
      <c r="BN855" s="16"/>
      <c r="BO855" s="13"/>
      <c r="BP855" s="16"/>
      <c r="BQ855" s="106">
        <f t="shared" si="1527"/>
        <v>0</v>
      </c>
      <c r="BR855" s="566"/>
      <c r="BS855" s="569"/>
      <c r="BT855" s="570"/>
      <c r="BU855" s="557"/>
      <c r="BV855" s="560"/>
      <c r="BW855" s="563"/>
      <c r="BX855" s="615"/>
    </row>
    <row r="856" spans="1:76" x14ac:dyDescent="0.25">
      <c r="A856" s="586"/>
      <c r="B856" s="590"/>
      <c r="C856" s="591"/>
      <c r="D856" s="605"/>
      <c r="E856" s="517"/>
      <c r="F856" s="518"/>
      <c r="G856" s="523"/>
      <c r="H856" s="524"/>
      <c r="I856" s="529"/>
      <c r="J856" s="530"/>
      <c r="K856" s="513"/>
      <c r="L856" s="534"/>
      <c r="M856" s="537"/>
      <c r="N856" s="541"/>
      <c r="O856" s="542"/>
      <c r="P856" s="483"/>
      <c r="Q856" s="484"/>
      <c r="R856" s="517"/>
      <c r="S856" s="518"/>
      <c r="T856" s="487"/>
      <c r="U856" s="488"/>
      <c r="V856" s="492"/>
      <c r="W856" s="483"/>
      <c r="X856" s="495"/>
      <c r="Y856" s="484"/>
      <c r="Z856" s="498"/>
      <c r="AA856" s="502"/>
      <c r="AB856" s="503"/>
      <c r="AC856" s="508"/>
      <c r="AD856" s="509"/>
      <c r="AE856" s="509"/>
      <c r="AF856" s="511"/>
      <c r="AG856" s="511"/>
      <c r="AH856" s="511"/>
      <c r="AI856" s="511"/>
      <c r="AJ856" s="511"/>
      <c r="AK856" s="511"/>
      <c r="AL856" s="511"/>
      <c r="AM856" s="511"/>
      <c r="AN856" s="511"/>
      <c r="AO856" s="511"/>
      <c r="AP856" s="511"/>
      <c r="AQ856" s="466"/>
      <c r="AR856" s="468"/>
      <c r="AS856" s="122" t="s">
        <v>259</v>
      </c>
      <c r="AT856" s="123"/>
      <c r="AU856" s="123"/>
      <c r="AV856" s="123"/>
      <c r="AW856" s="124"/>
      <c r="AX856" s="126">
        <f t="shared" si="1614"/>
        <v>0</v>
      </c>
      <c r="AY856" s="142" t="s">
        <v>259</v>
      </c>
      <c r="AZ856" s="138"/>
      <c r="BA856" s="138"/>
      <c r="BB856" s="135">
        <f t="shared" si="1615"/>
        <v>0</v>
      </c>
      <c r="BC856" s="474" t="s">
        <v>260</v>
      </c>
      <c r="BD856" s="475"/>
      <c r="BE856" s="14"/>
      <c r="BF856" s="17"/>
      <c r="BG856" s="14"/>
      <c r="BH856" s="17"/>
      <c r="BI856" s="14"/>
      <c r="BJ856" s="17"/>
      <c r="BK856" s="14"/>
      <c r="BL856" s="17"/>
      <c r="BM856" s="14"/>
      <c r="BN856" s="17"/>
      <c r="BO856" s="14"/>
      <c r="BP856" s="17"/>
      <c r="BQ856" s="107">
        <f t="shared" si="1527"/>
        <v>0</v>
      </c>
      <c r="BR856" s="567"/>
      <c r="BS856" s="571"/>
      <c r="BT856" s="572"/>
      <c r="BU856" s="558"/>
      <c r="BV856" s="561"/>
      <c r="BW856" s="564"/>
      <c r="BX856" s="616"/>
    </row>
    <row r="857" spans="1:76" ht="15.75" thickBot="1" x14ac:dyDescent="0.3">
      <c r="A857" s="586"/>
      <c r="B857" s="590"/>
      <c r="C857" s="591"/>
      <c r="D857" s="605"/>
      <c r="E857" s="517"/>
      <c r="F857" s="518"/>
      <c r="G857" s="523"/>
      <c r="H857" s="524"/>
      <c r="I857" s="529"/>
      <c r="J857" s="530"/>
      <c r="K857" s="513"/>
      <c r="L857" s="534"/>
      <c r="M857" s="537"/>
      <c r="N857" s="541"/>
      <c r="O857" s="542"/>
      <c r="P857" s="483"/>
      <c r="Q857" s="484"/>
      <c r="R857" s="517"/>
      <c r="S857" s="518"/>
      <c r="T857" s="487"/>
      <c r="U857" s="488"/>
      <c r="V857" s="492"/>
      <c r="W857" s="483"/>
      <c r="X857" s="495"/>
      <c r="Y857" s="484"/>
      <c r="Z857" s="498"/>
      <c r="AA857" s="502"/>
      <c r="AB857" s="503"/>
      <c r="AC857" s="471" t="s">
        <v>259</v>
      </c>
      <c r="AD857" s="472"/>
      <c r="AE857" s="473"/>
      <c r="AF857" s="100"/>
      <c r="AG857" s="100"/>
      <c r="AH857" s="100"/>
      <c r="AI857" s="100"/>
      <c r="AJ857" s="100"/>
      <c r="AK857" s="100"/>
      <c r="AL857" s="100"/>
      <c r="AM857" s="100"/>
      <c r="AN857" s="100"/>
      <c r="AO857" s="100"/>
      <c r="AP857" s="100"/>
      <c r="AQ857" s="101"/>
      <c r="AR857" s="104">
        <f t="shared" ref="AR857:AR858" si="1616">SUM(AF857:AQ857)</f>
        <v>0</v>
      </c>
      <c r="AS857" s="128" t="s">
        <v>261</v>
      </c>
      <c r="AT857" s="129"/>
      <c r="AU857" s="129"/>
      <c r="AV857" s="129"/>
      <c r="AW857" s="130"/>
      <c r="AX857" s="126">
        <f t="shared" si="1614"/>
        <v>0</v>
      </c>
      <c r="AY857" s="143" t="s">
        <v>261</v>
      </c>
      <c r="AZ857" s="139"/>
      <c r="BA857" s="139"/>
      <c r="BB857" s="136">
        <f t="shared" si="1615"/>
        <v>0</v>
      </c>
      <c r="BC857" s="474" t="s">
        <v>262</v>
      </c>
      <c r="BD857" s="475"/>
      <c r="BE857" s="14"/>
      <c r="BF857" s="17"/>
      <c r="BG857" s="14"/>
      <c r="BH857" s="17"/>
      <c r="BI857" s="14"/>
      <c r="BJ857" s="17"/>
      <c r="BK857" s="14"/>
      <c r="BL857" s="17"/>
      <c r="BM857" s="14"/>
      <c r="BN857" s="17"/>
      <c r="BO857" s="14"/>
      <c r="BP857" s="17"/>
      <c r="BQ857" s="108">
        <f t="shared" si="1527"/>
        <v>0</v>
      </c>
      <c r="BR857" s="567"/>
      <c r="BS857" s="571"/>
      <c r="BT857" s="572"/>
      <c r="BU857" s="558"/>
      <c r="BV857" s="561"/>
      <c r="BW857" s="564"/>
      <c r="BX857" s="616"/>
    </row>
    <row r="858" spans="1:76" ht="15.75" thickBot="1" x14ac:dyDescent="0.3">
      <c r="A858" s="587"/>
      <c r="B858" s="592"/>
      <c r="C858" s="593"/>
      <c r="D858" s="606"/>
      <c r="E858" s="519"/>
      <c r="F858" s="520"/>
      <c r="G858" s="525"/>
      <c r="H858" s="526"/>
      <c r="I858" s="531"/>
      <c r="J858" s="532"/>
      <c r="K858" s="514"/>
      <c r="L858" s="535"/>
      <c r="M858" s="538"/>
      <c r="N858" s="543"/>
      <c r="O858" s="544"/>
      <c r="P858" s="485"/>
      <c r="Q858" s="486"/>
      <c r="R858" s="519"/>
      <c r="S858" s="520"/>
      <c r="T858" s="489"/>
      <c r="U858" s="490"/>
      <c r="V858" s="493"/>
      <c r="W858" s="485"/>
      <c r="X858" s="496"/>
      <c r="Y858" s="486"/>
      <c r="Z858" s="499"/>
      <c r="AA858" s="504"/>
      <c r="AB858" s="505"/>
      <c r="AC858" s="476" t="s">
        <v>261</v>
      </c>
      <c r="AD858" s="477"/>
      <c r="AE858" s="478"/>
      <c r="AF858" s="102"/>
      <c r="AG858" s="102"/>
      <c r="AH858" s="102"/>
      <c r="AI858" s="102"/>
      <c r="AJ858" s="102"/>
      <c r="AK858" s="102"/>
      <c r="AL858" s="102"/>
      <c r="AM858" s="102"/>
      <c r="AN858" s="102"/>
      <c r="AO858" s="102"/>
      <c r="AP858" s="102"/>
      <c r="AQ858" s="103"/>
      <c r="AR858" s="105">
        <f t="shared" si="1616"/>
        <v>0</v>
      </c>
      <c r="AS858" s="131" t="s">
        <v>161</v>
      </c>
      <c r="AT858" s="132">
        <f t="shared" ref="AT858:AX858" si="1617">SUM(AT855:AT857)</f>
        <v>0</v>
      </c>
      <c r="AU858" s="132">
        <f t="shared" si="1617"/>
        <v>0</v>
      </c>
      <c r="AV858" s="132">
        <f t="shared" si="1617"/>
        <v>0</v>
      </c>
      <c r="AW858" s="133">
        <f t="shared" si="1617"/>
        <v>0</v>
      </c>
      <c r="AX858" s="127">
        <f t="shared" si="1617"/>
        <v>0</v>
      </c>
      <c r="AY858" s="144" t="s">
        <v>161</v>
      </c>
      <c r="AZ858" s="140">
        <f t="shared" ref="AZ858:BB858" si="1618">SUM(AZ855:AZ857)</f>
        <v>0</v>
      </c>
      <c r="BA858" s="140">
        <f t="shared" si="1618"/>
        <v>0</v>
      </c>
      <c r="BB858" s="140">
        <f t="shared" si="1618"/>
        <v>0</v>
      </c>
      <c r="BC858" s="479" t="s">
        <v>263</v>
      </c>
      <c r="BD858" s="480"/>
      <c r="BE858" s="15"/>
      <c r="BF858" s="18"/>
      <c r="BG858" s="15"/>
      <c r="BH858" s="18"/>
      <c r="BI858" s="15"/>
      <c r="BJ858" s="18"/>
      <c r="BK858" s="15"/>
      <c r="BL858" s="18"/>
      <c r="BM858" s="15"/>
      <c r="BN858" s="18"/>
      <c r="BO858" s="15"/>
      <c r="BP858" s="18"/>
      <c r="BQ858" s="109">
        <f t="shared" si="1527"/>
        <v>0</v>
      </c>
      <c r="BR858" s="568"/>
      <c r="BS858" s="573"/>
      <c r="BT858" s="574"/>
      <c r="BU858" s="559"/>
      <c r="BV858" s="562"/>
      <c r="BW858" s="565"/>
      <c r="BX858" s="617"/>
    </row>
    <row r="859" spans="1:76" ht="15.75" thickTop="1" x14ac:dyDescent="0.25">
      <c r="A859" s="585">
        <v>213</v>
      </c>
      <c r="B859" s="588"/>
      <c r="C859" s="589"/>
      <c r="D859" s="604"/>
      <c r="E859" s="515"/>
      <c r="F859" s="516"/>
      <c r="G859" s="521"/>
      <c r="H859" s="522"/>
      <c r="I859" s="527"/>
      <c r="J859" s="528"/>
      <c r="K859" s="512" t="e">
        <f t="shared" ref="K859" si="1619">INT(YEARFRAC(I859,AA859))</f>
        <v>#VALUE!</v>
      </c>
      <c r="L859" s="533">
        <f t="shared" ref="L859" ca="1" si="1620">INT(YEARFRAC(I859,TODAY()))</f>
        <v>121</v>
      </c>
      <c r="M859" s="536"/>
      <c r="N859" s="539"/>
      <c r="O859" s="540"/>
      <c r="P859" s="481"/>
      <c r="Q859" s="482"/>
      <c r="R859" s="515"/>
      <c r="S859" s="516"/>
      <c r="T859" s="487"/>
      <c r="U859" s="488"/>
      <c r="V859" s="491"/>
      <c r="W859" s="481"/>
      <c r="X859" s="494"/>
      <c r="Y859" s="482"/>
      <c r="Z859" s="497"/>
      <c r="AA859" s="500" t="s">
        <v>454</v>
      </c>
      <c r="AB859" s="501"/>
      <c r="AC859" s="506" t="s">
        <v>257</v>
      </c>
      <c r="AD859" s="507"/>
      <c r="AE859" s="507"/>
      <c r="AF859" s="510"/>
      <c r="AG859" s="510"/>
      <c r="AH859" s="510"/>
      <c r="AI859" s="510"/>
      <c r="AJ859" s="510"/>
      <c r="AK859" s="510"/>
      <c r="AL859" s="510"/>
      <c r="AM859" s="510"/>
      <c r="AN859" s="510"/>
      <c r="AO859" s="510"/>
      <c r="AP859" s="510"/>
      <c r="AQ859" s="465"/>
      <c r="AR859" s="467">
        <f t="shared" ref="AR859" si="1621">SUM(AF859:AQ860)</f>
        <v>0</v>
      </c>
      <c r="AS859" s="119" t="s">
        <v>257</v>
      </c>
      <c r="AT859" s="120"/>
      <c r="AU859" s="120"/>
      <c r="AV859" s="120"/>
      <c r="AW859" s="121"/>
      <c r="AX859" s="125">
        <f t="shared" ref="AX859:AX861" si="1622">SUM(AT859:AW859)</f>
        <v>0</v>
      </c>
      <c r="AY859" s="141" t="s">
        <v>257</v>
      </c>
      <c r="AZ859" s="137"/>
      <c r="BA859" s="137"/>
      <c r="BB859" s="134">
        <f t="shared" ref="BB859:BB861" si="1623">AZ859-BA859</f>
        <v>0</v>
      </c>
      <c r="BC859" s="469" t="s">
        <v>258</v>
      </c>
      <c r="BD859" s="470"/>
      <c r="BE859" s="13"/>
      <c r="BF859" s="16"/>
      <c r="BG859" s="13"/>
      <c r="BH859" s="16"/>
      <c r="BI859" s="13"/>
      <c r="BJ859" s="16"/>
      <c r="BK859" s="13"/>
      <c r="BL859" s="16"/>
      <c r="BM859" s="13"/>
      <c r="BN859" s="16"/>
      <c r="BO859" s="13"/>
      <c r="BP859" s="16"/>
      <c r="BQ859" s="106">
        <f t="shared" si="1527"/>
        <v>0</v>
      </c>
      <c r="BR859" s="566"/>
      <c r="BS859" s="569"/>
      <c r="BT859" s="570"/>
      <c r="BU859" s="557"/>
      <c r="BV859" s="560"/>
      <c r="BW859" s="563"/>
      <c r="BX859" s="615"/>
    </row>
    <row r="860" spans="1:76" x14ac:dyDescent="0.25">
      <c r="A860" s="586"/>
      <c r="B860" s="590"/>
      <c r="C860" s="591"/>
      <c r="D860" s="605"/>
      <c r="E860" s="517"/>
      <c r="F860" s="518"/>
      <c r="G860" s="523"/>
      <c r="H860" s="524"/>
      <c r="I860" s="529"/>
      <c r="J860" s="530"/>
      <c r="K860" s="513"/>
      <c r="L860" s="534"/>
      <c r="M860" s="537"/>
      <c r="N860" s="541"/>
      <c r="O860" s="542"/>
      <c r="P860" s="483"/>
      <c r="Q860" s="484"/>
      <c r="R860" s="517"/>
      <c r="S860" s="518"/>
      <c r="T860" s="487"/>
      <c r="U860" s="488"/>
      <c r="V860" s="492"/>
      <c r="W860" s="483"/>
      <c r="X860" s="495"/>
      <c r="Y860" s="484"/>
      <c r="Z860" s="498"/>
      <c r="AA860" s="502"/>
      <c r="AB860" s="503"/>
      <c r="AC860" s="508"/>
      <c r="AD860" s="509"/>
      <c r="AE860" s="509"/>
      <c r="AF860" s="511"/>
      <c r="AG860" s="511"/>
      <c r="AH860" s="511"/>
      <c r="AI860" s="511"/>
      <c r="AJ860" s="511"/>
      <c r="AK860" s="511"/>
      <c r="AL860" s="511"/>
      <c r="AM860" s="511"/>
      <c r="AN860" s="511"/>
      <c r="AO860" s="511"/>
      <c r="AP860" s="511"/>
      <c r="AQ860" s="466"/>
      <c r="AR860" s="468"/>
      <c r="AS860" s="122" t="s">
        <v>259</v>
      </c>
      <c r="AT860" s="123"/>
      <c r="AU860" s="123"/>
      <c r="AV860" s="123"/>
      <c r="AW860" s="124"/>
      <c r="AX860" s="126">
        <f t="shared" si="1622"/>
        <v>0</v>
      </c>
      <c r="AY860" s="142" t="s">
        <v>259</v>
      </c>
      <c r="AZ860" s="138"/>
      <c r="BA860" s="138"/>
      <c r="BB860" s="135">
        <f t="shared" si="1623"/>
        <v>0</v>
      </c>
      <c r="BC860" s="474" t="s">
        <v>260</v>
      </c>
      <c r="BD860" s="475"/>
      <c r="BE860" s="14"/>
      <c r="BF860" s="17"/>
      <c r="BG860" s="14"/>
      <c r="BH860" s="17"/>
      <c r="BI860" s="14"/>
      <c r="BJ860" s="17"/>
      <c r="BK860" s="14"/>
      <c r="BL860" s="17"/>
      <c r="BM860" s="14"/>
      <c r="BN860" s="17"/>
      <c r="BO860" s="14"/>
      <c r="BP860" s="17"/>
      <c r="BQ860" s="107">
        <f t="shared" si="1527"/>
        <v>0</v>
      </c>
      <c r="BR860" s="567"/>
      <c r="BS860" s="571"/>
      <c r="BT860" s="572"/>
      <c r="BU860" s="558"/>
      <c r="BV860" s="561"/>
      <c r="BW860" s="564"/>
      <c r="BX860" s="616"/>
    </row>
    <row r="861" spans="1:76" ht="15.75" thickBot="1" x14ac:dyDescent="0.3">
      <c r="A861" s="586"/>
      <c r="B861" s="590"/>
      <c r="C861" s="591"/>
      <c r="D861" s="605"/>
      <c r="E861" s="517"/>
      <c r="F861" s="518"/>
      <c r="G861" s="523"/>
      <c r="H861" s="524"/>
      <c r="I861" s="529"/>
      <c r="J861" s="530"/>
      <c r="K861" s="513"/>
      <c r="L861" s="534"/>
      <c r="M861" s="537"/>
      <c r="N861" s="541"/>
      <c r="O861" s="542"/>
      <c r="P861" s="483"/>
      <c r="Q861" s="484"/>
      <c r="R861" s="517"/>
      <c r="S861" s="518"/>
      <c r="T861" s="487"/>
      <c r="U861" s="488"/>
      <c r="V861" s="492"/>
      <c r="W861" s="483"/>
      <c r="X861" s="495"/>
      <c r="Y861" s="484"/>
      <c r="Z861" s="498"/>
      <c r="AA861" s="502"/>
      <c r="AB861" s="503"/>
      <c r="AC861" s="471" t="s">
        <v>259</v>
      </c>
      <c r="AD861" s="472"/>
      <c r="AE861" s="473"/>
      <c r="AF861" s="100"/>
      <c r="AG861" s="100"/>
      <c r="AH861" s="100"/>
      <c r="AI861" s="100"/>
      <c r="AJ861" s="100"/>
      <c r="AK861" s="100"/>
      <c r="AL861" s="100"/>
      <c r="AM861" s="100"/>
      <c r="AN861" s="100"/>
      <c r="AO861" s="100"/>
      <c r="AP861" s="100"/>
      <c r="AQ861" s="101"/>
      <c r="AR861" s="104">
        <f t="shared" ref="AR861:AR862" si="1624">SUM(AF861:AQ861)</f>
        <v>0</v>
      </c>
      <c r="AS861" s="128" t="s">
        <v>261</v>
      </c>
      <c r="AT861" s="129"/>
      <c r="AU861" s="129"/>
      <c r="AV861" s="129"/>
      <c r="AW861" s="130"/>
      <c r="AX861" s="126">
        <f t="shared" si="1622"/>
        <v>0</v>
      </c>
      <c r="AY861" s="143" t="s">
        <v>261</v>
      </c>
      <c r="AZ861" s="139"/>
      <c r="BA861" s="139"/>
      <c r="BB861" s="136">
        <f t="shared" si="1623"/>
        <v>0</v>
      </c>
      <c r="BC861" s="474" t="s">
        <v>262</v>
      </c>
      <c r="BD861" s="475"/>
      <c r="BE861" s="14"/>
      <c r="BF861" s="17"/>
      <c r="BG861" s="14"/>
      <c r="BH861" s="17"/>
      <c r="BI861" s="14"/>
      <c r="BJ861" s="17"/>
      <c r="BK861" s="14"/>
      <c r="BL861" s="17"/>
      <c r="BM861" s="14"/>
      <c r="BN861" s="17"/>
      <c r="BO861" s="14"/>
      <c r="BP861" s="17"/>
      <c r="BQ861" s="108">
        <f t="shared" si="1527"/>
        <v>0</v>
      </c>
      <c r="BR861" s="567"/>
      <c r="BS861" s="571"/>
      <c r="BT861" s="572"/>
      <c r="BU861" s="558"/>
      <c r="BV861" s="561"/>
      <c r="BW861" s="564"/>
      <c r="BX861" s="616"/>
    </row>
    <row r="862" spans="1:76" ht="15.75" thickBot="1" x14ac:dyDescent="0.3">
      <c r="A862" s="587"/>
      <c r="B862" s="592"/>
      <c r="C862" s="593"/>
      <c r="D862" s="606"/>
      <c r="E862" s="519"/>
      <c r="F862" s="520"/>
      <c r="G862" s="525"/>
      <c r="H862" s="526"/>
      <c r="I862" s="531"/>
      <c r="J862" s="532"/>
      <c r="K862" s="514"/>
      <c r="L862" s="535"/>
      <c r="M862" s="538"/>
      <c r="N862" s="543"/>
      <c r="O862" s="544"/>
      <c r="P862" s="485"/>
      <c r="Q862" s="486"/>
      <c r="R862" s="519"/>
      <c r="S862" s="520"/>
      <c r="T862" s="489"/>
      <c r="U862" s="490"/>
      <c r="V862" s="493"/>
      <c r="W862" s="485"/>
      <c r="X862" s="496"/>
      <c r="Y862" s="486"/>
      <c r="Z862" s="499"/>
      <c r="AA862" s="504"/>
      <c r="AB862" s="505"/>
      <c r="AC862" s="476" t="s">
        <v>261</v>
      </c>
      <c r="AD862" s="477"/>
      <c r="AE862" s="478"/>
      <c r="AF862" s="102"/>
      <c r="AG862" s="102"/>
      <c r="AH862" s="102"/>
      <c r="AI862" s="102"/>
      <c r="AJ862" s="102"/>
      <c r="AK862" s="102"/>
      <c r="AL862" s="102"/>
      <c r="AM862" s="102"/>
      <c r="AN862" s="102"/>
      <c r="AO862" s="102"/>
      <c r="AP862" s="102"/>
      <c r="AQ862" s="103"/>
      <c r="AR862" s="105">
        <f t="shared" si="1624"/>
        <v>0</v>
      </c>
      <c r="AS862" s="131" t="s">
        <v>161</v>
      </c>
      <c r="AT862" s="132">
        <f t="shared" ref="AT862:AX862" si="1625">SUM(AT859:AT861)</f>
        <v>0</v>
      </c>
      <c r="AU862" s="132">
        <f t="shared" si="1625"/>
        <v>0</v>
      </c>
      <c r="AV862" s="132">
        <f t="shared" si="1625"/>
        <v>0</v>
      </c>
      <c r="AW862" s="133">
        <f t="shared" si="1625"/>
        <v>0</v>
      </c>
      <c r="AX862" s="127">
        <f t="shared" si="1625"/>
        <v>0</v>
      </c>
      <c r="AY862" s="144" t="s">
        <v>161</v>
      </c>
      <c r="AZ862" s="140">
        <f t="shared" ref="AZ862:BB862" si="1626">SUM(AZ859:AZ861)</f>
        <v>0</v>
      </c>
      <c r="BA862" s="140">
        <f t="shared" si="1626"/>
        <v>0</v>
      </c>
      <c r="BB862" s="140">
        <f t="shared" si="1626"/>
        <v>0</v>
      </c>
      <c r="BC862" s="479" t="s">
        <v>263</v>
      </c>
      <c r="BD862" s="480"/>
      <c r="BE862" s="15"/>
      <c r="BF862" s="18"/>
      <c r="BG862" s="15"/>
      <c r="BH862" s="18"/>
      <c r="BI862" s="15"/>
      <c r="BJ862" s="18"/>
      <c r="BK862" s="15"/>
      <c r="BL862" s="18"/>
      <c r="BM862" s="15"/>
      <c r="BN862" s="18"/>
      <c r="BO862" s="15"/>
      <c r="BP862" s="18"/>
      <c r="BQ862" s="109">
        <f t="shared" si="1527"/>
        <v>0</v>
      </c>
      <c r="BR862" s="568"/>
      <c r="BS862" s="573"/>
      <c r="BT862" s="574"/>
      <c r="BU862" s="559"/>
      <c r="BV862" s="562"/>
      <c r="BW862" s="565"/>
      <c r="BX862" s="617"/>
    </row>
    <row r="863" spans="1:76" ht="15.75" thickTop="1" x14ac:dyDescent="0.25">
      <c r="A863" s="585">
        <v>214</v>
      </c>
      <c r="B863" s="588"/>
      <c r="C863" s="589"/>
      <c r="D863" s="604"/>
      <c r="E863" s="515"/>
      <c r="F863" s="516"/>
      <c r="G863" s="521"/>
      <c r="H863" s="522"/>
      <c r="I863" s="527"/>
      <c r="J863" s="528"/>
      <c r="K863" s="512" t="e">
        <f t="shared" ref="K863" si="1627">INT(YEARFRAC(I863,AA863))</f>
        <v>#VALUE!</v>
      </c>
      <c r="L863" s="533">
        <f t="shared" ref="L863" ca="1" si="1628">INT(YEARFRAC(I863,TODAY()))</f>
        <v>121</v>
      </c>
      <c r="M863" s="536"/>
      <c r="N863" s="539"/>
      <c r="O863" s="540"/>
      <c r="P863" s="481"/>
      <c r="Q863" s="482"/>
      <c r="R863" s="515"/>
      <c r="S863" s="516"/>
      <c r="T863" s="487"/>
      <c r="U863" s="488"/>
      <c r="V863" s="491"/>
      <c r="W863" s="481"/>
      <c r="X863" s="494"/>
      <c r="Y863" s="482"/>
      <c r="Z863" s="497"/>
      <c r="AA863" s="500" t="s">
        <v>455</v>
      </c>
      <c r="AB863" s="501"/>
      <c r="AC863" s="506" t="s">
        <v>257</v>
      </c>
      <c r="AD863" s="507"/>
      <c r="AE863" s="507"/>
      <c r="AF863" s="510"/>
      <c r="AG863" s="510"/>
      <c r="AH863" s="510"/>
      <c r="AI863" s="510"/>
      <c r="AJ863" s="510"/>
      <c r="AK863" s="510"/>
      <c r="AL863" s="510"/>
      <c r="AM863" s="510"/>
      <c r="AN863" s="510"/>
      <c r="AO863" s="510"/>
      <c r="AP863" s="510"/>
      <c r="AQ863" s="465"/>
      <c r="AR863" s="467">
        <f t="shared" ref="AR863" si="1629">SUM(AF863:AQ864)</f>
        <v>0</v>
      </c>
      <c r="AS863" s="119" t="s">
        <v>257</v>
      </c>
      <c r="AT863" s="120"/>
      <c r="AU863" s="120"/>
      <c r="AV863" s="120"/>
      <c r="AW863" s="121"/>
      <c r="AX863" s="125">
        <f t="shared" ref="AX863:AX865" si="1630">SUM(AT863:AW863)</f>
        <v>0</v>
      </c>
      <c r="AY863" s="141" t="s">
        <v>257</v>
      </c>
      <c r="AZ863" s="137"/>
      <c r="BA863" s="137"/>
      <c r="BB863" s="134">
        <f t="shared" ref="BB863:BB865" si="1631">AZ863-BA863</f>
        <v>0</v>
      </c>
      <c r="BC863" s="469" t="s">
        <v>258</v>
      </c>
      <c r="BD863" s="470"/>
      <c r="BE863" s="13"/>
      <c r="BF863" s="16"/>
      <c r="BG863" s="13"/>
      <c r="BH863" s="16"/>
      <c r="BI863" s="13"/>
      <c r="BJ863" s="16"/>
      <c r="BK863" s="13"/>
      <c r="BL863" s="16"/>
      <c r="BM863" s="13"/>
      <c r="BN863" s="16"/>
      <c r="BO863" s="13"/>
      <c r="BP863" s="16"/>
      <c r="BQ863" s="106">
        <f t="shared" ref="BQ863:BQ926" si="1632">SUM(BE863:BP863)</f>
        <v>0</v>
      </c>
      <c r="BR863" s="566"/>
      <c r="BS863" s="569"/>
      <c r="BT863" s="570"/>
      <c r="BU863" s="557"/>
      <c r="BV863" s="560"/>
      <c r="BW863" s="563"/>
      <c r="BX863" s="615"/>
    </row>
    <row r="864" spans="1:76" x14ac:dyDescent="0.25">
      <c r="A864" s="586"/>
      <c r="B864" s="590"/>
      <c r="C864" s="591"/>
      <c r="D864" s="605"/>
      <c r="E864" s="517"/>
      <c r="F864" s="518"/>
      <c r="G864" s="523"/>
      <c r="H864" s="524"/>
      <c r="I864" s="529"/>
      <c r="J864" s="530"/>
      <c r="K864" s="513"/>
      <c r="L864" s="534"/>
      <c r="M864" s="537"/>
      <c r="N864" s="541"/>
      <c r="O864" s="542"/>
      <c r="P864" s="483"/>
      <c r="Q864" s="484"/>
      <c r="R864" s="517"/>
      <c r="S864" s="518"/>
      <c r="T864" s="487"/>
      <c r="U864" s="488"/>
      <c r="V864" s="492"/>
      <c r="W864" s="483"/>
      <c r="X864" s="495"/>
      <c r="Y864" s="484"/>
      <c r="Z864" s="498"/>
      <c r="AA864" s="502"/>
      <c r="AB864" s="503"/>
      <c r="AC864" s="508"/>
      <c r="AD864" s="509"/>
      <c r="AE864" s="509"/>
      <c r="AF864" s="511"/>
      <c r="AG864" s="511"/>
      <c r="AH864" s="511"/>
      <c r="AI864" s="511"/>
      <c r="AJ864" s="511"/>
      <c r="AK864" s="511"/>
      <c r="AL864" s="511"/>
      <c r="AM864" s="511"/>
      <c r="AN864" s="511"/>
      <c r="AO864" s="511"/>
      <c r="AP864" s="511"/>
      <c r="AQ864" s="466"/>
      <c r="AR864" s="468"/>
      <c r="AS864" s="122" t="s">
        <v>259</v>
      </c>
      <c r="AT864" s="123"/>
      <c r="AU864" s="123"/>
      <c r="AV864" s="123"/>
      <c r="AW864" s="124"/>
      <c r="AX864" s="126">
        <f t="shared" si="1630"/>
        <v>0</v>
      </c>
      <c r="AY864" s="142" t="s">
        <v>259</v>
      </c>
      <c r="AZ864" s="138"/>
      <c r="BA864" s="138"/>
      <c r="BB864" s="135">
        <f t="shared" si="1631"/>
        <v>0</v>
      </c>
      <c r="BC864" s="474" t="s">
        <v>260</v>
      </c>
      <c r="BD864" s="475"/>
      <c r="BE864" s="14"/>
      <c r="BF864" s="17"/>
      <c r="BG864" s="14"/>
      <c r="BH864" s="17"/>
      <c r="BI864" s="14"/>
      <c r="BJ864" s="17"/>
      <c r="BK864" s="14"/>
      <c r="BL864" s="17"/>
      <c r="BM864" s="14"/>
      <c r="BN864" s="17"/>
      <c r="BO864" s="14"/>
      <c r="BP864" s="17"/>
      <c r="BQ864" s="107">
        <f t="shared" si="1632"/>
        <v>0</v>
      </c>
      <c r="BR864" s="567"/>
      <c r="BS864" s="571"/>
      <c r="BT864" s="572"/>
      <c r="BU864" s="558"/>
      <c r="BV864" s="561"/>
      <c r="BW864" s="564"/>
      <c r="BX864" s="616"/>
    </row>
    <row r="865" spans="1:76" ht="15.75" thickBot="1" x14ac:dyDescent="0.3">
      <c r="A865" s="586"/>
      <c r="B865" s="590"/>
      <c r="C865" s="591"/>
      <c r="D865" s="605"/>
      <c r="E865" s="517"/>
      <c r="F865" s="518"/>
      <c r="G865" s="523"/>
      <c r="H865" s="524"/>
      <c r="I865" s="529"/>
      <c r="J865" s="530"/>
      <c r="K865" s="513"/>
      <c r="L865" s="534"/>
      <c r="M865" s="537"/>
      <c r="N865" s="541"/>
      <c r="O865" s="542"/>
      <c r="P865" s="483"/>
      <c r="Q865" s="484"/>
      <c r="R865" s="517"/>
      <c r="S865" s="518"/>
      <c r="T865" s="487"/>
      <c r="U865" s="488"/>
      <c r="V865" s="492"/>
      <c r="W865" s="483"/>
      <c r="X865" s="495"/>
      <c r="Y865" s="484"/>
      <c r="Z865" s="498"/>
      <c r="AA865" s="502"/>
      <c r="AB865" s="503"/>
      <c r="AC865" s="471" t="s">
        <v>259</v>
      </c>
      <c r="AD865" s="472"/>
      <c r="AE865" s="473"/>
      <c r="AF865" s="100"/>
      <c r="AG865" s="100"/>
      <c r="AH865" s="100"/>
      <c r="AI865" s="100"/>
      <c r="AJ865" s="100"/>
      <c r="AK865" s="100"/>
      <c r="AL865" s="100"/>
      <c r="AM865" s="100"/>
      <c r="AN865" s="100"/>
      <c r="AO865" s="100"/>
      <c r="AP865" s="100"/>
      <c r="AQ865" s="101"/>
      <c r="AR865" s="104">
        <f t="shared" ref="AR865:AR866" si="1633">SUM(AF865:AQ865)</f>
        <v>0</v>
      </c>
      <c r="AS865" s="128" t="s">
        <v>261</v>
      </c>
      <c r="AT865" s="129"/>
      <c r="AU865" s="129"/>
      <c r="AV865" s="129"/>
      <c r="AW865" s="130"/>
      <c r="AX865" s="126">
        <f t="shared" si="1630"/>
        <v>0</v>
      </c>
      <c r="AY865" s="143" t="s">
        <v>261</v>
      </c>
      <c r="AZ865" s="139"/>
      <c r="BA865" s="139"/>
      <c r="BB865" s="136">
        <f t="shared" si="1631"/>
        <v>0</v>
      </c>
      <c r="BC865" s="474" t="s">
        <v>262</v>
      </c>
      <c r="BD865" s="475"/>
      <c r="BE865" s="14"/>
      <c r="BF865" s="17"/>
      <c r="BG865" s="14"/>
      <c r="BH865" s="17"/>
      <c r="BI865" s="14"/>
      <c r="BJ865" s="17"/>
      <c r="BK865" s="14"/>
      <c r="BL865" s="17"/>
      <c r="BM865" s="14"/>
      <c r="BN865" s="17"/>
      <c r="BO865" s="14"/>
      <c r="BP865" s="17"/>
      <c r="BQ865" s="108">
        <f t="shared" si="1632"/>
        <v>0</v>
      </c>
      <c r="BR865" s="567"/>
      <c r="BS865" s="571"/>
      <c r="BT865" s="572"/>
      <c r="BU865" s="558"/>
      <c r="BV865" s="561"/>
      <c r="BW865" s="564"/>
      <c r="BX865" s="616"/>
    </row>
    <row r="866" spans="1:76" ht="15.75" thickBot="1" x14ac:dyDescent="0.3">
      <c r="A866" s="587"/>
      <c r="B866" s="592"/>
      <c r="C866" s="593"/>
      <c r="D866" s="606"/>
      <c r="E866" s="519"/>
      <c r="F866" s="520"/>
      <c r="G866" s="525"/>
      <c r="H866" s="526"/>
      <c r="I866" s="531"/>
      <c r="J866" s="532"/>
      <c r="K866" s="514"/>
      <c r="L866" s="535"/>
      <c r="M866" s="538"/>
      <c r="N866" s="543"/>
      <c r="O866" s="544"/>
      <c r="P866" s="485"/>
      <c r="Q866" s="486"/>
      <c r="R866" s="519"/>
      <c r="S866" s="520"/>
      <c r="T866" s="489"/>
      <c r="U866" s="490"/>
      <c r="V866" s="493"/>
      <c r="W866" s="485"/>
      <c r="X866" s="496"/>
      <c r="Y866" s="486"/>
      <c r="Z866" s="499"/>
      <c r="AA866" s="504"/>
      <c r="AB866" s="505"/>
      <c r="AC866" s="476" t="s">
        <v>261</v>
      </c>
      <c r="AD866" s="477"/>
      <c r="AE866" s="478"/>
      <c r="AF866" s="102"/>
      <c r="AG866" s="102"/>
      <c r="AH866" s="102"/>
      <c r="AI866" s="102"/>
      <c r="AJ866" s="102"/>
      <c r="AK866" s="102"/>
      <c r="AL866" s="102"/>
      <c r="AM866" s="102"/>
      <c r="AN866" s="102"/>
      <c r="AO866" s="102"/>
      <c r="AP866" s="102"/>
      <c r="AQ866" s="103"/>
      <c r="AR866" s="105">
        <f t="shared" si="1633"/>
        <v>0</v>
      </c>
      <c r="AS866" s="131" t="s">
        <v>161</v>
      </c>
      <c r="AT866" s="132">
        <f t="shared" ref="AT866:AX866" si="1634">SUM(AT863:AT865)</f>
        <v>0</v>
      </c>
      <c r="AU866" s="132">
        <f t="shared" si="1634"/>
        <v>0</v>
      </c>
      <c r="AV866" s="132">
        <f t="shared" si="1634"/>
        <v>0</v>
      </c>
      <c r="AW866" s="133">
        <f t="shared" si="1634"/>
        <v>0</v>
      </c>
      <c r="AX866" s="127">
        <f t="shared" si="1634"/>
        <v>0</v>
      </c>
      <c r="AY866" s="144" t="s">
        <v>161</v>
      </c>
      <c r="AZ866" s="140">
        <f t="shared" ref="AZ866:BB866" si="1635">SUM(AZ863:AZ865)</f>
        <v>0</v>
      </c>
      <c r="BA866" s="140">
        <f t="shared" si="1635"/>
        <v>0</v>
      </c>
      <c r="BB866" s="140">
        <f t="shared" si="1635"/>
        <v>0</v>
      </c>
      <c r="BC866" s="479" t="s">
        <v>263</v>
      </c>
      <c r="BD866" s="480"/>
      <c r="BE866" s="15"/>
      <c r="BF866" s="18"/>
      <c r="BG866" s="15"/>
      <c r="BH866" s="18"/>
      <c r="BI866" s="15"/>
      <c r="BJ866" s="18"/>
      <c r="BK866" s="15"/>
      <c r="BL866" s="18"/>
      <c r="BM866" s="15"/>
      <c r="BN866" s="18"/>
      <c r="BO866" s="15"/>
      <c r="BP866" s="18"/>
      <c r="BQ866" s="109">
        <f t="shared" si="1632"/>
        <v>0</v>
      </c>
      <c r="BR866" s="568"/>
      <c r="BS866" s="573"/>
      <c r="BT866" s="574"/>
      <c r="BU866" s="559"/>
      <c r="BV866" s="562"/>
      <c r="BW866" s="565"/>
      <c r="BX866" s="617"/>
    </row>
    <row r="867" spans="1:76" ht="15.75" thickTop="1" x14ac:dyDescent="0.25">
      <c r="A867" s="585">
        <v>215</v>
      </c>
      <c r="B867" s="588"/>
      <c r="C867" s="589"/>
      <c r="D867" s="604"/>
      <c r="E867" s="515"/>
      <c r="F867" s="516"/>
      <c r="G867" s="521"/>
      <c r="H867" s="522"/>
      <c r="I867" s="527"/>
      <c r="J867" s="528"/>
      <c r="K867" s="512" t="e">
        <f t="shared" ref="K867" si="1636">INT(YEARFRAC(I867,AA867))</f>
        <v>#VALUE!</v>
      </c>
      <c r="L867" s="533">
        <f t="shared" ref="L867" ca="1" si="1637">INT(YEARFRAC(I867,TODAY()))</f>
        <v>121</v>
      </c>
      <c r="M867" s="536"/>
      <c r="N867" s="539"/>
      <c r="O867" s="540"/>
      <c r="P867" s="481"/>
      <c r="Q867" s="482"/>
      <c r="R867" s="515"/>
      <c r="S867" s="516"/>
      <c r="T867" s="487"/>
      <c r="U867" s="488"/>
      <c r="V867" s="491"/>
      <c r="W867" s="481"/>
      <c r="X867" s="494"/>
      <c r="Y867" s="482"/>
      <c r="Z867" s="497"/>
      <c r="AA867" s="500" t="s">
        <v>456</v>
      </c>
      <c r="AB867" s="501"/>
      <c r="AC867" s="506" t="s">
        <v>257</v>
      </c>
      <c r="AD867" s="507"/>
      <c r="AE867" s="507"/>
      <c r="AF867" s="510"/>
      <c r="AG867" s="510"/>
      <c r="AH867" s="510"/>
      <c r="AI867" s="510"/>
      <c r="AJ867" s="510"/>
      <c r="AK867" s="510"/>
      <c r="AL867" s="510"/>
      <c r="AM867" s="510"/>
      <c r="AN867" s="510"/>
      <c r="AO867" s="510"/>
      <c r="AP867" s="510"/>
      <c r="AQ867" s="465"/>
      <c r="AR867" s="467">
        <f t="shared" ref="AR867" si="1638">SUM(AF867:AQ868)</f>
        <v>0</v>
      </c>
      <c r="AS867" s="119" t="s">
        <v>257</v>
      </c>
      <c r="AT867" s="120"/>
      <c r="AU867" s="120"/>
      <c r="AV867" s="120"/>
      <c r="AW867" s="121"/>
      <c r="AX867" s="125">
        <f t="shared" ref="AX867:AX869" si="1639">SUM(AT867:AW867)</f>
        <v>0</v>
      </c>
      <c r="AY867" s="141" t="s">
        <v>257</v>
      </c>
      <c r="AZ867" s="137"/>
      <c r="BA867" s="137"/>
      <c r="BB867" s="134">
        <f t="shared" ref="BB867:BB869" si="1640">AZ867-BA867</f>
        <v>0</v>
      </c>
      <c r="BC867" s="469" t="s">
        <v>258</v>
      </c>
      <c r="BD867" s="470"/>
      <c r="BE867" s="13"/>
      <c r="BF867" s="16"/>
      <c r="BG867" s="13"/>
      <c r="BH867" s="16"/>
      <c r="BI867" s="13"/>
      <c r="BJ867" s="16"/>
      <c r="BK867" s="13"/>
      <c r="BL867" s="16"/>
      <c r="BM867" s="13"/>
      <c r="BN867" s="16"/>
      <c r="BO867" s="13"/>
      <c r="BP867" s="16"/>
      <c r="BQ867" s="106">
        <f t="shared" si="1632"/>
        <v>0</v>
      </c>
      <c r="BR867" s="566"/>
      <c r="BS867" s="569"/>
      <c r="BT867" s="570"/>
      <c r="BU867" s="557"/>
      <c r="BV867" s="560"/>
      <c r="BW867" s="563"/>
      <c r="BX867" s="615"/>
    </row>
    <row r="868" spans="1:76" x14ac:dyDescent="0.25">
      <c r="A868" s="586"/>
      <c r="B868" s="590"/>
      <c r="C868" s="591"/>
      <c r="D868" s="605"/>
      <c r="E868" s="517"/>
      <c r="F868" s="518"/>
      <c r="G868" s="523"/>
      <c r="H868" s="524"/>
      <c r="I868" s="529"/>
      <c r="J868" s="530"/>
      <c r="K868" s="513"/>
      <c r="L868" s="534"/>
      <c r="M868" s="537"/>
      <c r="N868" s="541"/>
      <c r="O868" s="542"/>
      <c r="P868" s="483"/>
      <c r="Q868" s="484"/>
      <c r="R868" s="517"/>
      <c r="S868" s="518"/>
      <c r="T868" s="487"/>
      <c r="U868" s="488"/>
      <c r="V868" s="492"/>
      <c r="W868" s="483"/>
      <c r="X868" s="495"/>
      <c r="Y868" s="484"/>
      <c r="Z868" s="498"/>
      <c r="AA868" s="502"/>
      <c r="AB868" s="503"/>
      <c r="AC868" s="508"/>
      <c r="AD868" s="509"/>
      <c r="AE868" s="509"/>
      <c r="AF868" s="511"/>
      <c r="AG868" s="511"/>
      <c r="AH868" s="511"/>
      <c r="AI868" s="511"/>
      <c r="AJ868" s="511"/>
      <c r="AK868" s="511"/>
      <c r="AL868" s="511"/>
      <c r="AM868" s="511"/>
      <c r="AN868" s="511"/>
      <c r="AO868" s="511"/>
      <c r="AP868" s="511"/>
      <c r="AQ868" s="466"/>
      <c r="AR868" s="468"/>
      <c r="AS868" s="122" t="s">
        <v>259</v>
      </c>
      <c r="AT868" s="123"/>
      <c r="AU868" s="123"/>
      <c r="AV868" s="123"/>
      <c r="AW868" s="124"/>
      <c r="AX868" s="126">
        <f t="shared" si="1639"/>
        <v>0</v>
      </c>
      <c r="AY868" s="142" t="s">
        <v>259</v>
      </c>
      <c r="AZ868" s="138"/>
      <c r="BA868" s="138"/>
      <c r="BB868" s="135">
        <f t="shared" si="1640"/>
        <v>0</v>
      </c>
      <c r="BC868" s="474" t="s">
        <v>260</v>
      </c>
      <c r="BD868" s="475"/>
      <c r="BE868" s="14"/>
      <c r="BF868" s="17"/>
      <c r="BG868" s="14"/>
      <c r="BH868" s="17"/>
      <c r="BI868" s="14"/>
      <c r="BJ868" s="17"/>
      <c r="BK868" s="14"/>
      <c r="BL868" s="17"/>
      <c r="BM868" s="14"/>
      <c r="BN868" s="17"/>
      <c r="BO868" s="14"/>
      <c r="BP868" s="17"/>
      <c r="BQ868" s="107">
        <f t="shared" si="1632"/>
        <v>0</v>
      </c>
      <c r="BR868" s="567"/>
      <c r="BS868" s="571"/>
      <c r="BT868" s="572"/>
      <c r="BU868" s="558"/>
      <c r="BV868" s="561"/>
      <c r="BW868" s="564"/>
      <c r="BX868" s="616"/>
    </row>
    <row r="869" spans="1:76" ht="15.75" thickBot="1" x14ac:dyDescent="0.3">
      <c r="A869" s="586"/>
      <c r="B869" s="590"/>
      <c r="C869" s="591"/>
      <c r="D869" s="605"/>
      <c r="E869" s="517"/>
      <c r="F869" s="518"/>
      <c r="G869" s="523"/>
      <c r="H869" s="524"/>
      <c r="I869" s="529"/>
      <c r="J869" s="530"/>
      <c r="K869" s="513"/>
      <c r="L869" s="534"/>
      <c r="M869" s="537"/>
      <c r="N869" s="541"/>
      <c r="O869" s="542"/>
      <c r="P869" s="483"/>
      <c r="Q869" s="484"/>
      <c r="R869" s="517"/>
      <c r="S869" s="518"/>
      <c r="T869" s="487"/>
      <c r="U869" s="488"/>
      <c r="V869" s="492"/>
      <c r="W869" s="483"/>
      <c r="X869" s="495"/>
      <c r="Y869" s="484"/>
      <c r="Z869" s="498"/>
      <c r="AA869" s="502"/>
      <c r="AB869" s="503"/>
      <c r="AC869" s="471" t="s">
        <v>259</v>
      </c>
      <c r="AD869" s="472"/>
      <c r="AE869" s="473"/>
      <c r="AF869" s="100"/>
      <c r="AG869" s="100"/>
      <c r="AH869" s="100"/>
      <c r="AI869" s="100"/>
      <c r="AJ869" s="100"/>
      <c r="AK869" s="100"/>
      <c r="AL869" s="100"/>
      <c r="AM869" s="100"/>
      <c r="AN869" s="100"/>
      <c r="AO869" s="100"/>
      <c r="AP869" s="100"/>
      <c r="AQ869" s="101"/>
      <c r="AR869" s="104">
        <f t="shared" ref="AR869:AR870" si="1641">SUM(AF869:AQ869)</f>
        <v>0</v>
      </c>
      <c r="AS869" s="128" t="s">
        <v>261</v>
      </c>
      <c r="AT869" s="129"/>
      <c r="AU869" s="129"/>
      <c r="AV869" s="129"/>
      <c r="AW869" s="130"/>
      <c r="AX869" s="126">
        <f t="shared" si="1639"/>
        <v>0</v>
      </c>
      <c r="AY869" s="143" t="s">
        <v>261</v>
      </c>
      <c r="AZ869" s="139"/>
      <c r="BA869" s="139"/>
      <c r="BB869" s="136">
        <f t="shared" si="1640"/>
        <v>0</v>
      </c>
      <c r="BC869" s="474" t="s">
        <v>262</v>
      </c>
      <c r="BD869" s="475"/>
      <c r="BE869" s="14"/>
      <c r="BF869" s="17"/>
      <c r="BG869" s="14"/>
      <c r="BH869" s="17"/>
      <c r="BI869" s="14"/>
      <c r="BJ869" s="17"/>
      <c r="BK869" s="14"/>
      <c r="BL869" s="17"/>
      <c r="BM869" s="14"/>
      <c r="BN869" s="17"/>
      <c r="BO869" s="14"/>
      <c r="BP869" s="17"/>
      <c r="BQ869" s="108">
        <f t="shared" si="1632"/>
        <v>0</v>
      </c>
      <c r="BR869" s="567"/>
      <c r="BS869" s="571"/>
      <c r="BT869" s="572"/>
      <c r="BU869" s="558"/>
      <c r="BV869" s="561"/>
      <c r="BW869" s="564"/>
      <c r="BX869" s="616"/>
    </row>
    <row r="870" spans="1:76" ht="15.75" thickBot="1" x14ac:dyDescent="0.3">
      <c r="A870" s="587"/>
      <c r="B870" s="592"/>
      <c r="C870" s="593"/>
      <c r="D870" s="606"/>
      <c r="E870" s="519"/>
      <c r="F870" s="520"/>
      <c r="G870" s="525"/>
      <c r="H870" s="526"/>
      <c r="I870" s="531"/>
      <c r="J870" s="532"/>
      <c r="K870" s="514"/>
      <c r="L870" s="535"/>
      <c r="M870" s="538"/>
      <c r="N870" s="543"/>
      <c r="O870" s="544"/>
      <c r="P870" s="485"/>
      <c r="Q870" s="486"/>
      <c r="R870" s="519"/>
      <c r="S870" s="520"/>
      <c r="T870" s="489"/>
      <c r="U870" s="490"/>
      <c r="V870" s="493"/>
      <c r="W870" s="485"/>
      <c r="X870" s="496"/>
      <c r="Y870" s="486"/>
      <c r="Z870" s="499"/>
      <c r="AA870" s="504"/>
      <c r="AB870" s="505"/>
      <c r="AC870" s="476" t="s">
        <v>261</v>
      </c>
      <c r="AD870" s="477"/>
      <c r="AE870" s="478"/>
      <c r="AF870" s="102"/>
      <c r="AG870" s="102"/>
      <c r="AH870" s="102"/>
      <c r="AI870" s="102"/>
      <c r="AJ870" s="102"/>
      <c r="AK870" s="102"/>
      <c r="AL870" s="102"/>
      <c r="AM870" s="102"/>
      <c r="AN870" s="102"/>
      <c r="AO870" s="102"/>
      <c r="AP870" s="102"/>
      <c r="AQ870" s="103"/>
      <c r="AR870" s="105">
        <f t="shared" si="1641"/>
        <v>0</v>
      </c>
      <c r="AS870" s="131" t="s">
        <v>161</v>
      </c>
      <c r="AT870" s="132">
        <f t="shared" ref="AT870:AX870" si="1642">SUM(AT867:AT869)</f>
        <v>0</v>
      </c>
      <c r="AU870" s="132">
        <f t="shared" si="1642"/>
        <v>0</v>
      </c>
      <c r="AV870" s="132">
        <f t="shared" si="1642"/>
        <v>0</v>
      </c>
      <c r="AW870" s="133">
        <f t="shared" si="1642"/>
        <v>0</v>
      </c>
      <c r="AX870" s="127">
        <f t="shared" si="1642"/>
        <v>0</v>
      </c>
      <c r="AY870" s="144" t="s">
        <v>161</v>
      </c>
      <c r="AZ870" s="140">
        <f t="shared" ref="AZ870:BB870" si="1643">SUM(AZ867:AZ869)</f>
        <v>0</v>
      </c>
      <c r="BA870" s="140">
        <f t="shared" si="1643"/>
        <v>0</v>
      </c>
      <c r="BB870" s="140">
        <f t="shared" si="1643"/>
        <v>0</v>
      </c>
      <c r="BC870" s="479" t="s">
        <v>263</v>
      </c>
      <c r="BD870" s="480"/>
      <c r="BE870" s="15"/>
      <c r="BF870" s="18"/>
      <c r="BG870" s="15"/>
      <c r="BH870" s="18"/>
      <c r="BI870" s="15"/>
      <c r="BJ870" s="18"/>
      <c r="BK870" s="15"/>
      <c r="BL870" s="18"/>
      <c r="BM870" s="15"/>
      <c r="BN870" s="18"/>
      <c r="BO870" s="15"/>
      <c r="BP870" s="18"/>
      <c r="BQ870" s="109">
        <f t="shared" si="1632"/>
        <v>0</v>
      </c>
      <c r="BR870" s="568"/>
      <c r="BS870" s="573"/>
      <c r="BT870" s="574"/>
      <c r="BU870" s="559"/>
      <c r="BV870" s="562"/>
      <c r="BW870" s="565"/>
      <c r="BX870" s="617"/>
    </row>
    <row r="871" spans="1:76" ht="15.75" thickTop="1" x14ac:dyDescent="0.25">
      <c r="A871" s="585">
        <v>216</v>
      </c>
      <c r="B871" s="588"/>
      <c r="C871" s="589"/>
      <c r="D871" s="604"/>
      <c r="E871" s="515"/>
      <c r="F871" s="516"/>
      <c r="G871" s="521"/>
      <c r="H871" s="522"/>
      <c r="I871" s="527"/>
      <c r="J871" s="528"/>
      <c r="K871" s="512" t="e">
        <f t="shared" ref="K871" si="1644">INT(YEARFRAC(I871,AA871))</f>
        <v>#VALUE!</v>
      </c>
      <c r="L871" s="533">
        <f t="shared" ref="L871" ca="1" si="1645">INT(YEARFRAC(I871,TODAY()))</f>
        <v>121</v>
      </c>
      <c r="M871" s="536"/>
      <c r="N871" s="539"/>
      <c r="O871" s="540"/>
      <c r="P871" s="481"/>
      <c r="Q871" s="482"/>
      <c r="R871" s="515"/>
      <c r="S871" s="516"/>
      <c r="T871" s="487"/>
      <c r="U871" s="488"/>
      <c r="V871" s="491"/>
      <c r="W871" s="481"/>
      <c r="X871" s="494"/>
      <c r="Y871" s="482"/>
      <c r="Z871" s="497"/>
      <c r="AA871" s="500" t="s">
        <v>457</v>
      </c>
      <c r="AB871" s="501"/>
      <c r="AC871" s="506" t="s">
        <v>257</v>
      </c>
      <c r="AD871" s="507"/>
      <c r="AE871" s="507"/>
      <c r="AF871" s="510"/>
      <c r="AG871" s="510"/>
      <c r="AH871" s="510"/>
      <c r="AI871" s="510"/>
      <c r="AJ871" s="510"/>
      <c r="AK871" s="510"/>
      <c r="AL871" s="510"/>
      <c r="AM871" s="510"/>
      <c r="AN871" s="510"/>
      <c r="AO871" s="510"/>
      <c r="AP871" s="510"/>
      <c r="AQ871" s="465"/>
      <c r="AR871" s="467">
        <f t="shared" ref="AR871" si="1646">SUM(AF871:AQ872)</f>
        <v>0</v>
      </c>
      <c r="AS871" s="119" t="s">
        <v>257</v>
      </c>
      <c r="AT871" s="120"/>
      <c r="AU871" s="120"/>
      <c r="AV871" s="120"/>
      <c r="AW871" s="121"/>
      <c r="AX871" s="125">
        <f t="shared" ref="AX871:AX873" si="1647">SUM(AT871:AW871)</f>
        <v>0</v>
      </c>
      <c r="AY871" s="141" t="s">
        <v>257</v>
      </c>
      <c r="AZ871" s="137"/>
      <c r="BA871" s="137"/>
      <c r="BB871" s="134">
        <f t="shared" ref="BB871:BB873" si="1648">AZ871-BA871</f>
        <v>0</v>
      </c>
      <c r="BC871" s="469" t="s">
        <v>258</v>
      </c>
      <c r="BD871" s="470"/>
      <c r="BE871" s="13"/>
      <c r="BF871" s="16"/>
      <c r="BG871" s="13"/>
      <c r="BH871" s="16"/>
      <c r="BI871" s="13"/>
      <c r="BJ871" s="16"/>
      <c r="BK871" s="13"/>
      <c r="BL871" s="16"/>
      <c r="BM871" s="13"/>
      <c r="BN871" s="16"/>
      <c r="BO871" s="13"/>
      <c r="BP871" s="16"/>
      <c r="BQ871" s="106">
        <f t="shared" si="1632"/>
        <v>0</v>
      </c>
      <c r="BR871" s="566"/>
      <c r="BS871" s="569"/>
      <c r="BT871" s="570"/>
      <c r="BU871" s="557"/>
      <c r="BV871" s="560"/>
      <c r="BW871" s="563"/>
      <c r="BX871" s="615"/>
    </row>
    <row r="872" spans="1:76" x14ac:dyDescent="0.25">
      <c r="A872" s="586"/>
      <c r="B872" s="590"/>
      <c r="C872" s="591"/>
      <c r="D872" s="605"/>
      <c r="E872" s="517"/>
      <c r="F872" s="518"/>
      <c r="G872" s="523"/>
      <c r="H872" s="524"/>
      <c r="I872" s="529"/>
      <c r="J872" s="530"/>
      <c r="K872" s="513"/>
      <c r="L872" s="534"/>
      <c r="M872" s="537"/>
      <c r="N872" s="541"/>
      <c r="O872" s="542"/>
      <c r="P872" s="483"/>
      <c r="Q872" s="484"/>
      <c r="R872" s="517"/>
      <c r="S872" s="518"/>
      <c r="T872" s="487"/>
      <c r="U872" s="488"/>
      <c r="V872" s="492"/>
      <c r="W872" s="483"/>
      <c r="X872" s="495"/>
      <c r="Y872" s="484"/>
      <c r="Z872" s="498"/>
      <c r="AA872" s="502"/>
      <c r="AB872" s="503"/>
      <c r="AC872" s="508"/>
      <c r="AD872" s="509"/>
      <c r="AE872" s="509"/>
      <c r="AF872" s="511"/>
      <c r="AG872" s="511"/>
      <c r="AH872" s="511"/>
      <c r="AI872" s="511"/>
      <c r="AJ872" s="511"/>
      <c r="AK872" s="511"/>
      <c r="AL872" s="511"/>
      <c r="AM872" s="511"/>
      <c r="AN872" s="511"/>
      <c r="AO872" s="511"/>
      <c r="AP872" s="511"/>
      <c r="AQ872" s="466"/>
      <c r="AR872" s="468"/>
      <c r="AS872" s="122" t="s">
        <v>259</v>
      </c>
      <c r="AT872" s="123"/>
      <c r="AU872" s="123"/>
      <c r="AV872" s="123"/>
      <c r="AW872" s="124"/>
      <c r="AX872" s="126">
        <f t="shared" si="1647"/>
        <v>0</v>
      </c>
      <c r="AY872" s="142" t="s">
        <v>259</v>
      </c>
      <c r="AZ872" s="138"/>
      <c r="BA872" s="138"/>
      <c r="BB872" s="135">
        <f t="shared" si="1648"/>
        <v>0</v>
      </c>
      <c r="BC872" s="474" t="s">
        <v>260</v>
      </c>
      <c r="BD872" s="475"/>
      <c r="BE872" s="14"/>
      <c r="BF872" s="17"/>
      <c r="BG872" s="14"/>
      <c r="BH872" s="17"/>
      <c r="BI872" s="14"/>
      <c r="BJ872" s="17"/>
      <c r="BK872" s="14"/>
      <c r="BL872" s="17"/>
      <c r="BM872" s="14"/>
      <c r="BN872" s="17"/>
      <c r="BO872" s="14"/>
      <c r="BP872" s="17"/>
      <c r="BQ872" s="107">
        <f t="shared" si="1632"/>
        <v>0</v>
      </c>
      <c r="BR872" s="567"/>
      <c r="BS872" s="571"/>
      <c r="BT872" s="572"/>
      <c r="BU872" s="558"/>
      <c r="BV872" s="561"/>
      <c r="BW872" s="564"/>
      <c r="BX872" s="616"/>
    </row>
    <row r="873" spans="1:76" ht="15.75" thickBot="1" x14ac:dyDescent="0.3">
      <c r="A873" s="586"/>
      <c r="B873" s="590"/>
      <c r="C873" s="591"/>
      <c r="D873" s="605"/>
      <c r="E873" s="517"/>
      <c r="F873" s="518"/>
      <c r="G873" s="523"/>
      <c r="H873" s="524"/>
      <c r="I873" s="529"/>
      <c r="J873" s="530"/>
      <c r="K873" s="513"/>
      <c r="L873" s="534"/>
      <c r="M873" s="537"/>
      <c r="N873" s="541"/>
      <c r="O873" s="542"/>
      <c r="P873" s="483"/>
      <c r="Q873" s="484"/>
      <c r="R873" s="517"/>
      <c r="S873" s="518"/>
      <c r="T873" s="487"/>
      <c r="U873" s="488"/>
      <c r="V873" s="492"/>
      <c r="W873" s="483"/>
      <c r="X873" s="495"/>
      <c r="Y873" s="484"/>
      <c r="Z873" s="498"/>
      <c r="AA873" s="502"/>
      <c r="AB873" s="503"/>
      <c r="AC873" s="471" t="s">
        <v>259</v>
      </c>
      <c r="AD873" s="472"/>
      <c r="AE873" s="473"/>
      <c r="AF873" s="100"/>
      <c r="AG873" s="100"/>
      <c r="AH873" s="100"/>
      <c r="AI873" s="100"/>
      <c r="AJ873" s="100"/>
      <c r="AK873" s="100"/>
      <c r="AL873" s="100"/>
      <c r="AM873" s="100"/>
      <c r="AN873" s="100"/>
      <c r="AO873" s="100"/>
      <c r="AP873" s="100"/>
      <c r="AQ873" s="101"/>
      <c r="AR873" s="104">
        <f t="shared" ref="AR873:AR874" si="1649">SUM(AF873:AQ873)</f>
        <v>0</v>
      </c>
      <c r="AS873" s="128" t="s">
        <v>261</v>
      </c>
      <c r="AT873" s="129"/>
      <c r="AU873" s="129"/>
      <c r="AV873" s="129"/>
      <c r="AW873" s="130"/>
      <c r="AX873" s="126">
        <f t="shared" si="1647"/>
        <v>0</v>
      </c>
      <c r="AY873" s="143" t="s">
        <v>261</v>
      </c>
      <c r="AZ873" s="139"/>
      <c r="BA873" s="139"/>
      <c r="BB873" s="136">
        <f t="shared" si="1648"/>
        <v>0</v>
      </c>
      <c r="BC873" s="474" t="s">
        <v>262</v>
      </c>
      <c r="BD873" s="475"/>
      <c r="BE873" s="14"/>
      <c r="BF873" s="17"/>
      <c r="BG873" s="14"/>
      <c r="BH873" s="17"/>
      <c r="BI873" s="14"/>
      <c r="BJ873" s="17"/>
      <c r="BK873" s="14"/>
      <c r="BL873" s="17"/>
      <c r="BM873" s="14"/>
      <c r="BN873" s="17"/>
      <c r="BO873" s="14"/>
      <c r="BP873" s="17"/>
      <c r="BQ873" s="108">
        <f t="shared" si="1632"/>
        <v>0</v>
      </c>
      <c r="BR873" s="567"/>
      <c r="BS873" s="571"/>
      <c r="BT873" s="572"/>
      <c r="BU873" s="558"/>
      <c r="BV873" s="561"/>
      <c r="BW873" s="564"/>
      <c r="BX873" s="616"/>
    </row>
    <row r="874" spans="1:76" ht="15.75" thickBot="1" x14ac:dyDescent="0.3">
      <c r="A874" s="587"/>
      <c r="B874" s="592"/>
      <c r="C874" s="593"/>
      <c r="D874" s="606"/>
      <c r="E874" s="519"/>
      <c r="F874" s="520"/>
      <c r="G874" s="525"/>
      <c r="H874" s="526"/>
      <c r="I874" s="531"/>
      <c r="J874" s="532"/>
      <c r="K874" s="514"/>
      <c r="L874" s="535"/>
      <c r="M874" s="538"/>
      <c r="N874" s="543"/>
      <c r="O874" s="544"/>
      <c r="P874" s="485"/>
      <c r="Q874" s="486"/>
      <c r="R874" s="519"/>
      <c r="S874" s="520"/>
      <c r="T874" s="489"/>
      <c r="U874" s="490"/>
      <c r="V874" s="493"/>
      <c r="W874" s="485"/>
      <c r="X874" s="496"/>
      <c r="Y874" s="486"/>
      <c r="Z874" s="499"/>
      <c r="AA874" s="504"/>
      <c r="AB874" s="505"/>
      <c r="AC874" s="476" t="s">
        <v>261</v>
      </c>
      <c r="AD874" s="477"/>
      <c r="AE874" s="478"/>
      <c r="AF874" s="102"/>
      <c r="AG874" s="102"/>
      <c r="AH874" s="102"/>
      <c r="AI874" s="102"/>
      <c r="AJ874" s="102"/>
      <c r="AK874" s="102"/>
      <c r="AL874" s="102"/>
      <c r="AM874" s="102"/>
      <c r="AN874" s="102"/>
      <c r="AO874" s="102"/>
      <c r="AP874" s="102"/>
      <c r="AQ874" s="103"/>
      <c r="AR874" s="105">
        <f t="shared" si="1649"/>
        <v>0</v>
      </c>
      <c r="AS874" s="131" t="s">
        <v>161</v>
      </c>
      <c r="AT874" s="132">
        <f t="shared" ref="AT874:AX874" si="1650">SUM(AT871:AT873)</f>
        <v>0</v>
      </c>
      <c r="AU874" s="132">
        <f t="shared" si="1650"/>
        <v>0</v>
      </c>
      <c r="AV874" s="132">
        <f t="shared" si="1650"/>
        <v>0</v>
      </c>
      <c r="AW874" s="133">
        <f t="shared" si="1650"/>
        <v>0</v>
      </c>
      <c r="AX874" s="127">
        <f t="shared" si="1650"/>
        <v>0</v>
      </c>
      <c r="AY874" s="144" t="s">
        <v>161</v>
      </c>
      <c r="AZ874" s="140">
        <f t="shared" ref="AZ874:BB874" si="1651">SUM(AZ871:AZ873)</f>
        <v>0</v>
      </c>
      <c r="BA874" s="140">
        <f t="shared" si="1651"/>
        <v>0</v>
      </c>
      <c r="BB874" s="140">
        <f t="shared" si="1651"/>
        <v>0</v>
      </c>
      <c r="BC874" s="479" t="s">
        <v>263</v>
      </c>
      <c r="BD874" s="480"/>
      <c r="BE874" s="15"/>
      <c r="BF874" s="18"/>
      <c r="BG874" s="15"/>
      <c r="BH874" s="18"/>
      <c r="BI874" s="15"/>
      <c r="BJ874" s="18"/>
      <c r="BK874" s="15"/>
      <c r="BL874" s="18"/>
      <c r="BM874" s="15"/>
      <c r="BN874" s="18"/>
      <c r="BO874" s="15"/>
      <c r="BP874" s="18"/>
      <c r="BQ874" s="109">
        <f t="shared" si="1632"/>
        <v>0</v>
      </c>
      <c r="BR874" s="568"/>
      <c r="BS874" s="573"/>
      <c r="BT874" s="574"/>
      <c r="BU874" s="559"/>
      <c r="BV874" s="562"/>
      <c r="BW874" s="565"/>
      <c r="BX874" s="617"/>
    </row>
    <row r="875" spans="1:76" ht="15.75" thickTop="1" x14ac:dyDescent="0.25">
      <c r="A875" s="585">
        <v>217</v>
      </c>
      <c r="B875" s="588"/>
      <c r="C875" s="589"/>
      <c r="D875" s="604"/>
      <c r="E875" s="515"/>
      <c r="F875" s="516"/>
      <c r="G875" s="521"/>
      <c r="H875" s="522"/>
      <c r="I875" s="527"/>
      <c r="J875" s="528"/>
      <c r="K875" s="512" t="e">
        <f t="shared" ref="K875" si="1652">INT(YEARFRAC(I875,AA875))</f>
        <v>#VALUE!</v>
      </c>
      <c r="L875" s="533">
        <f t="shared" ref="L875" ca="1" si="1653">INT(YEARFRAC(I875,TODAY()))</f>
        <v>121</v>
      </c>
      <c r="M875" s="536"/>
      <c r="N875" s="539"/>
      <c r="O875" s="540"/>
      <c r="P875" s="481"/>
      <c r="Q875" s="482"/>
      <c r="R875" s="515"/>
      <c r="S875" s="516"/>
      <c r="T875" s="487"/>
      <c r="U875" s="488"/>
      <c r="V875" s="491"/>
      <c r="W875" s="481"/>
      <c r="X875" s="494"/>
      <c r="Y875" s="482"/>
      <c r="Z875" s="497"/>
      <c r="AA875" s="500" t="s">
        <v>458</v>
      </c>
      <c r="AB875" s="501"/>
      <c r="AC875" s="506" t="s">
        <v>257</v>
      </c>
      <c r="AD875" s="507"/>
      <c r="AE875" s="507"/>
      <c r="AF875" s="510"/>
      <c r="AG875" s="510"/>
      <c r="AH875" s="510"/>
      <c r="AI875" s="510"/>
      <c r="AJ875" s="510"/>
      <c r="AK875" s="510"/>
      <c r="AL875" s="510"/>
      <c r="AM875" s="510"/>
      <c r="AN875" s="510"/>
      <c r="AO875" s="510"/>
      <c r="AP875" s="510"/>
      <c r="AQ875" s="465"/>
      <c r="AR875" s="467">
        <f t="shared" ref="AR875" si="1654">SUM(AF875:AQ876)</f>
        <v>0</v>
      </c>
      <c r="AS875" s="119" t="s">
        <v>257</v>
      </c>
      <c r="AT875" s="120"/>
      <c r="AU875" s="120"/>
      <c r="AV875" s="120"/>
      <c r="AW875" s="121"/>
      <c r="AX875" s="125">
        <f t="shared" ref="AX875:AX877" si="1655">SUM(AT875:AW875)</f>
        <v>0</v>
      </c>
      <c r="AY875" s="141" t="s">
        <v>257</v>
      </c>
      <c r="AZ875" s="137"/>
      <c r="BA875" s="137"/>
      <c r="BB875" s="134">
        <f t="shared" ref="BB875:BB877" si="1656">AZ875-BA875</f>
        <v>0</v>
      </c>
      <c r="BC875" s="469" t="s">
        <v>258</v>
      </c>
      <c r="BD875" s="470"/>
      <c r="BE875" s="13"/>
      <c r="BF875" s="16"/>
      <c r="BG875" s="13"/>
      <c r="BH875" s="16"/>
      <c r="BI875" s="13"/>
      <c r="BJ875" s="16"/>
      <c r="BK875" s="13"/>
      <c r="BL875" s="16"/>
      <c r="BM875" s="13"/>
      <c r="BN875" s="16"/>
      <c r="BO875" s="13"/>
      <c r="BP875" s="16"/>
      <c r="BQ875" s="106">
        <f t="shared" si="1632"/>
        <v>0</v>
      </c>
      <c r="BR875" s="566"/>
      <c r="BS875" s="569"/>
      <c r="BT875" s="570"/>
      <c r="BU875" s="557"/>
      <c r="BV875" s="560"/>
      <c r="BW875" s="563"/>
      <c r="BX875" s="615"/>
    </row>
    <row r="876" spans="1:76" x14ac:dyDescent="0.25">
      <c r="A876" s="586"/>
      <c r="B876" s="590"/>
      <c r="C876" s="591"/>
      <c r="D876" s="605"/>
      <c r="E876" s="517"/>
      <c r="F876" s="518"/>
      <c r="G876" s="523"/>
      <c r="H876" s="524"/>
      <c r="I876" s="529"/>
      <c r="J876" s="530"/>
      <c r="K876" s="513"/>
      <c r="L876" s="534"/>
      <c r="M876" s="537"/>
      <c r="N876" s="541"/>
      <c r="O876" s="542"/>
      <c r="P876" s="483"/>
      <c r="Q876" s="484"/>
      <c r="R876" s="517"/>
      <c r="S876" s="518"/>
      <c r="T876" s="487"/>
      <c r="U876" s="488"/>
      <c r="V876" s="492"/>
      <c r="W876" s="483"/>
      <c r="X876" s="495"/>
      <c r="Y876" s="484"/>
      <c r="Z876" s="498"/>
      <c r="AA876" s="502"/>
      <c r="AB876" s="503"/>
      <c r="AC876" s="508"/>
      <c r="AD876" s="509"/>
      <c r="AE876" s="509"/>
      <c r="AF876" s="511"/>
      <c r="AG876" s="511"/>
      <c r="AH876" s="511"/>
      <c r="AI876" s="511"/>
      <c r="AJ876" s="511"/>
      <c r="AK876" s="511"/>
      <c r="AL876" s="511"/>
      <c r="AM876" s="511"/>
      <c r="AN876" s="511"/>
      <c r="AO876" s="511"/>
      <c r="AP876" s="511"/>
      <c r="AQ876" s="466"/>
      <c r="AR876" s="468"/>
      <c r="AS876" s="122" t="s">
        <v>259</v>
      </c>
      <c r="AT876" s="123"/>
      <c r="AU876" s="123"/>
      <c r="AV876" s="123"/>
      <c r="AW876" s="124"/>
      <c r="AX876" s="126">
        <f t="shared" si="1655"/>
        <v>0</v>
      </c>
      <c r="AY876" s="142" t="s">
        <v>259</v>
      </c>
      <c r="AZ876" s="138"/>
      <c r="BA876" s="138"/>
      <c r="BB876" s="135">
        <f t="shared" si="1656"/>
        <v>0</v>
      </c>
      <c r="BC876" s="474" t="s">
        <v>260</v>
      </c>
      <c r="BD876" s="475"/>
      <c r="BE876" s="14"/>
      <c r="BF876" s="17"/>
      <c r="BG876" s="14"/>
      <c r="BH876" s="17"/>
      <c r="BI876" s="14"/>
      <c r="BJ876" s="17"/>
      <c r="BK876" s="14"/>
      <c r="BL876" s="17"/>
      <c r="BM876" s="14"/>
      <c r="BN876" s="17"/>
      <c r="BO876" s="14"/>
      <c r="BP876" s="17"/>
      <c r="BQ876" s="107">
        <f t="shared" si="1632"/>
        <v>0</v>
      </c>
      <c r="BR876" s="567"/>
      <c r="BS876" s="571"/>
      <c r="BT876" s="572"/>
      <c r="BU876" s="558"/>
      <c r="BV876" s="561"/>
      <c r="BW876" s="564"/>
      <c r="BX876" s="616"/>
    </row>
    <row r="877" spans="1:76" ht="15.75" thickBot="1" x14ac:dyDescent="0.3">
      <c r="A877" s="586"/>
      <c r="B877" s="590"/>
      <c r="C877" s="591"/>
      <c r="D877" s="605"/>
      <c r="E877" s="517"/>
      <c r="F877" s="518"/>
      <c r="G877" s="523"/>
      <c r="H877" s="524"/>
      <c r="I877" s="529"/>
      <c r="J877" s="530"/>
      <c r="K877" s="513"/>
      <c r="L877" s="534"/>
      <c r="M877" s="537"/>
      <c r="N877" s="541"/>
      <c r="O877" s="542"/>
      <c r="P877" s="483"/>
      <c r="Q877" s="484"/>
      <c r="R877" s="517"/>
      <c r="S877" s="518"/>
      <c r="T877" s="487"/>
      <c r="U877" s="488"/>
      <c r="V877" s="492"/>
      <c r="W877" s="483"/>
      <c r="X877" s="495"/>
      <c r="Y877" s="484"/>
      <c r="Z877" s="498"/>
      <c r="AA877" s="502"/>
      <c r="AB877" s="503"/>
      <c r="AC877" s="471" t="s">
        <v>259</v>
      </c>
      <c r="AD877" s="472"/>
      <c r="AE877" s="473"/>
      <c r="AF877" s="100"/>
      <c r="AG877" s="100"/>
      <c r="AH877" s="100"/>
      <c r="AI877" s="100"/>
      <c r="AJ877" s="100"/>
      <c r="AK877" s="100"/>
      <c r="AL877" s="100"/>
      <c r="AM877" s="100"/>
      <c r="AN877" s="100"/>
      <c r="AO877" s="100"/>
      <c r="AP877" s="100"/>
      <c r="AQ877" s="101"/>
      <c r="AR877" s="104">
        <f t="shared" ref="AR877:AR878" si="1657">SUM(AF877:AQ877)</f>
        <v>0</v>
      </c>
      <c r="AS877" s="128" t="s">
        <v>261</v>
      </c>
      <c r="AT877" s="129"/>
      <c r="AU877" s="129"/>
      <c r="AV877" s="129"/>
      <c r="AW877" s="130"/>
      <c r="AX877" s="126">
        <f t="shared" si="1655"/>
        <v>0</v>
      </c>
      <c r="AY877" s="143" t="s">
        <v>261</v>
      </c>
      <c r="AZ877" s="139"/>
      <c r="BA877" s="139"/>
      <c r="BB877" s="136">
        <f t="shared" si="1656"/>
        <v>0</v>
      </c>
      <c r="BC877" s="474" t="s">
        <v>262</v>
      </c>
      <c r="BD877" s="475"/>
      <c r="BE877" s="14"/>
      <c r="BF877" s="17"/>
      <c r="BG877" s="14"/>
      <c r="BH877" s="17"/>
      <c r="BI877" s="14"/>
      <c r="BJ877" s="17"/>
      <c r="BK877" s="14"/>
      <c r="BL877" s="17"/>
      <c r="BM877" s="14"/>
      <c r="BN877" s="17"/>
      <c r="BO877" s="14"/>
      <c r="BP877" s="17"/>
      <c r="BQ877" s="108">
        <f t="shared" si="1632"/>
        <v>0</v>
      </c>
      <c r="BR877" s="567"/>
      <c r="BS877" s="571"/>
      <c r="BT877" s="572"/>
      <c r="BU877" s="558"/>
      <c r="BV877" s="561"/>
      <c r="BW877" s="564"/>
      <c r="BX877" s="616"/>
    </row>
    <row r="878" spans="1:76" ht="15.75" thickBot="1" x14ac:dyDescent="0.3">
      <c r="A878" s="587"/>
      <c r="B878" s="592"/>
      <c r="C878" s="593"/>
      <c r="D878" s="606"/>
      <c r="E878" s="519"/>
      <c r="F878" s="520"/>
      <c r="G878" s="525"/>
      <c r="H878" s="526"/>
      <c r="I878" s="531"/>
      <c r="J878" s="532"/>
      <c r="K878" s="514"/>
      <c r="L878" s="535"/>
      <c r="M878" s="538"/>
      <c r="N878" s="543"/>
      <c r="O878" s="544"/>
      <c r="P878" s="485"/>
      <c r="Q878" s="486"/>
      <c r="R878" s="519"/>
      <c r="S878" s="520"/>
      <c r="T878" s="489"/>
      <c r="U878" s="490"/>
      <c r="V878" s="493"/>
      <c r="W878" s="485"/>
      <c r="X878" s="496"/>
      <c r="Y878" s="486"/>
      <c r="Z878" s="499"/>
      <c r="AA878" s="504"/>
      <c r="AB878" s="505"/>
      <c r="AC878" s="476" t="s">
        <v>261</v>
      </c>
      <c r="AD878" s="477"/>
      <c r="AE878" s="478"/>
      <c r="AF878" s="102"/>
      <c r="AG878" s="102"/>
      <c r="AH878" s="102"/>
      <c r="AI878" s="102"/>
      <c r="AJ878" s="102"/>
      <c r="AK878" s="102"/>
      <c r="AL878" s="102"/>
      <c r="AM878" s="102"/>
      <c r="AN878" s="102"/>
      <c r="AO878" s="102"/>
      <c r="AP878" s="102"/>
      <c r="AQ878" s="103"/>
      <c r="AR878" s="105">
        <f t="shared" si="1657"/>
        <v>0</v>
      </c>
      <c r="AS878" s="131" t="s">
        <v>161</v>
      </c>
      <c r="AT878" s="132">
        <f t="shared" ref="AT878:AX878" si="1658">SUM(AT875:AT877)</f>
        <v>0</v>
      </c>
      <c r="AU878" s="132">
        <f t="shared" si="1658"/>
        <v>0</v>
      </c>
      <c r="AV878" s="132">
        <f t="shared" si="1658"/>
        <v>0</v>
      </c>
      <c r="AW878" s="133">
        <f t="shared" si="1658"/>
        <v>0</v>
      </c>
      <c r="AX878" s="127">
        <f t="shared" si="1658"/>
        <v>0</v>
      </c>
      <c r="AY878" s="144" t="s">
        <v>161</v>
      </c>
      <c r="AZ878" s="140">
        <f t="shared" ref="AZ878:BB878" si="1659">SUM(AZ875:AZ877)</f>
        <v>0</v>
      </c>
      <c r="BA878" s="140">
        <f t="shared" si="1659"/>
        <v>0</v>
      </c>
      <c r="BB878" s="140">
        <f t="shared" si="1659"/>
        <v>0</v>
      </c>
      <c r="BC878" s="479" t="s">
        <v>263</v>
      </c>
      <c r="BD878" s="480"/>
      <c r="BE878" s="15"/>
      <c r="BF878" s="18"/>
      <c r="BG878" s="15"/>
      <c r="BH878" s="18"/>
      <c r="BI878" s="15"/>
      <c r="BJ878" s="18"/>
      <c r="BK878" s="15"/>
      <c r="BL878" s="18"/>
      <c r="BM878" s="15"/>
      <c r="BN878" s="18"/>
      <c r="BO878" s="15"/>
      <c r="BP878" s="18"/>
      <c r="BQ878" s="109">
        <f t="shared" si="1632"/>
        <v>0</v>
      </c>
      <c r="BR878" s="568"/>
      <c r="BS878" s="573"/>
      <c r="BT878" s="574"/>
      <c r="BU878" s="559"/>
      <c r="BV878" s="562"/>
      <c r="BW878" s="565"/>
      <c r="BX878" s="617"/>
    </row>
    <row r="879" spans="1:76" ht="15.75" thickTop="1" x14ac:dyDescent="0.25">
      <c r="A879" s="585">
        <v>218</v>
      </c>
      <c r="B879" s="588"/>
      <c r="C879" s="589"/>
      <c r="D879" s="604"/>
      <c r="E879" s="515"/>
      <c r="F879" s="516"/>
      <c r="G879" s="521"/>
      <c r="H879" s="522"/>
      <c r="I879" s="527"/>
      <c r="J879" s="528"/>
      <c r="K879" s="512" t="e">
        <f t="shared" ref="K879" si="1660">INT(YEARFRAC(I879,AA879))</f>
        <v>#VALUE!</v>
      </c>
      <c r="L879" s="533">
        <f t="shared" ref="L879" ca="1" si="1661">INT(YEARFRAC(I879,TODAY()))</f>
        <v>121</v>
      </c>
      <c r="M879" s="536"/>
      <c r="N879" s="539"/>
      <c r="O879" s="540"/>
      <c r="P879" s="481"/>
      <c r="Q879" s="482"/>
      <c r="R879" s="515"/>
      <c r="S879" s="516"/>
      <c r="T879" s="487"/>
      <c r="U879" s="488"/>
      <c r="V879" s="491"/>
      <c r="W879" s="481"/>
      <c r="X879" s="494"/>
      <c r="Y879" s="482"/>
      <c r="Z879" s="497"/>
      <c r="AA879" s="500" t="s">
        <v>459</v>
      </c>
      <c r="AB879" s="501"/>
      <c r="AC879" s="506" t="s">
        <v>257</v>
      </c>
      <c r="AD879" s="507"/>
      <c r="AE879" s="507"/>
      <c r="AF879" s="510"/>
      <c r="AG879" s="510"/>
      <c r="AH879" s="510"/>
      <c r="AI879" s="510"/>
      <c r="AJ879" s="510"/>
      <c r="AK879" s="510"/>
      <c r="AL879" s="510"/>
      <c r="AM879" s="510"/>
      <c r="AN879" s="510"/>
      <c r="AO879" s="510"/>
      <c r="AP879" s="510"/>
      <c r="AQ879" s="465"/>
      <c r="AR879" s="467">
        <f t="shared" ref="AR879" si="1662">SUM(AF879:AQ880)</f>
        <v>0</v>
      </c>
      <c r="AS879" s="119" t="s">
        <v>257</v>
      </c>
      <c r="AT879" s="120"/>
      <c r="AU879" s="120"/>
      <c r="AV879" s="120"/>
      <c r="AW879" s="121"/>
      <c r="AX879" s="125">
        <f t="shared" ref="AX879:AX881" si="1663">SUM(AT879:AW879)</f>
        <v>0</v>
      </c>
      <c r="AY879" s="141" t="s">
        <v>257</v>
      </c>
      <c r="AZ879" s="137"/>
      <c r="BA879" s="137"/>
      <c r="BB879" s="134">
        <f t="shared" ref="BB879:BB881" si="1664">AZ879-BA879</f>
        <v>0</v>
      </c>
      <c r="BC879" s="469" t="s">
        <v>258</v>
      </c>
      <c r="BD879" s="470"/>
      <c r="BE879" s="13"/>
      <c r="BF879" s="16"/>
      <c r="BG879" s="13"/>
      <c r="BH879" s="16"/>
      <c r="BI879" s="13"/>
      <c r="BJ879" s="16"/>
      <c r="BK879" s="13"/>
      <c r="BL879" s="16"/>
      <c r="BM879" s="13"/>
      <c r="BN879" s="16"/>
      <c r="BO879" s="13"/>
      <c r="BP879" s="16"/>
      <c r="BQ879" s="106">
        <f t="shared" si="1632"/>
        <v>0</v>
      </c>
      <c r="BR879" s="566"/>
      <c r="BS879" s="569"/>
      <c r="BT879" s="570"/>
      <c r="BU879" s="557"/>
      <c r="BV879" s="560"/>
      <c r="BW879" s="563"/>
      <c r="BX879" s="615"/>
    </row>
    <row r="880" spans="1:76" x14ac:dyDescent="0.25">
      <c r="A880" s="586"/>
      <c r="B880" s="590"/>
      <c r="C880" s="591"/>
      <c r="D880" s="605"/>
      <c r="E880" s="517"/>
      <c r="F880" s="518"/>
      <c r="G880" s="523"/>
      <c r="H880" s="524"/>
      <c r="I880" s="529"/>
      <c r="J880" s="530"/>
      <c r="K880" s="513"/>
      <c r="L880" s="534"/>
      <c r="M880" s="537"/>
      <c r="N880" s="541"/>
      <c r="O880" s="542"/>
      <c r="P880" s="483"/>
      <c r="Q880" s="484"/>
      <c r="R880" s="517"/>
      <c r="S880" s="518"/>
      <c r="T880" s="487"/>
      <c r="U880" s="488"/>
      <c r="V880" s="492"/>
      <c r="W880" s="483"/>
      <c r="X880" s="495"/>
      <c r="Y880" s="484"/>
      <c r="Z880" s="498"/>
      <c r="AA880" s="502"/>
      <c r="AB880" s="503"/>
      <c r="AC880" s="508"/>
      <c r="AD880" s="509"/>
      <c r="AE880" s="509"/>
      <c r="AF880" s="511"/>
      <c r="AG880" s="511"/>
      <c r="AH880" s="511"/>
      <c r="AI880" s="511"/>
      <c r="AJ880" s="511"/>
      <c r="AK880" s="511"/>
      <c r="AL880" s="511"/>
      <c r="AM880" s="511"/>
      <c r="AN880" s="511"/>
      <c r="AO880" s="511"/>
      <c r="AP880" s="511"/>
      <c r="AQ880" s="466"/>
      <c r="AR880" s="468"/>
      <c r="AS880" s="122" t="s">
        <v>259</v>
      </c>
      <c r="AT880" s="123"/>
      <c r="AU880" s="123"/>
      <c r="AV880" s="123"/>
      <c r="AW880" s="124"/>
      <c r="AX880" s="126">
        <f t="shared" si="1663"/>
        <v>0</v>
      </c>
      <c r="AY880" s="142" t="s">
        <v>259</v>
      </c>
      <c r="AZ880" s="138"/>
      <c r="BA880" s="138"/>
      <c r="BB880" s="135">
        <f t="shared" si="1664"/>
        <v>0</v>
      </c>
      <c r="BC880" s="474" t="s">
        <v>260</v>
      </c>
      <c r="BD880" s="475"/>
      <c r="BE880" s="14"/>
      <c r="BF880" s="17"/>
      <c r="BG880" s="14"/>
      <c r="BH880" s="17"/>
      <c r="BI880" s="14"/>
      <c r="BJ880" s="17"/>
      <c r="BK880" s="14"/>
      <c r="BL880" s="17"/>
      <c r="BM880" s="14"/>
      <c r="BN880" s="17"/>
      <c r="BO880" s="14"/>
      <c r="BP880" s="17"/>
      <c r="BQ880" s="107">
        <f t="shared" si="1632"/>
        <v>0</v>
      </c>
      <c r="BR880" s="567"/>
      <c r="BS880" s="571"/>
      <c r="BT880" s="572"/>
      <c r="BU880" s="558"/>
      <c r="BV880" s="561"/>
      <c r="BW880" s="564"/>
      <c r="BX880" s="616"/>
    </row>
    <row r="881" spans="1:76" ht="15.75" thickBot="1" x14ac:dyDescent="0.3">
      <c r="A881" s="586"/>
      <c r="B881" s="590"/>
      <c r="C881" s="591"/>
      <c r="D881" s="605"/>
      <c r="E881" s="517"/>
      <c r="F881" s="518"/>
      <c r="G881" s="523"/>
      <c r="H881" s="524"/>
      <c r="I881" s="529"/>
      <c r="J881" s="530"/>
      <c r="K881" s="513"/>
      <c r="L881" s="534"/>
      <c r="M881" s="537"/>
      <c r="N881" s="541"/>
      <c r="O881" s="542"/>
      <c r="P881" s="483"/>
      <c r="Q881" s="484"/>
      <c r="R881" s="517"/>
      <c r="S881" s="518"/>
      <c r="T881" s="487"/>
      <c r="U881" s="488"/>
      <c r="V881" s="492"/>
      <c r="W881" s="483"/>
      <c r="X881" s="495"/>
      <c r="Y881" s="484"/>
      <c r="Z881" s="498"/>
      <c r="AA881" s="502"/>
      <c r="AB881" s="503"/>
      <c r="AC881" s="471" t="s">
        <v>259</v>
      </c>
      <c r="AD881" s="472"/>
      <c r="AE881" s="473"/>
      <c r="AF881" s="100"/>
      <c r="AG881" s="100"/>
      <c r="AH881" s="100"/>
      <c r="AI881" s="100"/>
      <c r="AJ881" s="100"/>
      <c r="AK881" s="100"/>
      <c r="AL881" s="100"/>
      <c r="AM881" s="100"/>
      <c r="AN881" s="100"/>
      <c r="AO881" s="100"/>
      <c r="AP881" s="100"/>
      <c r="AQ881" s="101"/>
      <c r="AR881" s="104">
        <f t="shared" ref="AR881:AR882" si="1665">SUM(AF881:AQ881)</f>
        <v>0</v>
      </c>
      <c r="AS881" s="128" t="s">
        <v>261</v>
      </c>
      <c r="AT881" s="129"/>
      <c r="AU881" s="129"/>
      <c r="AV881" s="129"/>
      <c r="AW881" s="130"/>
      <c r="AX881" s="126">
        <f t="shared" si="1663"/>
        <v>0</v>
      </c>
      <c r="AY881" s="143" t="s">
        <v>261</v>
      </c>
      <c r="AZ881" s="139"/>
      <c r="BA881" s="139"/>
      <c r="BB881" s="136">
        <f t="shared" si="1664"/>
        <v>0</v>
      </c>
      <c r="BC881" s="474" t="s">
        <v>262</v>
      </c>
      <c r="BD881" s="475"/>
      <c r="BE881" s="14"/>
      <c r="BF881" s="17"/>
      <c r="BG881" s="14"/>
      <c r="BH881" s="17"/>
      <c r="BI881" s="14"/>
      <c r="BJ881" s="17"/>
      <c r="BK881" s="14"/>
      <c r="BL881" s="17"/>
      <c r="BM881" s="14"/>
      <c r="BN881" s="17"/>
      <c r="BO881" s="14"/>
      <c r="BP881" s="17"/>
      <c r="BQ881" s="108">
        <f t="shared" si="1632"/>
        <v>0</v>
      </c>
      <c r="BR881" s="567"/>
      <c r="BS881" s="571"/>
      <c r="BT881" s="572"/>
      <c r="BU881" s="558"/>
      <c r="BV881" s="561"/>
      <c r="BW881" s="564"/>
      <c r="BX881" s="616"/>
    </row>
    <row r="882" spans="1:76" ht="15.75" thickBot="1" x14ac:dyDescent="0.3">
      <c r="A882" s="587"/>
      <c r="B882" s="592"/>
      <c r="C882" s="593"/>
      <c r="D882" s="606"/>
      <c r="E882" s="519"/>
      <c r="F882" s="520"/>
      <c r="G882" s="525"/>
      <c r="H882" s="526"/>
      <c r="I882" s="531"/>
      <c r="J882" s="532"/>
      <c r="K882" s="514"/>
      <c r="L882" s="535"/>
      <c r="M882" s="538"/>
      <c r="N882" s="543"/>
      <c r="O882" s="544"/>
      <c r="P882" s="485"/>
      <c r="Q882" s="486"/>
      <c r="R882" s="519"/>
      <c r="S882" s="520"/>
      <c r="T882" s="489"/>
      <c r="U882" s="490"/>
      <c r="V882" s="493"/>
      <c r="W882" s="485"/>
      <c r="X882" s="496"/>
      <c r="Y882" s="486"/>
      <c r="Z882" s="499"/>
      <c r="AA882" s="504"/>
      <c r="AB882" s="505"/>
      <c r="AC882" s="476" t="s">
        <v>261</v>
      </c>
      <c r="AD882" s="477"/>
      <c r="AE882" s="478"/>
      <c r="AF882" s="102"/>
      <c r="AG882" s="102"/>
      <c r="AH882" s="102"/>
      <c r="AI882" s="102"/>
      <c r="AJ882" s="102"/>
      <c r="AK882" s="102"/>
      <c r="AL882" s="102"/>
      <c r="AM882" s="102"/>
      <c r="AN882" s="102"/>
      <c r="AO882" s="102"/>
      <c r="AP882" s="102"/>
      <c r="AQ882" s="103"/>
      <c r="AR882" s="105">
        <f t="shared" si="1665"/>
        <v>0</v>
      </c>
      <c r="AS882" s="131" t="s">
        <v>161</v>
      </c>
      <c r="AT882" s="132">
        <f t="shared" ref="AT882:AX882" si="1666">SUM(AT879:AT881)</f>
        <v>0</v>
      </c>
      <c r="AU882" s="132">
        <f t="shared" si="1666"/>
        <v>0</v>
      </c>
      <c r="AV882" s="132">
        <f t="shared" si="1666"/>
        <v>0</v>
      </c>
      <c r="AW882" s="133">
        <f t="shared" si="1666"/>
        <v>0</v>
      </c>
      <c r="AX882" s="127">
        <f t="shared" si="1666"/>
        <v>0</v>
      </c>
      <c r="AY882" s="144" t="s">
        <v>161</v>
      </c>
      <c r="AZ882" s="140">
        <f t="shared" ref="AZ882:BB882" si="1667">SUM(AZ879:AZ881)</f>
        <v>0</v>
      </c>
      <c r="BA882" s="140">
        <f t="shared" si="1667"/>
        <v>0</v>
      </c>
      <c r="BB882" s="140">
        <f t="shared" si="1667"/>
        <v>0</v>
      </c>
      <c r="BC882" s="479" t="s">
        <v>263</v>
      </c>
      <c r="BD882" s="480"/>
      <c r="BE882" s="15"/>
      <c r="BF882" s="18"/>
      <c r="BG882" s="15"/>
      <c r="BH882" s="18"/>
      <c r="BI882" s="15"/>
      <c r="BJ882" s="18"/>
      <c r="BK882" s="15"/>
      <c r="BL882" s="18"/>
      <c r="BM882" s="15"/>
      <c r="BN882" s="18"/>
      <c r="BO882" s="15"/>
      <c r="BP882" s="18"/>
      <c r="BQ882" s="109">
        <f t="shared" si="1632"/>
        <v>0</v>
      </c>
      <c r="BR882" s="568"/>
      <c r="BS882" s="573"/>
      <c r="BT882" s="574"/>
      <c r="BU882" s="559"/>
      <c r="BV882" s="562"/>
      <c r="BW882" s="565"/>
      <c r="BX882" s="617"/>
    </row>
    <row r="883" spans="1:76" ht="15.75" thickTop="1" x14ac:dyDescent="0.25">
      <c r="A883" s="585">
        <v>219</v>
      </c>
      <c r="B883" s="588"/>
      <c r="C883" s="589"/>
      <c r="D883" s="604"/>
      <c r="E883" s="515"/>
      <c r="F883" s="516"/>
      <c r="G883" s="521"/>
      <c r="H883" s="522"/>
      <c r="I883" s="527"/>
      <c r="J883" s="528"/>
      <c r="K883" s="512" t="e">
        <f t="shared" ref="K883" si="1668">INT(YEARFRAC(I883,AA883))</f>
        <v>#VALUE!</v>
      </c>
      <c r="L883" s="533">
        <f t="shared" ref="L883" ca="1" si="1669">INT(YEARFRAC(I883,TODAY()))</f>
        <v>121</v>
      </c>
      <c r="M883" s="536"/>
      <c r="N883" s="539"/>
      <c r="O883" s="540"/>
      <c r="P883" s="481"/>
      <c r="Q883" s="482"/>
      <c r="R883" s="515"/>
      <c r="S883" s="516"/>
      <c r="T883" s="487"/>
      <c r="U883" s="488"/>
      <c r="V883" s="491"/>
      <c r="W883" s="481"/>
      <c r="X883" s="494"/>
      <c r="Y883" s="482"/>
      <c r="Z883" s="497"/>
      <c r="AA883" s="500" t="s">
        <v>460</v>
      </c>
      <c r="AB883" s="501"/>
      <c r="AC883" s="506" t="s">
        <v>257</v>
      </c>
      <c r="AD883" s="507"/>
      <c r="AE883" s="507"/>
      <c r="AF883" s="510"/>
      <c r="AG883" s="510"/>
      <c r="AH883" s="510"/>
      <c r="AI883" s="510"/>
      <c r="AJ883" s="510"/>
      <c r="AK883" s="510"/>
      <c r="AL883" s="510"/>
      <c r="AM883" s="510"/>
      <c r="AN883" s="510"/>
      <c r="AO883" s="510"/>
      <c r="AP883" s="510"/>
      <c r="AQ883" s="465"/>
      <c r="AR883" s="467">
        <f t="shared" ref="AR883" si="1670">SUM(AF883:AQ884)</f>
        <v>0</v>
      </c>
      <c r="AS883" s="119" t="s">
        <v>257</v>
      </c>
      <c r="AT883" s="120"/>
      <c r="AU883" s="120"/>
      <c r="AV883" s="120"/>
      <c r="AW883" s="121"/>
      <c r="AX883" s="125">
        <f t="shared" ref="AX883:AX885" si="1671">SUM(AT883:AW883)</f>
        <v>0</v>
      </c>
      <c r="AY883" s="141" t="s">
        <v>257</v>
      </c>
      <c r="AZ883" s="137"/>
      <c r="BA883" s="137"/>
      <c r="BB883" s="134">
        <f t="shared" ref="BB883:BB885" si="1672">AZ883-BA883</f>
        <v>0</v>
      </c>
      <c r="BC883" s="469" t="s">
        <v>258</v>
      </c>
      <c r="BD883" s="470"/>
      <c r="BE883" s="13"/>
      <c r="BF883" s="16"/>
      <c r="BG883" s="13"/>
      <c r="BH883" s="16"/>
      <c r="BI883" s="13"/>
      <c r="BJ883" s="16"/>
      <c r="BK883" s="13"/>
      <c r="BL883" s="16"/>
      <c r="BM883" s="13"/>
      <c r="BN883" s="16"/>
      <c r="BO883" s="13"/>
      <c r="BP883" s="16"/>
      <c r="BQ883" s="106">
        <f t="shared" si="1632"/>
        <v>0</v>
      </c>
      <c r="BR883" s="566"/>
      <c r="BS883" s="569"/>
      <c r="BT883" s="570"/>
      <c r="BU883" s="557"/>
      <c r="BV883" s="560"/>
      <c r="BW883" s="563"/>
      <c r="BX883" s="615"/>
    </row>
    <row r="884" spans="1:76" x14ac:dyDescent="0.25">
      <c r="A884" s="586"/>
      <c r="B884" s="590"/>
      <c r="C884" s="591"/>
      <c r="D884" s="605"/>
      <c r="E884" s="517"/>
      <c r="F884" s="518"/>
      <c r="G884" s="523"/>
      <c r="H884" s="524"/>
      <c r="I884" s="529"/>
      <c r="J884" s="530"/>
      <c r="K884" s="513"/>
      <c r="L884" s="534"/>
      <c r="M884" s="537"/>
      <c r="N884" s="541"/>
      <c r="O884" s="542"/>
      <c r="P884" s="483"/>
      <c r="Q884" s="484"/>
      <c r="R884" s="517"/>
      <c r="S884" s="518"/>
      <c r="T884" s="487"/>
      <c r="U884" s="488"/>
      <c r="V884" s="492"/>
      <c r="W884" s="483"/>
      <c r="X884" s="495"/>
      <c r="Y884" s="484"/>
      <c r="Z884" s="498"/>
      <c r="AA884" s="502"/>
      <c r="AB884" s="503"/>
      <c r="AC884" s="508"/>
      <c r="AD884" s="509"/>
      <c r="AE884" s="509"/>
      <c r="AF884" s="511"/>
      <c r="AG884" s="511"/>
      <c r="AH884" s="511"/>
      <c r="AI884" s="511"/>
      <c r="AJ884" s="511"/>
      <c r="AK884" s="511"/>
      <c r="AL884" s="511"/>
      <c r="AM884" s="511"/>
      <c r="AN884" s="511"/>
      <c r="AO884" s="511"/>
      <c r="AP884" s="511"/>
      <c r="AQ884" s="466"/>
      <c r="AR884" s="468"/>
      <c r="AS884" s="122" t="s">
        <v>259</v>
      </c>
      <c r="AT884" s="123"/>
      <c r="AU884" s="123"/>
      <c r="AV884" s="123"/>
      <c r="AW884" s="124"/>
      <c r="AX884" s="126">
        <f t="shared" si="1671"/>
        <v>0</v>
      </c>
      <c r="AY884" s="142" t="s">
        <v>259</v>
      </c>
      <c r="AZ884" s="138"/>
      <c r="BA884" s="138"/>
      <c r="BB884" s="135">
        <f t="shared" si="1672"/>
        <v>0</v>
      </c>
      <c r="BC884" s="474" t="s">
        <v>260</v>
      </c>
      <c r="BD884" s="475"/>
      <c r="BE884" s="14"/>
      <c r="BF884" s="17"/>
      <c r="BG884" s="14"/>
      <c r="BH884" s="17"/>
      <c r="BI884" s="14"/>
      <c r="BJ884" s="17"/>
      <c r="BK884" s="14"/>
      <c r="BL884" s="17"/>
      <c r="BM884" s="14"/>
      <c r="BN884" s="17"/>
      <c r="BO884" s="14"/>
      <c r="BP884" s="17"/>
      <c r="BQ884" s="107">
        <f t="shared" si="1632"/>
        <v>0</v>
      </c>
      <c r="BR884" s="567"/>
      <c r="BS884" s="571"/>
      <c r="BT884" s="572"/>
      <c r="BU884" s="558"/>
      <c r="BV884" s="561"/>
      <c r="BW884" s="564"/>
      <c r="BX884" s="616"/>
    </row>
    <row r="885" spans="1:76" ht="15.75" thickBot="1" x14ac:dyDescent="0.3">
      <c r="A885" s="586"/>
      <c r="B885" s="590"/>
      <c r="C885" s="591"/>
      <c r="D885" s="605"/>
      <c r="E885" s="517"/>
      <c r="F885" s="518"/>
      <c r="G885" s="523"/>
      <c r="H885" s="524"/>
      <c r="I885" s="529"/>
      <c r="J885" s="530"/>
      <c r="K885" s="513"/>
      <c r="L885" s="534"/>
      <c r="M885" s="537"/>
      <c r="N885" s="541"/>
      <c r="O885" s="542"/>
      <c r="P885" s="483"/>
      <c r="Q885" s="484"/>
      <c r="R885" s="517"/>
      <c r="S885" s="518"/>
      <c r="T885" s="487"/>
      <c r="U885" s="488"/>
      <c r="V885" s="492"/>
      <c r="W885" s="483"/>
      <c r="X885" s="495"/>
      <c r="Y885" s="484"/>
      <c r="Z885" s="498"/>
      <c r="AA885" s="502"/>
      <c r="AB885" s="503"/>
      <c r="AC885" s="471" t="s">
        <v>259</v>
      </c>
      <c r="AD885" s="472"/>
      <c r="AE885" s="473"/>
      <c r="AF885" s="100"/>
      <c r="AG885" s="100"/>
      <c r="AH885" s="100"/>
      <c r="AI885" s="100"/>
      <c r="AJ885" s="100"/>
      <c r="AK885" s="100"/>
      <c r="AL885" s="100"/>
      <c r="AM885" s="100"/>
      <c r="AN885" s="100"/>
      <c r="AO885" s="100"/>
      <c r="AP885" s="100"/>
      <c r="AQ885" s="101"/>
      <c r="AR885" s="104">
        <f t="shared" ref="AR885:AR886" si="1673">SUM(AF885:AQ885)</f>
        <v>0</v>
      </c>
      <c r="AS885" s="128" t="s">
        <v>261</v>
      </c>
      <c r="AT885" s="129"/>
      <c r="AU885" s="129"/>
      <c r="AV885" s="129"/>
      <c r="AW885" s="130"/>
      <c r="AX885" s="126">
        <f t="shared" si="1671"/>
        <v>0</v>
      </c>
      <c r="AY885" s="143" t="s">
        <v>261</v>
      </c>
      <c r="AZ885" s="139"/>
      <c r="BA885" s="139"/>
      <c r="BB885" s="136">
        <f t="shared" si="1672"/>
        <v>0</v>
      </c>
      <c r="BC885" s="474" t="s">
        <v>262</v>
      </c>
      <c r="BD885" s="475"/>
      <c r="BE885" s="14"/>
      <c r="BF885" s="17"/>
      <c r="BG885" s="14"/>
      <c r="BH885" s="17"/>
      <c r="BI885" s="14"/>
      <c r="BJ885" s="17"/>
      <c r="BK885" s="14"/>
      <c r="BL885" s="17"/>
      <c r="BM885" s="14"/>
      <c r="BN885" s="17"/>
      <c r="BO885" s="14"/>
      <c r="BP885" s="17"/>
      <c r="BQ885" s="108">
        <f t="shared" si="1632"/>
        <v>0</v>
      </c>
      <c r="BR885" s="567"/>
      <c r="BS885" s="571"/>
      <c r="BT885" s="572"/>
      <c r="BU885" s="558"/>
      <c r="BV885" s="561"/>
      <c r="BW885" s="564"/>
      <c r="BX885" s="616"/>
    </row>
    <row r="886" spans="1:76" ht="15.75" thickBot="1" x14ac:dyDescent="0.3">
      <c r="A886" s="587"/>
      <c r="B886" s="592"/>
      <c r="C886" s="593"/>
      <c r="D886" s="606"/>
      <c r="E886" s="519"/>
      <c r="F886" s="520"/>
      <c r="G886" s="525"/>
      <c r="H886" s="526"/>
      <c r="I886" s="531"/>
      <c r="J886" s="532"/>
      <c r="K886" s="514"/>
      <c r="L886" s="535"/>
      <c r="M886" s="538"/>
      <c r="N886" s="543"/>
      <c r="O886" s="544"/>
      <c r="P886" s="485"/>
      <c r="Q886" s="486"/>
      <c r="R886" s="519"/>
      <c r="S886" s="520"/>
      <c r="T886" s="489"/>
      <c r="U886" s="490"/>
      <c r="V886" s="493"/>
      <c r="W886" s="485"/>
      <c r="X886" s="496"/>
      <c r="Y886" s="486"/>
      <c r="Z886" s="499"/>
      <c r="AA886" s="504"/>
      <c r="AB886" s="505"/>
      <c r="AC886" s="476" t="s">
        <v>261</v>
      </c>
      <c r="AD886" s="477"/>
      <c r="AE886" s="478"/>
      <c r="AF886" s="102"/>
      <c r="AG886" s="102"/>
      <c r="AH886" s="102"/>
      <c r="AI886" s="102"/>
      <c r="AJ886" s="102"/>
      <c r="AK886" s="102"/>
      <c r="AL886" s="102"/>
      <c r="AM886" s="102"/>
      <c r="AN886" s="102"/>
      <c r="AO886" s="102"/>
      <c r="AP886" s="102"/>
      <c r="AQ886" s="103"/>
      <c r="AR886" s="105">
        <f t="shared" si="1673"/>
        <v>0</v>
      </c>
      <c r="AS886" s="131" t="s">
        <v>161</v>
      </c>
      <c r="AT886" s="132">
        <f t="shared" ref="AT886:AX886" si="1674">SUM(AT883:AT885)</f>
        <v>0</v>
      </c>
      <c r="AU886" s="132">
        <f t="shared" si="1674"/>
        <v>0</v>
      </c>
      <c r="AV886" s="132">
        <f t="shared" si="1674"/>
        <v>0</v>
      </c>
      <c r="AW886" s="133">
        <f t="shared" si="1674"/>
        <v>0</v>
      </c>
      <c r="AX886" s="127">
        <f t="shared" si="1674"/>
        <v>0</v>
      </c>
      <c r="AY886" s="144" t="s">
        <v>161</v>
      </c>
      <c r="AZ886" s="140">
        <f t="shared" ref="AZ886:BB886" si="1675">SUM(AZ883:AZ885)</f>
        <v>0</v>
      </c>
      <c r="BA886" s="140">
        <f t="shared" si="1675"/>
        <v>0</v>
      </c>
      <c r="BB886" s="140">
        <f t="shared" si="1675"/>
        <v>0</v>
      </c>
      <c r="BC886" s="479" t="s">
        <v>263</v>
      </c>
      <c r="BD886" s="480"/>
      <c r="BE886" s="15"/>
      <c r="BF886" s="18"/>
      <c r="BG886" s="15"/>
      <c r="BH886" s="18"/>
      <c r="BI886" s="15"/>
      <c r="BJ886" s="18"/>
      <c r="BK886" s="15"/>
      <c r="BL886" s="18"/>
      <c r="BM886" s="15"/>
      <c r="BN886" s="18"/>
      <c r="BO886" s="15"/>
      <c r="BP886" s="18"/>
      <c r="BQ886" s="109">
        <f t="shared" si="1632"/>
        <v>0</v>
      </c>
      <c r="BR886" s="568"/>
      <c r="BS886" s="573"/>
      <c r="BT886" s="574"/>
      <c r="BU886" s="559"/>
      <c r="BV886" s="562"/>
      <c r="BW886" s="565"/>
      <c r="BX886" s="617"/>
    </row>
    <row r="887" spans="1:76" ht="15.75" thickTop="1" x14ac:dyDescent="0.25">
      <c r="A887" s="585">
        <v>220</v>
      </c>
      <c r="B887" s="588"/>
      <c r="C887" s="589"/>
      <c r="D887" s="604"/>
      <c r="E887" s="515"/>
      <c r="F887" s="516"/>
      <c r="G887" s="521"/>
      <c r="H887" s="522"/>
      <c r="I887" s="527"/>
      <c r="J887" s="528"/>
      <c r="K887" s="512" t="e">
        <f t="shared" ref="K887" si="1676">INT(YEARFRAC(I887,AA887))</f>
        <v>#VALUE!</v>
      </c>
      <c r="L887" s="533">
        <f t="shared" ref="L887" ca="1" si="1677">INT(YEARFRAC(I887,TODAY()))</f>
        <v>121</v>
      </c>
      <c r="M887" s="536"/>
      <c r="N887" s="539"/>
      <c r="O887" s="540"/>
      <c r="P887" s="481"/>
      <c r="Q887" s="482"/>
      <c r="R887" s="515"/>
      <c r="S887" s="516"/>
      <c r="T887" s="487"/>
      <c r="U887" s="488"/>
      <c r="V887" s="491"/>
      <c r="W887" s="481"/>
      <c r="X887" s="494"/>
      <c r="Y887" s="482"/>
      <c r="Z887" s="497"/>
      <c r="AA887" s="500" t="s">
        <v>461</v>
      </c>
      <c r="AB887" s="501"/>
      <c r="AC887" s="506" t="s">
        <v>257</v>
      </c>
      <c r="AD887" s="507"/>
      <c r="AE887" s="507"/>
      <c r="AF887" s="510"/>
      <c r="AG887" s="510"/>
      <c r="AH887" s="510"/>
      <c r="AI887" s="510"/>
      <c r="AJ887" s="510"/>
      <c r="AK887" s="510"/>
      <c r="AL887" s="510"/>
      <c r="AM887" s="510"/>
      <c r="AN887" s="510"/>
      <c r="AO887" s="510"/>
      <c r="AP887" s="510"/>
      <c r="AQ887" s="465"/>
      <c r="AR887" s="467">
        <f t="shared" ref="AR887" si="1678">SUM(AF887:AQ888)</f>
        <v>0</v>
      </c>
      <c r="AS887" s="119" t="s">
        <v>257</v>
      </c>
      <c r="AT887" s="120"/>
      <c r="AU887" s="120"/>
      <c r="AV887" s="120"/>
      <c r="AW887" s="121"/>
      <c r="AX887" s="125">
        <f t="shared" ref="AX887:AX889" si="1679">SUM(AT887:AW887)</f>
        <v>0</v>
      </c>
      <c r="AY887" s="141" t="s">
        <v>257</v>
      </c>
      <c r="AZ887" s="137"/>
      <c r="BA887" s="137"/>
      <c r="BB887" s="134">
        <f t="shared" ref="BB887:BB889" si="1680">AZ887-BA887</f>
        <v>0</v>
      </c>
      <c r="BC887" s="469" t="s">
        <v>258</v>
      </c>
      <c r="BD887" s="470"/>
      <c r="BE887" s="13"/>
      <c r="BF887" s="16"/>
      <c r="BG887" s="13"/>
      <c r="BH887" s="16"/>
      <c r="BI887" s="13"/>
      <c r="BJ887" s="16"/>
      <c r="BK887" s="13"/>
      <c r="BL887" s="16"/>
      <c r="BM887" s="13"/>
      <c r="BN887" s="16"/>
      <c r="BO887" s="13"/>
      <c r="BP887" s="16"/>
      <c r="BQ887" s="106">
        <f t="shared" si="1632"/>
        <v>0</v>
      </c>
      <c r="BR887" s="566"/>
      <c r="BS887" s="569"/>
      <c r="BT887" s="570"/>
      <c r="BU887" s="557"/>
      <c r="BV887" s="560"/>
      <c r="BW887" s="563"/>
      <c r="BX887" s="615"/>
    </row>
    <row r="888" spans="1:76" x14ac:dyDescent="0.25">
      <c r="A888" s="586"/>
      <c r="B888" s="590"/>
      <c r="C888" s="591"/>
      <c r="D888" s="605"/>
      <c r="E888" s="517"/>
      <c r="F888" s="518"/>
      <c r="G888" s="523"/>
      <c r="H888" s="524"/>
      <c r="I888" s="529"/>
      <c r="J888" s="530"/>
      <c r="K888" s="513"/>
      <c r="L888" s="534"/>
      <c r="M888" s="537"/>
      <c r="N888" s="541"/>
      <c r="O888" s="542"/>
      <c r="P888" s="483"/>
      <c r="Q888" s="484"/>
      <c r="R888" s="517"/>
      <c r="S888" s="518"/>
      <c r="T888" s="487"/>
      <c r="U888" s="488"/>
      <c r="V888" s="492"/>
      <c r="W888" s="483"/>
      <c r="X888" s="495"/>
      <c r="Y888" s="484"/>
      <c r="Z888" s="498"/>
      <c r="AA888" s="502"/>
      <c r="AB888" s="503"/>
      <c r="AC888" s="508"/>
      <c r="AD888" s="509"/>
      <c r="AE888" s="509"/>
      <c r="AF888" s="511"/>
      <c r="AG888" s="511"/>
      <c r="AH888" s="511"/>
      <c r="AI888" s="511"/>
      <c r="AJ888" s="511"/>
      <c r="AK888" s="511"/>
      <c r="AL888" s="511"/>
      <c r="AM888" s="511"/>
      <c r="AN888" s="511"/>
      <c r="AO888" s="511"/>
      <c r="AP888" s="511"/>
      <c r="AQ888" s="466"/>
      <c r="AR888" s="468"/>
      <c r="AS888" s="122" t="s">
        <v>259</v>
      </c>
      <c r="AT888" s="123"/>
      <c r="AU888" s="123"/>
      <c r="AV888" s="123"/>
      <c r="AW888" s="124"/>
      <c r="AX888" s="126">
        <f t="shared" si="1679"/>
        <v>0</v>
      </c>
      <c r="AY888" s="142" t="s">
        <v>259</v>
      </c>
      <c r="AZ888" s="138"/>
      <c r="BA888" s="138"/>
      <c r="BB888" s="135">
        <f t="shared" si="1680"/>
        <v>0</v>
      </c>
      <c r="BC888" s="474" t="s">
        <v>260</v>
      </c>
      <c r="BD888" s="475"/>
      <c r="BE888" s="14"/>
      <c r="BF888" s="17"/>
      <c r="BG888" s="14"/>
      <c r="BH888" s="17"/>
      <c r="BI888" s="14"/>
      <c r="BJ888" s="17"/>
      <c r="BK888" s="14"/>
      <c r="BL888" s="17"/>
      <c r="BM888" s="14"/>
      <c r="BN888" s="17"/>
      <c r="BO888" s="14"/>
      <c r="BP888" s="17"/>
      <c r="BQ888" s="107">
        <f t="shared" si="1632"/>
        <v>0</v>
      </c>
      <c r="BR888" s="567"/>
      <c r="BS888" s="571"/>
      <c r="BT888" s="572"/>
      <c r="BU888" s="558"/>
      <c r="BV888" s="561"/>
      <c r="BW888" s="564"/>
      <c r="BX888" s="616"/>
    </row>
    <row r="889" spans="1:76" ht="15.75" thickBot="1" x14ac:dyDescent="0.3">
      <c r="A889" s="586"/>
      <c r="B889" s="590"/>
      <c r="C889" s="591"/>
      <c r="D889" s="605"/>
      <c r="E889" s="517"/>
      <c r="F889" s="518"/>
      <c r="G889" s="523"/>
      <c r="H889" s="524"/>
      <c r="I889" s="529"/>
      <c r="J889" s="530"/>
      <c r="K889" s="513"/>
      <c r="L889" s="534"/>
      <c r="M889" s="537"/>
      <c r="N889" s="541"/>
      <c r="O889" s="542"/>
      <c r="P889" s="483"/>
      <c r="Q889" s="484"/>
      <c r="R889" s="517"/>
      <c r="S889" s="518"/>
      <c r="T889" s="487"/>
      <c r="U889" s="488"/>
      <c r="V889" s="492"/>
      <c r="W889" s="483"/>
      <c r="X889" s="495"/>
      <c r="Y889" s="484"/>
      <c r="Z889" s="498"/>
      <c r="AA889" s="502"/>
      <c r="AB889" s="503"/>
      <c r="AC889" s="471" t="s">
        <v>259</v>
      </c>
      <c r="AD889" s="472"/>
      <c r="AE889" s="473"/>
      <c r="AF889" s="100"/>
      <c r="AG889" s="100"/>
      <c r="AH889" s="100"/>
      <c r="AI889" s="100"/>
      <c r="AJ889" s="100"/>
      <c r="AK889" s="100"/>
      <c r="AL889" s="100"/>
      <c r="AM889" s="100"/>
      <c r="AN889" s="100"/>
      <c r="AO889" s="100"/>
      <c r="AP889" s="100"/>
      <c r="AQ889" s="101"/>
      <c r="AR889" s="104">
        <f t="shared" ref="AR889:AR890" si="1681">SUM(AF889:AQ889)</f>
        <v>0</v>
      </c>
      <c r="AS889" s="128" t="s">
        <v>261</v>
      </c>
      <c r="AT889" s="129"/>
      <c r="AU889" s="129"/>
      <c r="AV889" s="129"/>
      <c r="AW889" s="130"/>
      <c r="AX889" s="126">
        <f t="shared" si="1679"/>
        <v>0</v>
      </c>
      <c r="AY889" s="143" t="s">
        <v>261</v>
      </c>
      <c r="AZ889" s="139"/>
      <c r="BA889" s="139"/>
      <c r="BB889" s="136">
        <f t="shared" si="1680"/>
        <v>0</v>
      </c>
      <c r="BC889" s="474" t="s">
        <v>262</v>
      </c>
      <c r="BD889" s="475"/>
      <c r="BE889" s="14"/>
      <c r="BF889" s="17"/>
      <c r="BG889" s="14"/>
      <c r="BH889" s="17"/>
      <c r="BI889" s="14"/>
      <c r="BJ889" s="17"/>
      <c r="BK889" s="14"/>
      <c r="BL889" s="17"/>
      <c r="BM889" s="14"/>
      <c r="BN889" s="17"/>
      <c r="BO889" s="14"/>
      <c r="BP889" s="17"/>
      <c r="BQ889" s="108">
        <f t="shared" si="1632"/>
        <v>0</v>
      </c>
      <c r="BR889" s="567"/>
      <c r="BS889" s="571"/>
      <c r="BT889" s="572"/>
      <c r="BU889" s="558"/>
      <c r="BV889" s="561"/>
      <c r="BW889" s="564"/>
      <c r="BX889" s="616"/>
    </row>
    <row r="890" spans="1:76" ht="15.75" thickBot="1" x14ac:dyDescent="0.3">
      <c r="A890" s="587"/>
      <c r="B890" s="592"/>
      <c r="C890" s="593"/>
      <c r="D890" s="606"/>
      <c r="E890" s="519"/>
      <c r="F890" s="520"/>
      <c r="G890" s="525"/>
      <c r="H890" s="526"/>
      <c r="I890" s="531"/>
      <c r="J890" s="532"/>
      <c r="K890" s="514"/>
      <c r="L890" s="535"/>
      <c r="M890" s="538"/>
      <c r="N890" s="543"/>
      <c r="O890" s="544"/>
      <c r="P890" s="485"/>
      <c r="Q890" s="486"/>
      <c r="R890" s="519"/>
      <c r="S890" s="520"/>
      <c r="T890" s="489"/>
      <c r="U890" s="490"/>
      <c r="V890" s="493"/>
      <c r="W890" s="485"/>
      <c r="X890" s="496"/>
      <c r="Y890" s="486"/>
      <c r="Z890" s="499"/>
      <c r="AA890" s="504"/>
      <c r="AB890" s="505"/>
      <c r="AC890" s="476" t="s">
        <v>261</v>
      </c>
      <c r="AD890" s="477"/>
      <c r="AE890" s="478"/>
      <c r="AF890" s="102"/>
      <c r="AG890" s="102"/>
      <c r="AH890" s="102"/>
      <c r="AI890" s="102"/>
      <c r="AJ890" s="102"/>
      <c r="AK890" s="102"/>
      <c r="AL890" s="102"/>
      <c r="AM890" s="102"/>
      <c r="AN890" s="102"/>
      <c r="AO890" s="102"/>
      <c r="AP890" s="102"/>
      <c r="AQ890" s="103"/>
      <c r="AR890" s="105">
        <f t="shared" si="1681"/>
        <v>0</v>
      </c>
      <c r="AS890" s="131" t="s">
        <v>161</v>
      </c>
      <c r="AT890" s="132">
        <f t="shared" ref="AT890:AX890" si="1682">SUM(AT887:AT889)</f>
        <v>0</v>
      </c>
      <c r="AU890" s="132">
        <f t="shared" si="1682"/>
        <v>0</v>
      </c>
      <c r="AV890" s="132">
        <f t="shared" si="1682"/>
        <v>0</v>
      </c>
      <c r="AW890" s="133">
        <f t="shared" si="1682"/>
        <v>0</v>
      </c>
      <c r="AX890" s="127">
        <f t="shared" si="1682"/>
        <v>0</v>
      </c>
      <c r="AY890" s="144" t="s">
        <v>161</v>
      </c>
      <c r="AZ890" s="140">
        <f t="shared" ref="AZ890:BB890" si="1683">SUM(AZ887:AZ889)</f>
        <v>0</v>
      </c>
      <c r="BA890" s="140">
        <f t="shared" si="1683"/>
        <v>0</v>
      </c>
      <c r="BB890" s="140">
        <f t="shared" si="1683"/>
        <v>0</v>
      </c>
      <c r="BC890" s="479" t="s">
        <v>263</v>
      </c>
      <c r="BD890" s="480"/>
      <c r="BE890" s="15"/>
      <c r="BF890" s="18"/>
      <c r="BG890" s="15"/>
      <c r="BH890" s="18"/>
      <c r="BI890" s="15"/>
      <c r="BJ890" s="18"/>
      <c r="BK890" s="15"/>
      <c r="BL890" s="18"/>
      <c r="BM890" s="15"/>
      <c r="BN890" s="18"/>
      <c r="BO890" s="15"/>
      <c r="BP890" s="18"/>
      <c r="BQ890" s="109">
        <f t="shared" si="1632"/>
        <v>0</v>
      </c>
      <c r="BR890" s="568"/>
      <c r="BS890" s="573"/>
      <c r="BT890" s="574"/>
      <c r="BU890" s="559"/>
      <c r="BV890" s="562"/>
      <c r="BW890" s="565"/>
      <c r="BX890" s="617"/>
    </row>
    <row r="891" spans="1:76" ht="15.75" thickTop="1" x14ac:dyDescent="0.25">
      <c r="A891" s="585">
        <v>221</v>
      </c>
      <c r="B891" s="588"/>
      <c r="C891" s="589"/>
      <c r="D891" s="604"/>
      <c r="E891" s="515"/>
      <c r="F891" s="516"/>
      <c r="G891" s="521"/>
      <c r="H891" s="522"/>
      <c r="I891" s="527"/>
      <c r="J891" s="528"/>
      <c r="K891" s="512" t="e">
        <f t="shared" ref="K891" si="1684">INT(YEARFRAC(I891,AA891))</f>
        <v>#VALUE!</v>
      </c>
      <c r="L891" s="533">
        <f t="shared" ref="L891" ca="1" si="1685">INT(YEARFRAC(I891,TODAY()))</f>
        <v>121</v>
      </c>
      <c r="M891" s="536"/>
      <c r="N891" s="539"/>
      <c r="O891" s="540"/>
      <c r="P891" s="481"/>
      <c r="Q891" s="482"/>
      <c r="R891" s="515"/>
      <c r="S891" s="516"/>
      <c r="T891" s="487"/>
      <c r="U891" s="488"/>
      <c r="V891" s="491"/>
      <c r="W891" s="481"/>
      <c r="X891" s="494"/>
      <c r="Y891" s="482"/>
      <c r="Z891" s="497"/>
      <c r="AA891" s="500" t="s">
        <v>462</v>
      </c>
      <c r="AB891" s="501"/>
      <c r="AC891" s="506" t="s">
        <v>257</v>
      </c>
      <c r="AD891" s="507"/>
      <c r="AE891" s="507"/>
      <c r="AF891" s="510"/>
      <c r="AG891" s="510"/>
      <c r="AH891" s="510"/>
      <c r="AI891" s="510"/>
      <c r="AJ891" s="510"/>
      <c r="AK891" s="510"/>
      <c r="AL891" s="510"/>
      <c r="AM891" s="510"/>
      <c r="AN891" s="510"/>
      <c r="AO891" s="510"/>
      <c r="AP891" s="510"/>
      <c r="AQ891" s="465"/>
      <c r="AR891" s="467">
        <f t="shared" ref="AR891" si="1686">SUM(AF891:AQ892)</f>
        <v>0</v>
      </c>
      <c r="AS891" s="119" t="s">
        <v>257</v>
      </c>
      <c r="AT891" s="120"/>
      <c r="AU891" s="120"/>
      <c r="AV891" s="120"/>
      <c r="AW891" s="121"/>
      <c r="AX891" s="125">
        <f t="shared" ref="AX891:AX893" si="1687">SUM(AT891:AW891)</f>
        <v>0</v>
      </c>
      <c r="AY891" s="141" t="s">
        <v>257</v>
      </c>
      <c r="AZ891" s="137"/>
      <c r="BA891" s="137"/>
      <c r="BB891" s="134">
        <f t="shared" ref="BB891:BB893" si="1688">AZ891-BA891</f>
        <v>0</v>
      </c>
      <c r="BC891" s="469" t="s">
        <v>258</v>
      </c>
      <c r="BD891" s="470"/>
      <c r="BE891" s="13"/>
      <c r="BF891" s="16"/>
      <c r="BG891" s="13"/>
      <c r="BH891" s="16"/>
      <c r="BI891" s="13"/>
      <c r="BJ891" s="16"/>
      <c r="BK891" s="13"/>
      <c r="BL891" s="16"/>
      <c r="BM891" s="13"/>
      <c r="BN891" s="16"/>
      <c r="BO891" s="13"/>
      <c r="BP891" s="16"/>
      <c r="BQ891" s="106">
        <f t="shared" si="1632"/>
        <v>0</v>
      </c>
      <c r="BR891" s="566"/>
      <c r="BS891" s="569"/>
      <c r="BT891" s="570"/>
      <c r="BU891" s="557"/>
      <c r="BV891" s="560"/>
      <c r="BW891" s="563"/>
      <c r="BX891" s="615"/>
    </row>
    <row r="892" spans="1:76" x14ac:dyDescent="0.25">
      <c r="A892" s="586"/>
      <c r="B892" s="590"/>
      <c r="C892" s="591"/>
      <c r="D892" s="605"/>
      <c r="E892" s="517"/>
      <c r="F892" s="518"/>
      <c r="G892" s="523"/>
      <c r="H892" s="524"/>
      <c r="I892" s="529"/>
      <c r="J892" s="530"/>
      <c r="K892" s="513"/>
      <c r="L892" s="534"/>
      <c r="M892" s="537"/>
      <c r="N892" s="541"/>
      <c r="O892" s="542"/>
      <c r="P892" s="483"/>
      <c r="Q892" s="484"/>
      <c r="R892" s="517"/>
      <c r="S892" s="518"/>
      <c r="T892" s="487"/>
      <c r="U892" s="488"/>
      <c r="V892" s="492"/>
      <c r="W892" s="483"/>
      <c r="X892" s="495"/>
      <c r="Y892" s="484"/>
      <c r="Z892" s="498"/>
      <c r="AA892" s="502"/>
      <c r="AB892" s="503"/>
      <c r="AC892" s="508"/>
      <c r="AD892" s="509"/>
      <c r="AE892" s="509"/>
      <c r="AF892" s="511"/>
      <c r="AG892" s="511"/>
      <c r="AH892" s="511"/>
      <c r="AI892" s="511"/>
      <c r="AJ892" s="511"/>
      <c r="AK892" s="511"/>
      <c r="AL892" s="511"/>
      <c r="AM892" s="511"/>
      <c r="AN892" s="511"/>
      <c r="AO892" s="511"/>
      <c r="AP892" s="511"/>
      <c r="AQ892" s="466"/>
      <c r="AR892" s="468"/>
      <c r="AS892" s="122" t="s">
        <v>259</v>
      </c>
      <c r="AT892" s="123"/>
      <c r="AU892" s="123"/>
      <c r="AV892" s="123"/>
      <c r="AW892" s="124"/>
      <c r="AX892" s="126">
        <f t="shared" si="1687"/>
        <v>0</v>
      </c>
      <c r="AY892" s="142" t="s">
        <v>259</v>
      </c>
      <c r="AZ892" s="138"/>
      <c r="BA892" s="138"/>
      <c r="BB892" s="135">
        <f t="shared" si="1688"/>
        <v>0</v>
      </c>
      <c r="BC892" s="474" t="s">
        <v>260</v>
      </c>
      <c r="BD892" s="475"/>
      <c r="BE892" s="14"/>
      <c r="BF892" s="17"/>
      <c r="BG892" s="14"/>
      <c r="BH892" s="17"/>
      <c r="BI892" s="14"/>
      <c r="BJ892" s="17"/>
      <c r="BK892" s="14"/>
      <c r="BL892" s="17"/>
      <c r="BM892" s="14"/>
      <c r="BN892" s="17"/>
      <c r="BO892" s="14"/>
      <c r="BP892" s="17"/>
      <c r="BQ892" s="107">
        <f t="shared" si="1632"/>
        <v>0</v>
      </c>
      <c r="BR892" s="567"/>
      <c r="BS892" s="571"/>
      <c r="BT892" s="572"/>
      <c r="BU892" s="558"/>
      <c r="BV892" s="561"/>
      <c r="BW892" s="564"/>
      <c r="BX892" s="616"/>
    </row>
    <row r="893" spans="1:76" ht="15.75" thickBot="1" x14ac:dyDescent="0.3">
      <c r="A893" s="586"/>
      <c r="B893" s="590"/>
      <c r="C893" s="591"/>
      <c r="D893" s="605"/>
      <c r="E893" s="517"/>
      <c r="F893" s="518"/>
      <c r="G893" s="523"/>
      <c r="H893" s="524"/>
      <c r="I893" s="529"/>
      <c r="J893" s="530"/>
      <c r="K893" s="513"/>
      <c r="L893" s="534"/>
      <c r="M893" s="537"/>
      <c r="N893" s="541"/>
      <c r="O893" s="542"/>
      <c r="P893" s="483"/>
      <c r="Q893" s="484"/>
      <c r="R893" s="517"/>
      <c r="S893" s="518"/>
      <c r="T893" s="487"/>
      <c r="U893" s="488"/>
      <c r="V893" s="492"/>
      <c r="W893" s="483"/>
      <c r="X893" s="495"/>
      <c r="Y893" s="484"/>
      <c r="Z893" s="498"/>
      <c r="AA893" s="502"/>
      <c r="AB893" s="503"/>
      <c r="AC893" s="471" t="s">
        <v>259</v>
      </c>
      <c r="AD893" s="472"/>
      <c r="AE893" s="473"/>
      <c r="AF893" s="100"/>
      <c r="AG893" s="100"/>
      <c r="AH893" s="100"/>
      <c r="AI893" s="100"/>
      <c r="AJ893" s="100"/>
      <c r="AK893" s="100"/>
      <c r="AL893" s="100"/>
      <c r="AM893" s="100"/>
      <c r="AN893" s="100"/>
      <c r="AO893" s="100"/>
      <c r="AP893" s="100"/>
      <c r="AQ893" s="101"/>
      <c r="AR893" s="104">
        <f t="shared" ref="AR893:AR894" si="1689">SUM(AF893:AQ893)</f>
        <v>0</v>
      </c>
      <c r="AS893" s="128" t="s">
        <v>261</v>
      </c>
      <c r="AT893" s="129"/>
      <c r="AU893" s="129"/>
      <c r="AV893" s="129"/>
      <c r="AW893" s="130"/>
      <c r="AX893" s="126">
        <f t="shared" si="1687"/>
        <v>0</v>
      </c>
      <c r="AY893" s="143" t="s">
        <v>261</v>
      </c>
      <c r="AZ893" s="139"/>
      <c r="BA893" s="139"/>
      <c r="BB893" s="136">
        <f t="shared" si="1688"/>
        <v>0</v>
      </c>
      <c r="BC893" s="474" t="s">
        <v>262</v>
      </c>
      <c r="BD893" s="475"/>
      <c r="BE893" s="14"/>
      <c r="BF893" s="17"/>
      <c r="BG893" s="14"/>
      <c r="BH893" s="17"/>
      <c r="BI893" s="14"/>
      <c r="BJ893" s="17"/>
      <c r="BK893" s="14"/>
      <c r="BL893" s="17"/>
      <c r="BM893" s="14"/>
      <c r="BN893" s="17"/>
      <c r="BO893" s="14"/>
      <c r="BP893" s="17"/>
      <c r="BQ893" s="108">
        <f t="shared" si="1632"/>
        <v>0</v>
      </c>
      <c r="BR893" s="567"/>
      <c r="BS893" s="571"/>
      <c r="BT893" s="572"/>
      <c r="BU893" s="558"/>
      <c r="BV893" s="561"/>
      <c r="BW893" s="564"/>
      <c r="BX893" s="616"/>
    </row>
    <row r="894" spans="1:76" ht="15.75" thickBot="1" x14ac:dyDescent="0.3">
      <c r="A894" s="587"/>
      <c r="B894" s="592"/>
      <c r="C894" s="593"/>
      <c r="D894" s="606"/>
      <c r="E894" s="519"/>
      <c r="F894" s="520"/>
      <c r="G894" s="525"/>
      <c r="H894" s="526"/>
      <c r="I894" s="531"/>
      <c r="J894" s="532"/>
      <c r="K894" s="514"/>
      <c r="L894" s="535"/>
      <c r="M894" s="538"/>
      <c r="N894" s="543"/>
      <c r="O894" s="544"/>
      <c r="P894" s="485"/>
      <c r="Q894" s="486"/>
      <c r="R894" s="519"/>
      <c r="S894" s="520"/>
      <c r="T894" s="489"/>
      <c r="U894" s="490"/>
      <c r="V894" s="493"/>
      <c r="W894" s="485"/>
      <c r="X894" s="496"/>
      <c r="Y894" s="486"/>
      <c r="Z894" s="499"/>
      <c r="AA894" s="504"/>
      <c r="AB894" s="505"/>
      <c r="AC894" s="476" t="s">
        <v>261</v>
      </c>
      <c r="AD894" s="477"/>
      <c r="AE894" s="478"/>
      <c r="AF894" s="102"/>
      <c r="AG894" s="102"/>
      <c r="AH894" s="102"/>
      <c r="AI894" s="102"/>
      <c r="AJ894" s="102"/>
      <c r="AK894" s="102"/>
      <c r="AL894" s="102"/>
      <c r="AM894" s="102"/>
      <c r="AN894" s="102"/>
      <c r="AO894" s="102"/>
      <c r="AP894" s="102"/>
      <c r="AQ894" s="103"/>
      <c r="AR894" s="105">
        <f t="shared" si="1689"/>
        <v>0</v>
      </c>
      <c r="AS894" s="131" t="s">
        <v>161</v>
      </c>
      <c r="AT894" s="132">
        <f t="shared" ref="AT894:AX894" si="1690">SUM(AT891:AT893)</f>
        <v>0</v>
      </c>
      <c r="AU894" s="132">
        <f t="shared" si="1690"/>
        <v>0</v>
      </c>
      <c r="AV894" s="132">
        <f t="shared" si="1690"/>
        <v>0</v>
      </c>
      <c r="AW894" s="133">
        <f t="shared" si="1690"/>
        <v>0</v>
      </c>
      <c r="AX894" s="127">
        <f t="shared" si="1690"/>
        <v>0</v>
      </c>
      <c r="AY894" s="144" t="s">
        <v>161</v>
      </c>
      <c r="AZ894" s="140">
        <f t="shared" ref="AZ894:BB894" si="1691">SUM(AZ891:AZ893)</f>
        <v>0</v>
      </c>
      <c r="BA894" s="140">
        <f t="shared" si="1691"/>
        <v>0</v>
      </c>
      <c r="BB894" s="140">
        <f t="shared" si="1691"/>
        <v>0</v>
      </c>
      <c r="BC894" s="479" t="s">
        <v>263</v>
      </c>
      <c r="BD894" s="480"/>
      <c r="BE894" s="15"/>
      <c r="BF894" s="18"/>
      <c r="BG894" s="15"/>
      <c r="BH894" s="18"/>
      <c r="BI894" s="15"/>
      <c r="BJ894" s="18"/>
      <c r="BK894" s="15"/>
      <c r="BL894" s="18"/>
      <c r="BM894" s="15"/>
      <c r="BN894" s="18"/>
      <c r="BO894" s="15"/>
      <c r="BP894" s="18"/>
      <c r="BQ894" s="109">
        <f t="shared" si="1632"/>
        <v>0</v>
      </c>
      <c r="BR894" s="568"/>
      <c r="BS894" s="573"/>
      <c r="BT894" s="574"/>
      <c r="BU894" s="559"/>
      <c r="BV894" s="562"/>
      <c r="BW894" s="565"/>
      <c r="BX894" s="617"/>
    </row>
    <row r="895" spans="1:76" ht="15.75" thickTop="1" x14ac:dyDescent="0.25">
      <c r="A895" s="585">
        <v>222</v>
      </c>
      <c r="B895" s="588"/>
      <c r="C895" s="589"/>
      <c r="D895" s="604"/>
      <c r="E895" s="515"/>
      <c r="F895" s="516"/>
      <c r="G895" s="521"/>
      <c r="H895" s="522"/>
      <c r="I895" s="527"/>
      <c r="J895" s="528"/>
      <c r="K895" s="512" t="e">
        <f t="shared" ref="K895" si="1692">INT(YEARFRAC(I895,AA895))</f>
        <v>#VALUE!</v>
      </c>
      <c r="L895" s="533">
        <f t="shared" ref="L895" ca="1" si="1693">INT(YEARFRAC(I895,TODAY()))</f>
        <v>121</v>
      </c>
      <c r="M895" s="536"/>
      <c r="N895" s="539"/>
      <c r="O895" s="540"/>
      <c r="P895" s="481"/>
      <c r="Q895" s="482"/>
      <c r="R895" s="515"/>
      <c r="S895" s="516"/>
      <c r="T895" s="487"/>
      <c r="U895" s="488"/>
      <c r="V895" s="491"/>
      <c r="W895" s="481"/>
      <c r="X895" s="494"/>
      <c r="Y895" s="482"/>
      <c r="Z895" s="497"/>
      <c r="AA895" s="500" t="s">
        <v>463</v>
      </c>
      <c r="AB895" s="501"/>
      <c r="AC895" s="506" t="s">
        <v>257</v>
      </c>
      <c r="AD895" s="507"/>
      <c r="AE895" s="507"/>
      <c r="AF895" s="510"/>
      <c r="AG895" s="510"/>
      <c r="AH895" s="510"/>
      <c r="AI895" s="510"/>
      <c r="AJ895" s="510"/>
      <c r="AK895" s="510"/>
      <c r="AL895" s="510"/>
      <c r="AM895" s="510"/>
      <c r="AN895" s="510"/>
      <c r="AO895" s="510"/>
      <c r="AP895" s="510"/>
      <c r="AQ895" s="465"/>
      <c r="AR895" s="467">
        <f t="shared" ref="AR895" si="1694">SUM(AF895:AQ896)</f>
        <v>0</v>
      </c>
      <c r="AS895" s="119" t="s">
        <v>257</v>
      </c>
      <c r="AT895" s="120"/>
      <c r="AU895" s="120"/>
      <c r="AV895" s="120"/>
      <c r="AW895" s="121"/>
      <c r="AX895" s="125">
        <f t="shared" ref="AX895:AX897" si="1695">SUM(AT895:AW895)</f>
        <v>0</v>
      </c>
      <c r="AY895" s="141" t="s">
        <v>257</v>
      </c>
      <c r="AZ895" s="137"/>
      <c r="BA895" s="137"/>
      <c r="BB895" s="134">
        <f t="shared" ref="BB895:BB897" si="1696">AZ895-BA895</f>
        <v>0</v>
      </c>
      <c r="BC895" s="469" t="s">
        <v>258</v>
      </c>
      <c r="BD895" s="470"/>
      <c r="BE895" s="13"/>
      <c r="BF895" s="16"/>
      <c r="BG895" s="13"/>
      <c r="BH895" s="16"/>
      <c r="BI895" s="13"/>
      <c r="BJ895" s="16"/>
      <c r="BK895" s="13"/>
      <c r="BL895" s="16"/>
      <c r="BM895" s="13"/>
      <c r="BN895" s="16"/>
      <c r="BO895" s="13"/>
      <c r="BP895" s="16"/>
      <c r="BQ895" s="106">
        <f t="shared" si="1632"/>
        <v>0</v>
      </c>
      <c r="BR895" s="566"/>
      <c r="BS895" s="569"/>
      <c r="BT895" s="570"/>
      <c r="BU895" s="557"/>
      <c r="BV895" s="560"/>
      <c r="BW895" s="563"/>
      <c r="BX895" s="615"/>
    </row>
    <row r="896" spans="1:76" x14ac:dyDescent="0.25">
      <c r="A896" s="586"/>
      <c r="B896" s="590"/>
      <c r="C896" s="591"/>
      <c r="D896" s="605"/>
      <c r="E896" s="517"/>
      <c r="F896" s="518"/>
      <c r="G896" s="523"/>
      <c r="H896" s="524"/>
      <c r="I896" s="529"/>
      <c r="J896" s="530"/>
      <c r="K896" s="513"/>
      <c r="L896" s="534"/>
      <c r="M896" s="537"/>
      <c r="N896" s="541"/>
      <c r="O896" s="542"/>
      <c r="P896" s="483"/>
      <c r="Q896" s="484"/>
      <c r="R896" s="517"/>
      <c r="S896" s="518"/>
      <c r="T896" s="487"/>
      <c r="U896" s="488"/>
      <c r="V896" s="492"/>
      <c r="W896" s="483"/>
      <c r="X896" s="495"/>
      <c r="Y896" s="484"/>
      <c r="Z896" s="498"/>
      <c r="AA896" s="502"/>
      <c r="AB896" s="503"/>
      <c r="AC896" s="508"/>
      <c r="AD896" s="509"/>
      <c r="AE896" s="509"/>
      <c r="AF896" s="511"/>
      <c r="AG896" s="511"/>
      <c r="AH896" s="511"/>
      <c r="AI896" s="511"/>
      <c r="AJ896" s="511"/>
      <c r="AK896" s="511"/>
      <c r="AL896" s="511"/>
      <c r="AM896" s="511"/>
      <c r="AN896" s="511"/>
      <c r="AO896" s="511"/>
      <c r="AP896" s="511"/>
      <c r="AQ896" s="466"/>
      <c r="AR896" s="468"/>
      <c r="AS896" s="122" t="s">
        <v>259</v>
      </c>
      <c r="AT896" s="123"/>
      <c r="AU896" s="123"/>
      <c r="AV896" s="123"/>
      <c r="AW896" s="124"/>
      <c r="AX896" s="126">
        <f t="shared" si="1695"/>
        <v>0</v>
      </c>
      <c r="AY896" s="142" t="s">
        <v>259</v>
      </c>
      <c r="AZ896" s="138"/>
      <c r="BA896" s="138"/>
      <c r="BB896" s="135">
        <f t="shared" si="1696"/>
        <v>0</v>
      </c>
      <c r="BC896" s="474" t="s">
        <v>260</v>
      </c>
      <c r="BD896" s="475"/>
      <c r="BE896" s="14"/>
      <c r="BF896" s="17"/>
      <c r="BG896" s="14"/>
      <c r="BH896" s="17"/>
      <c r="BI896" s="14"/>
      <c r="BJ896" s="17"/>
      <c r="BK896" s="14"/>
      <c r="BL896" s="17"/>
      <c r="BM896" s="14"/>
      <c r="BN896" s="17"/>
      <c r="BO896" s="14"/>
      <c r="BP896" s="17"/>
      <c r="BQ896" s="107">
        <f t="shared" si="1632"/>
        <v>0</v>
      </c>
      <c r="BR896" s="567"/>
      <c r="BS896" s="571"/>
      <c r="BT896" s="572"/>
      <c r="BU896" s="558"/>
      <c r="BV896" s="561"/>
      <c r="BW896" s="564"/>
      <c r="BX896" s="616"/>
    </row>
    <row r="897" spans="1:76" ht="15.75" thickBot="1" x14ac:dyDescent="0.3">
      <c r="A897" s="586"/>
      <c r="B897" s="590"/>
      <c r="C897" s="591"/>
      <c r="D897" s="605"/>
      <c r="E897" s="517"/>
      <c r="F897" s="518"/>
      <c r="G897" s="523"/>
      <c r="H897" s="524"/>
      <c r="I897" s="529"/>
      <c r="J897" s="530"/>
      <c r="K897" s="513"/>
      <c r="L897" s="534"/>
      <c r="M897" s="537"/>
      <c r="N897" s="541"/>
      <c r="O897" s="542"/>
      <c r="P897" s="483"/>
      <c r="Q897" s="484"/>
      <c r="R897" s="517"/>
      <c r="S897" s="518"/>
      <c r="T897" s="487"/>
      <c r="U897" s="488"/>
      <c r="V897" s="492"/>
      <c r="W897" s="483"/>
      <c r="X897" s="495"/>
      <c r="Y897" s="484"/>
      <c r="Z897" s="498"/>
      <c r="AA897" s="502"/>
      <c r="AB897" s="503"/>
      <c r="AC897" s="471" t="s">
        <v>259</v>
      </c>
      <c r="AD897" s="472"/>
      <c r="AE897" s="473"/>
      <c r="AF897" s="100"/>
      <c r="AG897" s="100"/>
      <c r="AH897" s="100"/>
      <c r="AI897" s="100"/>
      <c r="AJ897" s="100"/>
      <c r="AK897" s="100"/>
      <c r="AL897" s="100"/>
      <c r="AM897" s="100"/>
      <c r="AN897" s="100"/>
      <c r="AO897" s="100"/>
      <c r="AP897" s="100"/>
      <c r="AQ897" s="101"/>
      <c r="AR897" s="104">
        <f t="shared" ref="AR897:AR898" si="1697">SUM(AF897:AQ897)</f>
        <v>0</v>
      </c>
      <c r="AS897" s="128" t="s">
        <v>261</v>
      </c>
      <c r="AT897" s="129"/>
      <c r="AU897" s="129"/>
      <c r="AV897" s="129"/>
      <c r="AW897" s="130"/>
      <c r="AX897" s="126">
        <f t="shared" si="1695"/>
        <v>0</v>
      </c>
      <c r="AY897" s="143" t="s">
        <v>261</v>
      </c>
      <c r="AZ897" s="139"/>
      <c r="BA897" s="139"/>
      <c r="BB897" s="136">
        <f t="shared" si="1696"/>
        <v>0</v>
      </c>
      <c r="BC897" s="474" t="s">
        <v>262</v>
      </c>
      <c r="BD897" s="475"/>
      <c r="BE897" s="14"/>
      <c r="BF897" s="17"/>
      <c r="BG897" s="14"/>
      <c r="BH897" s="17"/>
      <c r="BI897" s="14"/>
      <c r="BJ897" s="17"/>
      <c r="BK897" s="14"/>
      <c r="BL897" s="17"/>
      <c r="BM897" s="14"/>
      <c r="BN897" s="17"/>
      <c r="BO897" s="14"/>
      <c r="BP897" s="17"/>
      <c r="BQ897" s="108">
        <f t="shared" si="1632"/>
        <v>0</v>
      </c>
      <c r="BR897" s="567"/>
      <c r="BS897" s="571"/>
      <c r="BT897" s="572"/>
      <c r="BU897" s="558"/>
      <c r="BV897" s="561"/>
      <c r="BW897" s="564"/>
      <c r="BX897" s="616"/>
    </row>
    <row r="898" spans="1:76" ht="15.75" thickBot="1" x14ac:dyDescent="0.3">
      <c r="A898" s="587"/>
      <c r="B898" s="592"/>
      <c r="C898" s="593"/>
      <c r="D898" s="606"/>
      <c r="E898" s="519"/>
      <c r="F898" s="520"/>
      <c r="G898" s="525"/>
      <c r="H898" s="526"/>
      <c r="I898" s="531"/>
      <c r="J898" s="532"/>
      <c r="K898" s="514"/>
      <c r="L898" s="535"/>
      <c r="M898" s="538"/>
      <c r="N898" s="543"/>
      <c r="O898" s="544"/>
      <c r="P898" s="485"/>
      <c r="Q898" s="486"/>
      <c r="R898" s="519"/>
      <c r="S898" s="520"/>
      <c r="T898" s="489"/>
      <c r="U898" s="490"/>
      <c r="V898" s="493"/>
      <c r="W898" s="485"/>
      <c r="X898" s="496"/>
      <c r="Y898" s="486"/>
      <c r="Z898" s="499"/>
      <c r="AA898" s="504"/>
      <c r="AB898" s="505"/>
      <c r="AC898" s="476" t="s">
        <v>261</v>
      </c>
      <c r="AD898" s="477"/>
      <c r="AE898" s="478"/>
      <c r="AF898" s="102"/>
      <c r="AG898" s="102"/>
      <c r="AH898" s="102"/>
      <c r="AI898" s="102"/>
      <c r="AJ898" s="102"/>
      <c r="AK898" s="102"/>
      <c r="AL898" s="102"/>
      <c r="AM898" s="102"/>
      <c r="AN898" s="102"/>
      <c r="AO898" s="102"/>
      <c r="AP898" s="102"/>
      <c r="AQ898" s="103"/>
      <c r="AR898" s="105">
        <f t="shared" si="1697"/>
        <v>0</v>
      </c>
      <c r="AS898" s="131" t="s">
        <v>161</v>
      </c>
      <c r="AT898" s="132">
        <f t="shared" ref="AT898:AX898" si="1698">SUM(AT895:AT897)</f>
        <v>0</v>
      </c>
      <c r="AU898" s="132">
        <f t="shared" si="1698"/>
        <v>0</v>
      </c>
      <c r="AV898" s="132">
        <f t="shared" si="1698"/>
        <v>0</v>
      </c>
      <c r="AW898" s="133">
        <f t="shared" si="1698"/>
        <v>0</v>
      </c>
      <c r="AX898" s="127">
        <f t="shared" si="1698"/>
        <v>0</v>
      </c>
      <c r="AY898" s="144" t="s">
        <v>161</v>
      </c>
      <c r="AZ898" s="140">
        <f t="shared" ref="AZ898:BB898" si="1699">SUM(AZ895:AZ897)</f>
        <v>0</v>
      </c>
      <c r="BA898" s="140">
        <f t="shared" si="1699"/>
        <v>0</v>
      </c>
      <c r="BB898" s="140">
        <f t="shared" si="1699"/>
        <v>0</v>
      </c>
      <c r="BC898" s="479" t="s">
        <v>263</v>
      </c>
      <c r="BD898" s="480"/>
      <c r="BE898" s="15"/>
      <c r="BF898" s="18"/>
      <c r="BG898" s="15"/>
      <c r="BH898" s="18"/>
      <c r="BI898" s="15"/>
      <c r="BJ898" s="18"/>
      <c r="BK898" s="15"/>
      <c r="BL898" s="18"/>
      <c r="BM898" s="15"/>
      <c r="BN898" s="18"/>
      <c r="BO898" s="15"/>
      <c r="BP898" s="18"/>
      <c r="BQ898" s="109">
        <f t="shared" si="1632"/>
        <v>0</v>
      </c>
      <c r="BR898" s="568"/>
      <c r="BS898" s="573"/>
      <c r="BT898" s="574"/>
      <c r="BU898" s="559"/>
      <c r="BV898" s="562"/>
      <c r="BW898" s="565"/>
      <c r="BX898" s="617"/>
    </row>
    <row r="899" spans="1:76" ht="15.75" thickTop="1" x14ac:dyDescent="0.25">
      <c r="A899" s="585">
        <v>223</v>
      </c>
      <c r="B899" s="588"/>
      <c r="C899" s="589"/>
      <c r="D899" s="604"/>
      <c r="E899" s="515"/>
      <c r="F899" s="516"/>
      <c r="G899" s="521"/>
      <c r="H899" s="522"/>
      <c r="I899" s="527"/>
      <c r="J899" s="528"/>
      <c r="K899" s="512" t="e">
        <f t="shared" ref="K899" si="1700">INT(YEARFRAC(I899,AA899))</f>
        <v>#VALUE!</v>
      </c>
      <c r="L899" s="533">
        <f t="shared" ref="L899" ca="1" si="1701">INT(YEARFRAC(I899,TODAY()))</f>
        <v>121</v>
      </c>
      <c r="M899" s="536"/>
      <c r="N899" s="539"/>
      <c r="O899" s="540"/>
      <c r="P899" s="481"/>
      <c r="Q899" s="482"/>
      <c r="R899" s="515"/>
      <c r="S899" s="516"/>
      <c r="T899" s="487"/>
      <c r="U899" s="488"/>
      <c r="V899" s="491"/>
      <c r="W899" s="481"/>
      <c r="X899" s="494"/>
      <c r="Y899" s="482"/>
      <c r="Z899" s="497"/>
      <c r="AA899" s="500" t="s">
        <v>464</v>
      </c>
      <c r="AB899" s="501"/>
      <c r="AC899" s="506" t="s">
        <v>257</v>
      </c>
      <c r="AD899" s="507"/>
      <c r="AE899" s="507"/>
      <c r="AF899" s="510"/>
      <c r="AG899" s="510"/>
      <c r="AH899" s="510"/>
      <c r="AI899" s="510"/>
      <c r="AJ899" s="510"/>
      <c r="AK899" s="510"/>
      <c r="AL899" s="510"/>
      <c r="AM899" s="510"/>
      <c r="AN899" s="510"/>
      <c r="AO899" s="510"/>
      <c r="AP899" s="510"/>
      <c r="AQ899" s="465"/>
      <c r="AR899" s="467">
        <f t="shared" ref="AR899" si="1702">SUM(AF899:AQ900)</f>
        <v>0</v>
      </c>
      <c r="AS899" s="119" t="s">
        <v>257</v>
      </c>
      <c r="AT899" s="120"/>
      <c r="AU899" s="120"/>
      <c r="AV899" s="120"/>
      <c r="AW899" s="121"/>
      <c r="AX899" s="125">
        <f t="shared" ref="AX899:AX901" si="1703">SUM(AT899:AW899)</f>
        <v>0</v>
      </c>
      <c r="AY899" s="141" t="s">
        <v>257</v>
      </c>
      <c r="AZ899" s="137"/>
      <c r="BA899" s="137"/>
      <c r="BB899" s="134">
        <f t="shared" ref="BB899:BB901" si="1704">AZ899-BA899</f>
        <v>0</v>
      </c>
      <c r="BC899" s="469" t="s">
        <v>258</v>
      </c>
      <c r="BD899" s="470"/>
      <c r="BE899" s="13"/>
      <c r="BF899" s="16"/>
      <c r="BG899" s="13"/>
      <c r="BH899" s="16"/>
      <c r="BI899" s="13"/>
      <c r="BJ899" s="16"/>
      <c r="BK899" s="13"/>
      <c r="BL899" s="16"/>
      <c r="BM899" s="13"/>
      <c r="BN899" s="16"/>
      <c r="BO899" s="13"/>
      <c r="BP899" s="16"/>
      <c r="BQ899" s="106">
        <f t="shared" si="1632"/>
        <v>0</v>
      </c>
      <c r="BR899" s="566"/>
      <c r="BS899" s="569"/>
      <c r="BT899" s="570"/>
      <c r="BU899" s="557"/>
      <c r="BV899" s="560"/>
      <c r="BW899" s="563"/>
      <c r="BX899" s="615"/>
    </row>
    <row r="900" spans="1:76" x14ac:dyDescent="0.25">
      <c r="A900" s="586"/>
      <c r="B900" s="590"/>
      <c r="C900" s="591"/>
      <c r="D900" s="605"/>
      <c r="E900" s="517"/>
      <c r="F900" s="518"/>
      <c r="G900" s="523"/>
      <c r="H900" s="524"/>
      <c r="I900" s="529"/>
      <c r="J900" s="530"/>
      <c r="K900" s="513"/>
      <c r="L900" s="534"/>
      <c r="M900" s="537"/>
      <c r="N900" s="541"/>
      <c r="O900" s="542"/>
      <c r="P900" s="483"/>
      <c r="Q900" s="484"/>
      <c r="R900" s="517"/>
      <c r="S900" s="518"/>
      <c r="T900" s="487"/>
      <c r="U900" s="488"/>
      <c r="V900" s="492"/>
      <c r="W900" s="483"/>
      <c r="X900" s="495"/>
      <c r="Y900" s="484"/>
      <c r="Z900" s="498"/>
      <c r="AA900" s="502"/>
      <c r="AB900" s="503"/>
      <c r="AC900" s="508"/>
      <c r="AD900" s="509"/>
      <c r="AE900" s="509"/>
      <c r="AF900" s="511"/>
      <c r="AG900" s="511"/>
      <c r="AH900" s="511"/>
      <c r="AI900" s="511"/>
      <c r="AJ900" s="511"/>
      <c r="AK900" s="511"/>
      <c r="AL900" s="511"/>
      <c r="AM900" s="511"/>
      <c r="AN900" s="511"/>
      <c r="AO900" s="511"/>
      <c r="AP900" s="511"/>
      <c r="AQ900" s="466"/>
      <c r="AR900" s="468"/>
      <c r="AS900" s="122" t="s">
        <v>259</v>
      </c>
      <c r="AT900" s="123"/>
      <c r="AU900" s="123"/>
      <c r="AV900" s="123"/>
      <c r="AW900" s="124"/>
      <c r="AX900" s="126">
        <f t="shared" si="1703"/>
        <v>0</v>
      </c>
      <c r="AY900" s="142" t="s">
        <v>259</v>
      </c>
      <c r="AZ900" s="138"/>
      <c r="BA900" s="138"/>
      <c r="BB900" s="135">
        <f t="shared" si="1704"/>
        <v>0</v>
      </c>
      <c r="BC900" s="474" t="s">
        <v>260</v>
      </c>
      <c r="BD900" s="475"/>
      <c r="BE900" s="14"/>
      <c r="BF900" s="17"/>
      <c r="BG900" s="14"/>
      <c r="BH900" s="17"/>
      <c r="BI900" s="14"/>
      <c r="BJ900" s="17"/>
      <c r="BK900" s="14"/>
      <c r="BL900" s="17"/>
      <c r="BM900" s="14"/>
      <c r="BN900" s="17"/>
      <c r="BO900" s="14"/>
      <c r="BP900" s="17"/>
      <c r="BQ900" s="107">
        <f t="shared" si="1632"/>
        <v>0</v>
      </c>
      <c r="BR900" s="567"/>
      <c r="BS900" s="571"/>
      <c r="BT900" s="572"/>
      <c r="BU900" s="558"/>
      <c r="BV900" s="561"/>
      <c r="BW900" s="564"/>
      <c r="BX900" s="616"/>
    </row>
    <row r="901" spans="1:76" ht="15.75" thickBot="1" x14ac:dyDescent="0.3">
      <c r="A901" s="586"/>
      <c r="B901" s="590"/>
      <c r="C901" s="591"/>
      <c r="D901" s="605"/>
      <c r="E901" s="517"/>
      <c r="F901" s="518"/>
      <c r="G901" s="523"/>
      <c r="H901" s="524"/>
      <c r="I901" s="529"/>
      <c r="J901" s="530"/>
      <c r="K901" s="513"/>
      <c r="L901" s="534"/>
      <c r="M901" s="537"/>
      <c r="N901" s="541"/>
      <c r="O901" s="542"/>
      <c r="P901" s="483"/>
      <c r="Q901" s="484"/>
      <c r="R901" s="517"/>
      <c r="S901" s="518"/>
      <c r="T901" s="487"/>
      <c r="U901" s="488"/>
      <c r="V901" s="492"/>
      <c r="W901" s="483"/>
      <c r="X901" s="495"/>
      <c r="Y901" s="484"/>
      <c r="Z901" s="498"/>
      <c r="AA901" s="502"/>
      <c r="AB901" s="503"/>
      <c r="AC901" s="471" t="s">
        <v>259</v>
      </c>
      <c r="AD901" s="472"/>
      <c r="AE901" s="473"/>
      <c r="AF901" s="100"/>
      <c r="AG901" s="100"/>
      <c r="AH901" s="100"/>
      <c r="AI901" s="100"/>
      <c r="AJ901" s="100"/>
      <c r="AK901" s="100"/>
      <c r="AL901" s="100"/>
      <c r="AM901" s="100"/>
      <c r="AN901" s="100"/>
      <c r="AO901" s="100"/>
      <c r="AP901" s="100"/>
      <c r="AQ901" s="101"/>
      <c r="AR901" s="104">
        <f t="shared" ref="AR901:AR902" si="1705">SUM(AF901:AQ901)</f>
        <v>0</v>
      </c>
      <c r="AS901" s="128" t="s">
        <v>261</v>
      </c>
      <c r="AT901" s="129"/>
      <c r="AU901" s="129"/>
      <c r="AV901" s="129"/>
      <c r="AW901" s="130"/>
      <c r="AX901" s="126">
        <f t="shared" si="1703"/>
        <v>0</v>
      </c>
      <c r="AY901" s="143" t="s">
        <v>261</v>
      </c>
      <c r="AZ901" s="139"/>
      <c r="BA901" s="139"/>
      <c r="BB901" s="136">
        <f t="shared" si="1704"/>
        <v>0</v>
      </c>
      <c r="BC901" s="474" t="s">
        <v>262</v>
      </c>
      <c r="BD901" s="475"/>
      <c r="BE901" s="14"/>
      <c r="BF901" s="17"/>
      <c r="BG901" s="14"/>
      <c r="BH901" s="17"/>
      <c r="BI901" s="14"/>
      <c r="BJ901" s="17"/>
      <c r="BK901" s="14"/>
      <c r="BL901" s="17"/>
      <c r="BM901" s="14"/>
      <c r="BN901" s="17"/>
      <c r="BO901" s="14"/>
      <c r="BP901" s="17"/>
      <c r="BQ901" s="108">
        <f t="shared" si="1632"/>
        <v>0</v>
      </c>
      <c r="BR901" s="567"/>
      <c r="BS901" s="571"/>
      <c r="BT901" s="572"/>
      <c r="BU901" s="558"/>
      <c r="BV901" s="561"/>
      <c r="BW901" s="564"/>
      <c r="BX901" s="616"/>
    </row>
    <row r="902" spans="1:76" ht="15.75" thickBot="1" x14ac:dyDescent="0.3">
      <c r="A902" s="587"/>
      <c r="B902" s="592"/>
      <c r="C902" s="593"/>
      <c r="D902" s="606"/>
      <c r="E902" s="519"/>
      <c r="F902" s="520"/>
      <c r="G902" s="525"/>
      <c r="H902" s="526"/>
      <c r="I902" s="531"/>
      <c r="J902" s="532"/>
      <c r="K902" s="514"/>
      <c r="L902" s="535"/>
      <c r="M902" s="538"/>
      <c r="N902" s="543"/>
      <c r="O902" s="544"/>
      <c r="P902" s="485"/>
      <c r="Q902" s="486"/>
      <c r="R902" s="519"/>
      <c r="S902" s="520"/>
      <c r="T902" s="489"/>
      <c r="U902" s="490"/>
      <c r="V902" s="493"/>
      <c r="W902" s="485"/>
      <c r="X902" s="496"/>
      <c r="Y902" s="486"/>
      <c r="Z902" s="499"/>
      <c r="AA902" s="504"/>
      <c r="AB902" s="505"/>
      <c r="AC902" s="476" t="s">
        <v>261</v>
      </c>
      <c r="AD902" s="477"/>
      <c r="AE902" s="478"/>
      <c r="AF902" s="102"/>
      <c r="AG902" s="102"/>
      <c r="AH902" s="102"/>
      <c r="AI902" s="102"/>
      <c r="AJ902" s="102"/>
      <c r="AK902" s="102"/>
      <c r="AL902" s="102"/>
      <c r="AM902" s="102"/>
      <c r="AN902" s="102"/>
      <c r="AO902" s="102"/>
      <c r="AP902" s="102"/>
      <c r="AQ902" s="103"/>
      <c r="AR902" s="105">
        <f t="shared" si="1705"/>
        <v>0</v>
      </c>
      <c r="AS902" s="131" t="s">
        <v>161</v>
      </c>
      <c r="AT902" s="132">
        <f t="shared" ref="AT902:AX902" si="1706">SUM(AT899:AT901)</f>
        <v>0</v>
      </c>
      <c r="AU902" s="132">
        <f t="shared" si="1706"/>
        <v>0</v>
      </c>
      <c r="AV902" s="132">
        <f t="shared" si="1706"/>
        <v>0</v>
      </c>
      <c r="AW902" s="133">
        <f t="shared" si="1706"/>
        <v>0</v>
      </c>
      <c r="AX902" s="127">
        <f t="shared" si="1706"/>
        <v>0</v>
      </c>
      <c r="AY902" s="144" t="s">
        <v>161</v>
      </c>
      <c r="AZ902" s="140">
        <f t="shared" ref="AZ902:BB902" si="1707">SUM(AZ899:AZ901)</f>
        <v>0</v>
      </c>
      <c r="BA902" s="140">
        <f t="shared" si="1707"/>
        <v>0</v>
      </c>
      <c r="BB902" s="140">
        <f t="shared" si="1707"/>
        <v>0</v>
      </c>
      <c r="BC902" s="479" t="s">
        <v>263</v>
      </c>
      <c r="BD902" s="480"/>
      <c r="BE902" s="15"/>
      <c r="BF902" s="18"/>
      <c r="BG902" s="15"/>
      <c r="BH902" s="18"/>
      <c r="BI902" s="15"/>
      <c r="BJ902" s="18"/>
      <c r="BK902" s="15"/>
      <c r="BL902" s="18"/>
      <c r="BM902" s="15"/>
      <c r="BN902" s="18"/>
      <c r="BO902" s="15"/>
      <c r="BP902" s="18"/>
      <c r="BQ902" s="109">
        <f t="shared" si="1632"/>
        <v>0</v>
      </c>
      <c r="BR902" s="568"/>
      <c r="BS902" s="573"/>
      <c r="BT902" s="574"/>
      <c r="BU902" s="559"/>
      <c r="BV902" s="562"/>
      <c r="BW902" s="565"/>
      <c r="BX902" s="617"/>
    </row>
    <row r="903" spans="1:76" ht="15.75" thickTop="1" x14ac:dyDescent="0.25">
      <c r="A903" s="585">
        <v>224</v>
      </c>
      <c r="B903" s="588"/>
      <c r="C903" s="589"/>
      <c r="D903" s="604"/>
      <c r="E903" s="515"/>
      <c r="F903" s="516"/>
      <c r="G903" s="521"/>
      <c r="H903" s="522"/>
      <c r="I903" s="527"/>
      <c r="J903" s="528"/>
      <c r="K903" s="512" t="e">
        <f t="shared" ref="K903" si="1708">INT(YEARFRAC(I903,AA903))</f>
        <v>#VALUE!</v>
      </c>
      <c r="L903" s="533">
        <f t="shared" ref="L903" ca="1" si="1709">INT(YEARFRAC(I903,TODAY()))</f>
        <v>121</v>
      </c>
      <c r="M903" s="536"/>
      <c r="N903" s="539"/>
      <c r="O903" s="540"/>
      <c r="P903" s="481"/>
      <c r="Q903" s="482"/>
      <c r="R903" s="515"/>
      <c r="S903" s="516"/>
      <c r="T903" s="487"/>
      <c r="U903" s="488"/>
      <c r="V903" s="491"/>
      <c r="W903" s="481"/>
      <c r="X903" s="494"/>
      <c r="Y903" s="482"/>
      <c r="Z903" s="497"/>
      <c r="AA903" s="500" t="s">
        <v>465</v>
      </c>
      <c r="AB903" s="501"/>
      <c r="AC903" s="506" t="s">
        <v>257</v>
      </c>
      <c r="AD903" s="507"/>
      <c r="AE903" s="507"/>
      <c r="AF903" s="510"/>
      <c r="AG903" s="510"/>
      <c r="AH903" s="510"/>
      <c r="AI903" s="510"/>
      <c r="AJ903" s="510"/>
      <c r="AK903" s="510"/>
      <c r="AL903" s="510"/>
      <c r="AM903" s="510"/>
      <c r="AN903" s="510"/>
      <c r="AO903" s="510"/>
      <c r="AP903" s="510"/>
      <c r="AQ903" s="465"/>
      <c r="AR903" s="467">
        <f t="shared" ref="AR903" si="1710">SUM(AF903:AQ904)</f>
        <v>0</v>
      </c>
      <c r="AS903" s="119" t="s">
        <v>257</v>
      </c>
      <c r="AT903" s="120"/>
      <c r="AU903" s="120"/>
      <c r="AV903" s="120"/>
      <c r="AW903" s="121"/>
      <c r="AX903" s="125">
        <f t="shared" ref="AX903:AX905" si="1711">SUM(AT903:AW903)</f>
        <v>0</v>
      </c>
      <c r="AY903" s="141" t="s">
        <v>257</v>
      </c>
      <c r="AZ903" s="137"/>
      <c r="BA903" s="137"/>
      <c r="BB903" s="134">
        <f t="shared" ref="BB903:BB905" si="1712">AZ903-BA903</f>
        <v>0</v>
      </c>
      <c r="BC903" s="469" t="s">
        <v>258</v>
      </c>
      <c r="BD903" s="470"/>
      <c r="BE903" s="13"/>
      <c r="BF903" s="16"/>
      <c r="BG903" s="13"/>
      <c r="BH903" s="16"/>
      <c r="BI903" s="13"/>
      <c r="BJ903" s="16"/>
      <c r="BK903" s="13"/>
      <c r="BL903" s="16"/>
      <c r="BM903" s="13"/>
      <c r="BN903" s="16"/>
      <c r="BO903" s="13"/>
      <c r="BP903" s="16"/>
      <c r="BQ903" s="106">
        <f t="shared" si="1632"/>
        <v>0</v>
      </c>
      <c r="BR903" s="566"/>
      <c r="BS903" s="569"/>
      <c r="BT903" s="570"/>
      <c r="BU903" s="557"/>
      <c r="BV903" s="560"/>
      <c r="BW903" s="563"/>
      <c r="BX903" s="615"/>
    </row>
    <row r="904" spans="1:76" x14ac:dyDescent="0.25">
      <c r="A904" s="586"/>
      <c r="B904" s="590"/>
      <c r="C904" s="591"/>
      <c r="D904" s="605"/>
      <c r="E904" s="517"/>
      <c r="F904" s="518"/>
      <c r="G904" s="523"/>
      <c r="H904" s="524"/>
      <c r="I904" s="529"/>
      <c r="J904" s="530"/>
      <c r="K904" s="513"/>
      <c r="L904" s="534"/>
      <c r="M904" s="537"/>
      <c r="N904" s="541"/>
      <c r="O904" s="542"/>
      <c r="P904" s="483"/>
      <c r="Q904" s="484"/>
      <c r="R904" s="517"/>
      <c r="S904" s="518"/>
      <c r="T904" s="487"/>
      <c r="U904" s="488"/>
      <c r="V904" s="492"/>
      <c r="W904" s="483"/>
      <c r="X904" s="495"/>
      <c r="Y904" s="484"/>
      <c r="Z904" s="498"/>
      <c r="AA904" s="502"/>
      <c r="AB904" s="503"/>
      <c r="AC904" s="508"/>
      <c r="AD904" s="509"/>
      <c r="AE904" s="509"/>
      <c r="AF904" s="511"/>
      <c r="AG904" s="511"/>
      <c r="AH904" s="511"/>
      <c r="AI904" s="511"/>
      <c r="AJ904" s="511"/>
      <c r="AK904" s="511"/>
      <c r="AL904" s="511"/>
      <c r="AM904" s="511"/>
      <c r="AN904" s="511"/>
      <c r="AO904" s="511"/>
      <c r="AP904" s="511"/>
      <c r="AQ904" s="466"/>
      <c r="AR904" s="468"/>
      <c r="AS904" s="122" t="s">
        <v>259</v>
      </c>
      <c r="AT904" s="123"/>
      <c r="AU904" s="123"/>
      <c r="AV904" s="123"/>
      <c r="AW904" s="124"/>
      <c r="AX904" s="126">
        <f t="shared" si="1711"/>
        <v>0</v>
      </c>
      <c r="AY904" s="142" t="s">
        <v>259</v>
      </c>
      <c r="AZ904" s="138"/>
      <c r="BA904" s="138"/>
      <c r="BB904" s="135">
        <f t="shared" si="1712"/>
        <v>0</v>
      </c>
      <c r="BC904" s="474" t="s">
        <v>260</v>
      </c>
      <c r="BD904" s="475"/>
      <c r="BE904" s="14"/>
      <c r="BF904" s="17"/>
      <c r="BG904" s="14"/>
      <c r="BH904" s="17"/>
      <c r="BI904" s="14"/>
      <c r="BJ904" s="17"/>
      <c r="BK904" s="14"/>
      <c r="BL904" s="17"/>
      <c r="BM904" s="14"/>
      <c r="BN904" s="17"/>
      <c r="BO904" s="14"/>
      <c r="BP904" s="17"/>
      <c r="BQ904" s="107">
        <f t="shared" si="1632"/>
        <v>0</v>
      </c>
      <c r="BR904" s="567"/>
      <c r="BS904" s="571"/>
      <c r="BT904" s="572"/>
      <c r="BU904" s="558"/>
      <c r="BV904" s="561"/>
      <c r="BW904" s="564"/>
      <c r="BX904" s="616"/>
    </row>
    <row r="905" spans="1:76" ht="15.75" thickBot="1" x14ac:dyDescent="0.3">
      <c r="A905" s="586"/>
      <c r="B905" s="590"/>
      <c r="C905" s="591"/>
      <c r="D905" s="605"/>
      <c r="E905" s="517"/>
      <c r="F905" s="518"/>
      <c r="G905" s="523"/>
      <c r="H905" s="524"/>
      <c r="I905" s="529"/>
      <c r="J905" s="530"/>
      <c r="K905" s="513"/>
      <c r="L905" s="534"/>
      <c r="M905" s="537"/>
      <c r="N905" s="541"/>
      <c r="O905" s="542"/>
      <c r="P905" s="483"/>
      <c r="Q905" s="484"/>
      <c r="R905" s="517"/>
      <c r="S905" s="518"/>
      <c r="T905" s="487"/>
      <c r="U905" s="488"/>
      <c r="V905" s="492"/>
      <c r="W905" s="483"/>
      <c r="X905" s="495"/>
      <c r="Y905" s="484"/>
      <c r="Z905" s="498"/>
      <c r="AA905" s="502"/>
      <c r="AB905" s="503"/>
      <c r="AC905" s="471" t="s">
        <v>259</v>
      </c>
      <c r="AD905" s="472"/>
      <c r="AE905" s="473"/>
      <c r="AF905" s="100"/>
      <c r="AG905" s="100"/>
      <c r="AH905" s="100"/>
      <c r="AI905" s="100"/>
      <c r="AJ905" s="100"/>
      <c r="AK905" s="100"/>
      <c r="AL905" s="100"/>
      <c r="AM905" s="100"/>
      <c r="AN905" s="100"/>
      <c r="AO905" s="100"/>
      <c r="AP905" s="100"/>
      <c r="AQ905" s="101"/>
      <c r="AR905" s="104">
        <f t="shared" ref="AR905:AR906" si="1713">SUM(AF905:AQ905)</f>
        <v>0</v>
      </c>
      <c r="AS905" s="128" t="s">
        <v>261</v>
      </c>
      <c r="AT905" s="129"/>
      <c r="AU905" s="129"/>
      <c r="AV905" s="129"/>
      <c r="AW905" s="130"/>
      <c r="AX905" s="126">
        <f t="shared" si="1711"/>
        <v>0</v>
      </c>
      <c r="AY905" s="143" t="s">
        <v>261</v>
      </c>
      <c r="AZ905" s="139"/>
      <c r="BA905" s="139"/>
      <c r="BB905" s="136">
        <f t="shared" si="1712"/>
        <v>0</v>
      </c>
      <c r="BC905" s="474" t="s">
        <v>262</v>
      </c>
      <c r="BD905" s="475"/>
      <c r="BE905" s="14"/>
      <c r="BF905" s="17"/>
      <c r="BG905" s="14"/>
      <c r="BH905" s="17"/>
      <c r="BI905" s="14"/>
      <c r="BJ905" s="17"/>
      <c r="BK905" s="14"/>
      <c r="BL905" s="17"/>
      <c r="BM905" s="14"/>
      <c r="BN905" s="17"/>
      <c r="BO905" s="14"/>
      <c r="BP905" s="17"/>
      <c r="BQ905" s="108">
        <f t="shared" si="1632"/>
        <v>0</v>
      </c>
      <c r="BR905" s="567"/>
      <c r="BS905" s="571"/>
      <c r="BT905" s="572"/>
      <c r="BU905" s="558"/>
      <c r="BV905" s="561"/>
      <c r="BW905" s="564"/>
      <c r="BX905" s="616"/>
    </row>
    <row r="906" spans="1:76" ht="15.75" thickBot="1" x14ac:dyDescent="0.3">
      <c r="A906" s="587"/>
      <c r="B906" s="592"/>
      <c r="C906" s="593"/>
      <c r="D906" s="606"/>
      <c r="E906" s="519"/>
      <c r="F906" s="520"/>
      <c r="G906" s="525"/>
      <c r="H906" s="526"/>
      <c r="I906" s="531"/>
      <c r="J906" s="532"/>
      <c r="K906" s="514"/>
      <c r="L906" s="535"/>
      <c r="M906" s="538"/>
      <c r="N906" s="543"/>
      <c r="O906" s="544"/>
      <c r="P906" s="485"/>
      <c r="Q906" s="486"/>
      <c r="R906" s="519"/>
      <c r="S906" s="520"/>
      <c r="T906" s="489"/>
      <c r="U906" s="490"/>
      <c r="V906" s="493"/>
      <c r="W906" s="485"/>
      <c r="X906" s="496"/>
      <c r="Y906" s="486"/>
      <c r="Z906" s="499"/>
      <c r="AA906" s="504"/>
      <c r="AB906" s="505"/>
      <c r="AC906" s="476" t="s">
        <v>261</v>
      </c>
      <c r="AD906" s="477"/>
      <c r="AE906" s="478"/>
      <c r="AF906" s="102"/>
      <c r="AG906" s="102"/>
      <c r="AH906" s="102"/>
      <c r="AI906" s="102"/>
      <c r="AJ906" s="102"/>
      <c r="AK906" s="102"/>
      <c r="AL906" s="102"/>
      <c r="AM906" s="102"/>
      <c r="AN906" s="102"/>
      <c r="AO906" s="102"/>
      <c r="AP906" s="102"/>
      <c r="AQ906" s="103"/>
      <c r="AR906" s="105">
        <f t="shared" si="1713"/>
        <v>0</v>
      </c>
      <c r="AS906" s="131" t="s">
        <v>161</v>
      </c>
      <c r="AT906" s="132">
        <f t="shared" ref="AT906:AX906" si="1714">SUM(AT903:AT905)</f>
        <v>0</v>
      </c>
      <c r="AU906" s="132">
        <f t="shared" si="1714"/>
        <v>0</v>
      </c>
      <c r="AV906" s="132">
        <f t="shared" si="1714"/>
        <v>0</v>
      </c>
      <c r="AW906" s="133">
        <f t="shared" si="1714"/>
        <v>0</v>
      </c>
      <c r="AX906" s="127">
        <f t="shared" si="1714"/>
        <v>0</v>
      </c>
      <c r="AY906" s="144" t="s">
        <v>161</v>
      </c>
      <c r="AZ906" s="140">
        <f t="shared" ref="AZ906:BB906" si="1715">SUM(AZ903:AZ905)</f>
        <v>0</v>
      </c>
      <c r="BA906" s="140">
        <f t="shared" si="1715"/>
        <v>0</v>
      </c>
      <c r="BB906" s="140">
        <f t="shared" si="1715"/>
        <v>0</v>
      </c>
      <c r="BC906" s="479" t="s">
        <v>263</v>
      </c>
      <c r="BD906" s="480"/>
      <c r="BE906" s="15"/>
      <c r="BF906" s="18"/>
      <c r="BG906" s="15"/>
      <c r="BH906" s="18"/>
      <c r="BI906" s="15"/>
      <c r="BJ906" s="18"/>
      <c r="BK906" s="15"/>
      <c r="BL906" s="18"/>
      <c r="BM906" s="15"/>
      <c r="BN906" s="18"/>
      <c r="BO906" s="15"/>
      <c r="BP906" s="18"/>
      <c r="BQ906" s="109">
        <f t="shared" si="1632"/>
        <v>0</v>
      </c>
      <c r="BR906" s="568"/>
      <c r="BS906" s="573"/>
      <c r="BT906" s="574"/>
      <c r="BU906" s="559"/>
      <c r="BV906" s="562"/>
      <c r="BW906" s="565"/>
      <c r="BX906" s="617"/>
    </row>
    <row r="907" spans="1:76" ht="15.75" thickTop="1" x14ac:dyDescent="0.25">
      <c r="A907" s="585">
        <v>225</v>
      </c>
      <c r="B907" s="588"/>
      <c r="C907" s="589"/>
      <c r="D907" s="604"/>
      <c r="E907" s="515"/>
      <c r="F907" s="516"/>
      <c r="G907" s="521"/>
      <c r="H907" s="522"/>
      <c r="I907" s="527"/>
      <c r="J907" s="528"/>
      <c r="K907" s="512" t="e">
        <f t="shared" ref="K907" si="1716">INT(YEARFRAC(I907,AA907))</f>
        <v>#VALUE!</v>
      </c>
      <c r="L907" s="533">
        <f t="shared" ref="L907" ca="1" si="1717">INT(YEARFRAC(I907,TODAY()))</f>
        <v>121</v>
      </c>
      <c r="M907" s="536"/>
      <c r="N907" s="539"/>
      <c r="O907" s="540"/>
      <c r="P907" s="481"/>
      <c r="Q907" s="482"/>
      <c r="R907" s="515"/>
      <c r="S907" s="516"/>
      <c r="T907" s="487"/>
      <c r="U907" s="488"/>
      <c r="V907" s="491"/>
      <c r="W907" s="481"/>
      <c r="X907" s="494"/>
      <c r="Y907" s="482"/>
      <c r="Z907" s="497"/>
      <c r="AA907" s="500" t="s">
        <v>466</v>
      </c>
      <c r="AB907" s="501"/>
      <c r="AC907" s="506" t="s">
        <v>257</v>
      </c>
      <c r="AD907" s="507"/>
      <c r="AE907" s="507"/>
      <c r="AF907" s="510"/>
      <c r="AG907" s="510"/>
      <c r="AH907" s="510"/>
      <c r="AI907" s="510"/>
      <c r="AJ907" s="510"/>
      <c r="AK907" s="510"/>
      <c r="AL907" s="510"/>
      <c r="AM907" s="510"/>
      <c r="AN907" s="510"/>
      <c r="AO907" s="510"/>
      <c r="AP907" s="510"/>
      <c r="AQ907" s="465"/>
      <c r="AR907" s="467">
        <f t="shared" ref="AR907" si="1718">SUM(AF907:AQ908)</f>
        <v>0</v>
      </c>
      <c r="AS907" s="119" t="s">
        <v>257</v>
      </c>
      <c r="AT907" s="120"/>
      <c r="AU907" s="120"/>
      <c r="AV907" s="120"/>
      <c r="AW907" s="121"/>
      <c r="AX907" s="125">
        <f t="shared" ref="AX907:AX909" si="1719">SUM(AT907:AW907)</f>
        <v>0</v>
      </c>
      <c r="AY907" s="141" t="s">
        <v>257</v>
      </c>
      <c r="AZ907" s="137"/>
      <c r="BA907" s="137"/>
      <c r="BB907" s="134">
        <f t="shared" ref="BB907:BB909" si="1720">AZ907-BA907</f>
        <v>0</v>
      </c>
      <c r="BC907" s="469" t="s">
        <v>258</v>
      </c>
      <c r="BD907" s="470"/>
      <c r="BE907" s="13"/>
      <c r="BF907" s="16"/>
      <c r="BG907" s="13"/>
      <c r="BH907" s="16"/>
      <c r="BI907" s="13"/>
      <c r="BJ907" s="16"/>
      <c r="BK907" s="13"/>
      <c r="BL907" s="16"/>
      <c r="BM907" s="13"/>
      <c r="BN907" s="16"/>
      <c r="BO907" s="13"/>
      <c r="BP907" s="16"/>
      <c r="BQ907" s="106">
        <f t="shared" si="1632"/>
        <v>0</v>
      </c>
      <c r="BR907" s="566"/>
      <c r="BS907" s="569"/>
      <c r="BT907" s="570"/>
      <c r="BU907" s="557"/>
      <c r="BV907" s="560"/>
      <c r="BW907" s="563"/>
      <c r="BX907" s="615"/>
    </row>
    <row r="908" spans="1:76" x14ac:dyDescent="0.25">
      <c r="A908" s="586"/>
      <c r="B908" s="590"/>
      <c r="C908" s="591"/>
      <c r="D908" s="605"/>
      <c r="E908" s="517"/>
      <c r="F908" s="518"/>
      <c r="G908" s="523"/>
      <c r="H908" s="524"/>
      <c r="I908" s="529"/>
      <c r="J908" s="530"/>
      <c r="K908" s="513"/>
      <c r="L908" s="534"/>
      <c r="M908" s="537"/>
      <c r="N908" s="541"/>
      <c r="O908" s="542"/>
      <c r="P908" s="483"/>
      <c r="Q908" s="484"/>
      <c r="R908" s="517"/>
      <c r="S908" s="518"/>
      <c r="T908" s="487"/>
      <c r="U908" s="488"/>
      <c r="V908" s="492"/>
      <c r="W908" s="483"/>
      <c r="X908" s="495"/>
      <c r="Y908" s="484"/>
      <c r="Z908" s="498"/>
      <c r="AA908" s="502"/>
      <c r="AB908" s="503"/>
      <c r="AC908" s="508"/>
      <c r="AD908" s="509"/>
      <c r="AE908" s="509"/>
      <c r="AF908" s="511"/>
      <c r="AG908" s="511"/>
      <c r="AH908" s="511"/>
      <c r="AI908" s="511"/>
      <c r="AJ908" s="511"/>
      <c r="AK908" s="511"/>
      <c r="AL908" s="511"/>
      <c r="AM908" s="511"/>
      <c r="AN908" s="511"/>
      <c r="AO908" s="511"/>
      <c r="AP908" s="511"/>
      <c r="AQ908" s="466"/>
      <c r="AR908" s="468"/>
      <c r="AS908" s="122" t="s">
        <v>259</v>
      </c>
      <c r="AT908" s="123"/>
      <c r="AU908" s="123"/>
      <c r="AV908" s="123"/>
      <c r="AW908" s="124"/>
      <c r="AX908" s="126">
        <f t="shared" si="1719"/>
        <v>0</v>
      </c>
      <c r="AY908" s="142" t="s">
        <v>259</v>
      </c>
      <c r="AZ908" s="138"/>
      <c r="BA908" s="138"/>
      <c r="BB908" s="135">
        <f t="shared" si="1720"/>
        <v>0</v>
      </c>
      <c r="BC908" s="474" t="s">
        <v>260</v>
      </c>
      <c r="BD908" s="475"/>
      <c r="BE908" s="14"/>
      <c r="BF908" s="17"/>
      <c r="BG908" s="14"/>
      <c r="BH908" s="17"/>
      <c r="BI908" s="14"/>
      <c r="BJ908" s="17"/>
      <c r="BK908" s="14"/>
      <c r="BL908" s="17"/>
      <c r="BM908" s="14"/>
      <c r="BN908" s="17"/>
      <c r="BO908" s="14"/>
      <c r="BP908" s="17"/>
      <c r="BQ908" s="107">
        <f t="shared" si="1632"/>
        <v>0</v>
      </c>
      <c r="BR908" s="567"/>
      <c r="BS908" s="571"/>
      <c r="BT908" s="572"/>
      <c r="BU908" s="558"/>
      <c r="BV908" s="561"/>
      <c r="BW908" s="564"/>
      <c r="BX908" s="616"/>
    </row>
    <row r="909" spans="1:76" ht="15.75" thickBot="1" x14ac:dyDescent="0.3">
      <c r="A909" s="586"/>
      <c r="B909" s="590"/>
      <c r="C909" s="591"/>
      <c r="D909" s="605"/>
      <c r="E909" s="517"/>
      <c r="F909" s="518"/>
      <c r="G909" s="523"/>
      <c r="H909" s="524"/>
      <c r="I909" s="529"/>
      <c r="J909" s="530"/>
      <c r="K909" s="513"/>
      <c r="L909" s="534"/>
      <c r="M909" s="537"/>
      <c r="N909" s="541"/>
      <c r="O909" s="542"/>
      <c r="P909" s="483"/>
      <c r="Q909" s="484"/>
      <c r="R909" s="517"/>
      <c r="S909" s="518"/>
      <c r="T909" s="487"/>
      <c r="U909" s="488"/>
      <c r="V909" s="492"/>
      <c r="W909" s="483"/>
      <c r="X909" s="495"/>
      <c r="Y909" s="484"/>
      <c r="Z909" s="498"/>
      <c r="AA909" s="502"/>
      <c r="AB909" s="503"/>
      <c r="AC909" s="471" t="s">
        <v>259</v>
      </c>
      <c r="AD909" s="472"/>
      <c r="AE909" s="473"/>
      <c r="AF909" s="100"/>
      <c r="AG909" s="100"/>
      <c r="AH909" s="100"/>
      <c r="AI909" s="100"/>
      <c r="AJ909" s="100"/>
      <c r="AK909" s="100"/>
      <c r="AL909" s="100"/>
      <c r="AM909" s="100"/>
      <c r="AN909" s="100"/>
      <c r="AO909" s="100"/>
      <c r="AP909" s="100"/>
      <c r="AQ909" s="101"/>
      <c r="AR909" s="104">
        <f t="shared" ref="AR909:AR910" si="1721">SUM(AF909:AQ909)</f>
        <v>0</v>
      </c>
      <c r="AS909" s="128" t="s">
        <v>261</v>
      </c>
      <c r="AT909" s="129"/>
      <c r="AU909" s="129"/>
      <c r="AV909" s="129"/>
      <c r="AW909" s="130"/>
      <c r="AX909" s="126">
        <f t="shared" si="1719"/>
        <v>0</v>
      </c>
      <c r="AY909" s="143" t="s">
        <v>261</v>
      </c>
      <c r="AZ909" s="139"/>
      <c r="BA909" s="139"/>
      <c r="BB909" s="136">
        <f t="shared" si="1720"/>
        <v>0</v>
      </c>
      <c r="BC909" s="474" t="s">
        <v>262</v>
      </c>
      <c r="BD909" s="475"/>
      <c r="BE909" s="14"/>
      <c r="BF909" s="17"/>
      <c r="BG909" s="14"/>
      <c r="BH909" s="17"/>
      <c r="BI909" s="14"/>
      <c r="BJ909" s="17"/>
      <c r="BK909" s="14"/>
      <c r="BL909" s="17"/>
      <c r="BM909" s="14"/>
      <c r="BN909" s="17"/>
      <c r="BO909" s="14"/>
      <c r="BP909" s="17"/>
      <c r="BQ909" s="108">
        <f t="shared" si="1632"/>
        <v>0</v>
      </c>
      <c r="BR909" s="567"/>
      <c r="BS909" s="571"/>
      <c r="BT909" s="572"/>
      <c r="BU909" s="558"/>
      <c r="BV909" s="561"/>
      <c r="BW909" s="564"/>
      <c r="BX909" s="616"/>
    </row>
    <row r="910" spans="1:76" ht="15.75" thickBot="1" x14ac:dyDescent="0.3">
      <c r="A910" s="587"/>
      <c r="B910" s="592"/>
      <c r="C910" s="593"/>
      <c r="D910" s="606"/>
      <c r="E910" s="519"/>
      <c r="F910" s="520"/>
      <c r="G910" s="525"/>
      <c r="H910" s="526"/>
      <c r="I910" s="531"/>
      <c r="J910" s="532"/>
      <c r="K910" s="514"/>
      <c r="L910" s="535"/>
      <c r="M910" s="538"/>
      <c r="N910" s="543"/>
      <c r="O910" s="544"/>
      <c r="P910" s="485"/>
      <c r="Q910" s="486"/>
      <c r="R910" s="519"/>
      <c r="S910" s="520"/>
      <c r="T910" s="489"/>
      <c r="U910" s="490"/>
      <c r="V910" s="493"/>
      <c r="W910" s="485"/>
      <c r="X910" s="496"/>
      <c r="Y910" s="486"/>
      <c r="Z910" s="499"/>
      <c r="AA910" s="504"/>
      <c r="AB910" s="505"/>
      <c r="AC910" s="476" t="s">
        <v>261</v>
      </c>
      <c r="AD910" s="477"/>
      <c r="AE910" s="478"/>
      <c r="AF910" s="102"/>
      <c r="AG910" s="102"/>
      <c r="AH910" s="102"/>
      <c r="AI910" s="102"/>
      <c r="AJ910" s="102"/>
      <c r="AK910" s="102"/>
      <c r="AL910" s="102"/>
      <c r="AM910" s="102"/>
      <c r="AN910" s="102"/>
      <c r="AO910" s="102"/>
      <c r="AP910" s="102"/>
      <c r="AQ910" s="103"/>
      <c r="AR910" s="105">
        <f t="shared" si="1721"/>
        <v>0</v>
      </c>
      <c r="AS910" s="131" t="s">
        <v>161</v>
      </c>
      <c r="AT910" s="132">
        <f t="shared" ref="AT910:AX910" si="1722">SUM(AT907:AT909)</f>
        <v>0</v>
      </c>
      <c r="AU910" s="132">
        <f t="shared" si="1722"/>
        <v>0</v>
      </c>
      <c r="AV910" s="132">
        <f t="shared" si="1722"/>
        <v>0</v>
      </c>
      <c r="AW910" s="133">
        <f t="shared" si="1722"/>
        <v>0</v>
      </c>
      <c r="AX910" s="127">
        <f t="shared" si="1722"/>
        <v>0</v>
      </c>
      <c r="AY910" s="144" t="s">
        <v>161</v>
      </c>
      <c r="AZ910" s="140">
        <f t="shared" ref="AZ910:BB910" si="1723">SUM(AZ907:AZ909)</f>
        <v>0</v>
      </c>
      <c r="BA910" s="140">
        <f t="shared" si="1723"/>
        <v>0</v>
      </c>
      <c r="BB910" s="140">
        <f t="shared" si="1723"/>
        <v>0</v>
      </c>
      <c r="BC910" s="479" t="s">
        <v>263</v>
      </c>
      <c r="BD910" s="480"/>
      <c r="BE910" s="15"/>
      <c r="BF910" s="18"/>
      <c r="BG910" s="15"/>
      <c r="BH910" s="18"/>
      <c r="BI910" s="15"/>
      <c r="BJ910" s="18"/>
      <c r="BK910" s="15"/>
      <c r="BL910" s="18"/>
      <c r="BM910" s="15"/>
      <c r="BN910" s="18"/>
      <c r="BO910" s="15"/>
      <c r="BP910" s="18"/>
      <c r="BQ910" s="109">
        <f t="shared" si="1632"/>
        <v>0</v>
      </c>
      <c r="BR910" s="568"/>
      <c r="BS910" s="573"/>
      <c r="BT910" s="574"/>
      <c r="BU910" s="559"/>
      <c r="BV910" s="562"/>
      <c r="BW910" s="565"/>
      <c r="BX910" s="617"/>
    </row>
    <row r="911" spans="1:76" ht="15.75" thickTop="1" x14ac:dyDescent="0.25">
      <c r="A911" s="585">
        <v>226</v>
      </c>
      <c r="B911" s="588"/>
      <c r="C911" s="589"/>
      <c r="D911" s="604"/>
      <c r="E911" s="515"/>
      <c r="F911" s="516"/>
      <c r="G911" s="521"/>
      <c r="H911" s="522"/>
      <c r="I911" s="527"/>
      <c r="J911" s="528"/>
      <c r="K911" s="512" t="e">
        <f t="shared" ref="K911" si="1724">INT(YEARFRAC(I911,AA911))</f>
        <v>#VALUE!</v>
      </c>
      <c r="L911" s="533">
        <f t="shared" ref="L911" ca="1" si="1725">INT(YEARFRAC(I911,TODAY()))</f>
        <v>121</v>
      </c>
      <c r="M911" s="536"/>
      <c r="N911" s="539"/>
      <c r="O911" s="540"/>
      <c r="P911" s="481"/>
      <c r="Q911" s="482"/>
      <c r="R911" s="515"/>
      <c r="S911" s="516"/>
      <c r="T911" s="487"/>
      <c r="U911" s="488"/>
      <c r="V911" s="491"/>
      <c r="W911" s="481"/>
      <c r="X911" s="494"/>
      <c r="Y911" s="482"/>
      <c r="Z911" s="497"/>
      <c r="AA911" s="500" t="s">
        <v>467</v>
      </c>
      <c r="AB911" s="501"/>
      <c r="AC911" s="506" t="s">
        <v>257</v>
      </c>
      <c r="AD911" s="507"/>
      <c r="AE911" s="507"/>
      <c r="AF911" s="510"/>
      <c r="AG911" s="510"/>
      <c r="AH911" s="510"/>
      <c r="AI911" s="510"/>
      <c r="AJ911" s="510"/>
      <c r="AK911" s="510"/>
      <c r="AL911" s="510"/>
      <c r="AM911" s="510"/>
      <c r="AN911" s="510"/>
      <c r="AO911" s="510"/>
      <c r="AP911" s="510"/>
      <c r="AQ911" s="465"/>
      <c r="AR911" s="467">
        <f t="shared" ref="AR911" si="1726">SUM(AF911:AQ912)</f>
        <v>0</v>
      </c>
      <c r="AS911" s="119" t="s">
        <v>257</v>
      </c>
      <c r="AT911" s="120"/>
      <c r="AU911" s="120"/>
      <c r="AV911" s="120"/>
      <c r="AW911" s="121"/>
      <c r="AX911" s="125">
        <f t="shared" ref="AX911:AX913" si="1727">SUM(AT911:AW911)</f>
        <v>0</v>
      </c>
      <c r="AY911" s="141" t="s">
        <v>257</v>
      </c>
      <c r="AZ911" s="137"/>
      <c r="BA911" s="137"/>
      <c r="BB911" s="134">
        <f t="shared" ref="BB911:BB913" si="1728">AZ911-BA911</f>
        <v>0</v>
      </c>
      <c r="BC911" s="469" t="s">
        <v>258</v>
      </c>
      <c r="BD911" s="470"/>
      <c r="BE911" s="13"/>
      <c r="BF911" s="16"/>
      <c r="BG911" s="13"/>
      <c r="BH911" s="16"/>
      <c r="BI911" s="13"/>
      <c r="BJ911" s="16"/>
      <c r="BK911" s="13"/>
      <c r="BL911" s="16"/>
      <c r="BM911" s="13"/>
      <c r="BN911" s="16"/>
      <c r="BO911" s="13"/>
      <c r="BP911" s="16"/>
      <c r="BQ911" s="106">
        <f t="shared" si="1632"/>
        <v>0</v>
      </c>
      <c r="BR911" s="566"/>
      <c r="BS911" s="569"/>
      <c r="BT911" s="570"/>
      <c r="BU911" s="557"/>
      <c r="BV911" s="560"/>
      <c r="BW911" s="563"/>
      <c r="BX911" s="615"/>
    </row>
    <row r="912" spans="1:76" x14ac:dyDescent="0.25">
      <c r="A912" s="586"/>
      <c r="B912" s="590"/>
      <c r="C912" s="591"/>
      <c r="D912" s="605"/>
      <c r="E912" s="517"/>
      <c r="F912" s="518"/>
      <c r="G912" s="523"/>
      <c r="H912" s="524"/>
      <c r="I912" s="529"/>
      <c r="J912" s="530"/>
      <c r="K912" s="513"/>
      <c r="L912" s="534"/>
      <c r="M912" s="537"/>
      <c r="N912" s="541"/>
      <c r="O912" s="542"/>
      <c r="P912" s="483"/>
      <c r="Q912" s="484"/>
      <c r="R912" s="517"/>
      <c r="S912" s="518"/>
      <c r="T912" s="487"/>
      <c r="U912" s="488"/>
      <c r="V912" s="492"/>
      <c r="W912" s="483"/>
      <c r="X912" s="495"/>
      <c r="Y912" s="484"/>
      <c r="Z912" s="498"/>
      <c r="AA912" s="502"/>
      <c r="AB912" s="503"/>
      <c r="AC912" s="508"/>
      <c r="AD912" s="509"/>
      <c r="AE912" s="509"/>
      <c r="AF912" s="511"/>
      <c r="AG912" s="511"/>
      <c r="AH912" s="511"/>
      <c r="AI912" s="511"/>
      <c r="AJ912" s="511"/>
      <c r="AK912" s="511"/>
      <c r="AL912" s="511"/>
      <c r="AM912" s="511"/>
      <c r="AN912" s="511"/>
      <c r="AO912" s="511"/>
      <c r="AP912" s="511"/>
      <c r="AQ912" s="466"/>
      <c r="AR912" s="468"/>
      <c r="AS912" s="122" t="s">
        <v>259</v>
      </c>
      <c r="AT912" s="123"/>
      <c r="AU912" s="123"/>
      <c r="AV912" s="123"/>
      <c r="AW912" s="124"/>
      <c r="AX912" s="126">
        <f t="shared" si="1727"/>
        <v>0</v>
      </c>
      <c r="AY912" s="142" t="s">
        <v>259</v>
      </c>
      <c r="AZ912" s="138"/>
      <c r="BA912" s="138"/>
      <c r="BB912" s="135">
        <f t="shared" si="1728"/>
        <v>0</v>
      </c>
      <c r="BC912" s="474" t="s">
        <v>260</v>
      </c>
      <c r="BD912" s="475"/>
      <c r="BE912" s="14"/>
      <c r="BF912" s="17"/>
      <c r="BG912" s="14"/>
      <c r="BH912" s="17"/>
      <c r="BI912" s="14"/>
      <c r="BJ912" s="17"/>
      <c r="BK912" s="14"/>
      <c r="BL912" s="17"/>
      <c r="BM912" s="14"/>
      <c r="BN912" s="17"/>
      <c r="BO912" s="14"/>
      <c r="BP912" s="17"/>
      <c r="BQ912" s="107">
        <f t="shared" si="1632"/>
        <v>0</v>
      </c>
      <c r="BR912" s="567"/>
      <c r="BS912" s="571"/>
      <c r="BT912" s="572"/>
      <c r="BU912" s="558"/>
      <c r="BV912" s="561"/>
      <c r="BW912" s="564"/>
      <c r="BX912" s="616"/>
    </row>
    <row r="913" spans="1:76" ht="15.75" thickBot="1" x14ac:dyDescent="0.3">
      <c r="A913" s="586"/>
      <c r="B913" s="590"/>
      <c r="C913" s="591"/>
      <c r="D913" s="605"/>
      <c r="E913" s="517"/>
      <c r="F913" s="518"/>
      <c r="G913" s="523"/>
      <c r="H913" s="524"/>
      <c r="I913" s="529"/>
      <c r="J913" s="530"/>
      <c r="K913" s="513"/>
      <c r="L913" s="534"/>
      <c r="M913" s="537"/>
      <c r="N913" s="541"/>
      <c r="O913" s="542"/>
      <c r="P913" s="483"/>
      <c r="Q913" s="484"/>
      <c r="R913" s="517"/>
      <c r="S913" s="518"/>
      <c r="T913" s="487"/>
      <c r="U913" s="488"/>
      <c r="V913" s="492"/>
      <c r="W913" s="483"/>
      <c r="X913" s="495"/>
      <c r="Y913" s="484"/>
      <c r="Z913" s="498"/>
      <c r="AA913" s="502"/>
      <c r="AB913" s="503"/>
      <c r="AC913" s="471" t="s">
        <v>259</v>
      </c>
      <c r="AD913" s="472"/>
      <c r="AE913" s="473"/>
      <c r="AF913" s="100"/>
      <c r="AG913" s="100"/>
      <c r="AH913" s="100"/>
      <c r="AI913" s="100"/>
      <c r="AJ913" s="100"/>
      <c r="AK913" s="100"/>
      <c r="AL913" s="100"/>
      <c r="AM913" s="100"/>
      <c r="AN913" s="100"/>
      <c r="AO913" s="100"/>
      <c r="AP913" s="100"/>
      <c r="AQ913" s="101"/>
      <c r="AR913" s="104">
        <f t="shared" ref="AR913:AR914" si="1729">SUM(AF913:AQ913)</f>
        <v>0</v>
      </c>
      <c r="AS913" s="128" t="s">
        <v>261</v>
      </c>
      <c r="AT913" s="129"/>
      <c r="AU913" s="129"/>
      <c r="AV913" s="129"/>
      <c r="AW913" s="130"/>
      <c r="AX913" s="126">
        <f t="shared" si="1727"/>
        <v>0</v>
      </c>
      <c r="AY913" s="143" t="s">
        <v>261</v>
      </c>
      <c r="AZ913" s="139"/>
      <c r="BA913" s="139"/>
      <c r="BB913" s="136">
        <f t="shared" si="1728"/>
        <v>0</v>
      </c>
      <c r="BC913" s="474" t="s">
        <v>262</v>
      </c>
      <c r="BD913" s="475"/>
      <c r="BE913" s="14"/>
      <c r="BF913" s="17"/>
      <c r="BG913" s="14"/>
      <c r="BH913" s="17"/>
      <c r="BI913" s="14"/>
      <c r="BJ913" s="17"/>
      <c r="BK913" s="14"/>
      <c r="BL913" s="17"/>
      <c r="BM913" s="14"/>
      <c r="BN913" s="17"/>
      <c r="BO913" s="14"/>
      <c r="BP913" s="17"/>
      <c r="BQ913" s="108">
        <f t="shared" si="1632"/>
        <v>0</v>
      </c>
      <c r="BR913" s="567"/>
      <c r="BS913" s="571"/>
      <c r="BT913" s="572"/>
      <c r="BU913" s="558"/>
      <c r="BV913" s="561"/>
      <c r="BW913" s="564"/>
      <c r="BX913" s="616"/>
    </row>
    <row r="914" spans="1:76" ht="15.75" thickBot="1" x14ac:dyDescent="0.3">
      <c r="A914" s="587"/>
      <c r="B914" s="592"/>
      <c r="C914" s="593"/>
      <c r="D914" s="606"/>
      <c r="E914" s="519"/>
      <c r="F914" s="520"/>
      <c r="G914" s="525"/>
      <c r="H914" s="526"/>
      <c r="I914" s="531"/>
      <c r="J914" s="532"/>
      <c r="K914" s="514"/>
      <c r="L914" s="535"/>
      <c r="M914" s="538"/>
      <c r="N914" s="543"/>
      <c r="O914" s="544"/>
      <c r="P914" s="485"/>
      <c r="Q914" s="486"/>
      <c r="R914" s="519"/>
      <c r="S914" s="520"/>
      <c r="T914" s="489"/>
      <c r="U914" s="490"/>
      <c r="V914" s="493"/>
      <c r="W914" s="485"/>
      <c r="X914" s="496"/>
      <c r="Y914" s="486"/>
      <c r="Z914" s="499"/>
      <c r="AA914" s="504"/>
      <c r="AB914" s="505"/>
      <c r="AC914" s="476" t="s">
        <v>261</v>
      </c>
      <c r="AD914" s="477"/>
      <c r="AE914" s="478"/>
      <c r="AF914" s="102"/>
      <c r="AG914" s="102"/>
      <c r="AH914" s="102"/>
      <c r="AI914" s="102"/>
      <c r="AJ914" s="102"/>
      <c r="AK914" s="102"/>
      <c r="AL914" s="102"/>
      <c r="AM914" s="102"/>
      <c r="AN914" s="102"/>
      <c r="AO914" s="102"/>
      <c r="AP914" s="102"/>
      <c r="AQ914" s="103"/>
      <c r="AR914" s="105">
        <f t="shared" si="1729"/>
        <v>0</v>
      </c>
      <c r="AS914" s="131" t="s">
        <v>161</v>
      </c>
      <c r="AT914" s="132">
        <f t="shared" ref="AT914:AX914" si="1730">SUM(AT911:AT913)</f>
        <v>0</v>
      </c>
      <c r="AU914" s="132">
        <f t="shared" si="1730"/>
        <v>0</v>
      </c>
      <c r="AV914" s="132">
        <f t="shared" si="1730"/>
        <v>0</v>
      </c>
      <c r="AW914" s="133">
        <f t="shared" si="1730"/>
        <v>0</v>
      </c>
      <c r="AX914" s="127">
        <f t="shared" si="1730"/>
        <v>0</v>
      </c>
      <c r="AY914" s="144" t="s">
        <v>161</v>
      </c>
      <c r="AZ914" s="140">
        <f t="shared" ref="AZ914:BB914" si="1731">SUM(AZ911:AZ913)</f>
        <v>0</v>
      </c>
      <c r="BA914" s="140">
        <f t="shared" si="1731"/>
        <v>0</v>
      </c>
      <c r="BB914" s="140">
        <f t="shared" si="1731"/>
        <v>0</v>
      </c>
      <c r="BC914" s="479" t="s">
        <v>263</v>
      </c>
      <c r="BD914" s="480"/>
      <c r="BE914" s="15"/>
      <c r="BF914" s="18"/>
      <c r="BG914" s="15"/>
      <c r="BH914" s="18"/>
      <c r="BI914" s="15"/>
      <c r="BJ914" s="18"/>
      <c r="BK914" s="15"/>
      <c r="BL914" s="18"/>
      <c r="BM914" s="15"/>
      <c r="BN914" s="18"/>
      <c r="BO914" s="15"/>
      <c r="BP914" s="18"/>
      <c r="BQ914" s="109">
        <f t="shared" si="1632"/>
        <v>0</v>
      </c>
      <c r="BR914" s="568"/>
      <c r="BS914" s="573"/>
      <c r="BT914" s="574"/>
      <c r="BU914" s="559"/>
      <c r="BV914" s="562"/>
      <c r="BW914" s="565"/>
      <c r="BX914" s="617"/>
    </row>
    <row r="915" spans="1:76" ht="15.75" thickTop="1" x14ac:dyDescent="0.25">
      <c r="A915" s="585">
        <v>227</v>
      </c>
      <c r="B915" s="588"/>
      <c r="C915" s="589"/>
      <c r="D915" s="604"/>
      <c r="E915" s="515"/>
      <c r="F915" s="516"/>
      <c r="G915" s="521"/>
      <c r="H915" s="522"/>
      <c r="I915" s="527"/>
      <c r="J915" s="528"/>
      <c r="K915" s="512" t="e">
        <f t="shared" ref="K915" si="1732">INT(YEARFRAC(I915,AA915))</f>
        <v>#VALUE!</v>
      </c>
      <c r="L915" s="533">
        <f t="shared" ref="L915" ca="1" si="1733">INT(YEARFRAC(I915,TODAY()))</f>
        <v>121</v>
      </c>
      <c r="M915" s="536"/>
      <c r="N915" s="539"/>
      <c r="O915" s="540"/>
      <c r="P915" s="481"/>
      <c r="Q915" s="482"/>
      <c r="R915" s="515"/>
      <c r="S915" s="516"/>
      <c r="T915" s="487"/>
      <c r="U915" s="488"/>
      <c r="V915" s="491"/>
      <c r="W915" s="481"/>
      <c r="X915" s="494"/>
      <c r="Y915" s="482"/>
      <c r="Z915" s="497"/>
      <c r="AA915" s="500" t="s">
        <v>468</v>
      </c>
      <c r="AB915" s="501"/>
      <c r="AC915" s="506" t="s">
        <v>257</v>
      </c>
      <c r="AD915" s="507"/>
      <c r="AE915" s="507"/>
      <c r="AF915" s="510"/>
      <c r="AG915" s="510"/>
      <c r="AH915" s="510"/>
      <c r="AI915" s="510"/>
      <c r="AJ915" s="510"/>
      <c r="AK915" s="510"/>
      <c r="AL915" s="510"/>
      <c r="AM915" s="510"/>
      <c r="AN915" s="510"/>
      <c r="AO915" s="510"/>
      <c r="AP915" s="510"/>
      <c r="AQ915" s="465"/>
      <c r="AR915" s="467">
        <f t="shared" ref="AR915" si="1734">SUM(AF915:AQ916)</f>
        <v>0</v>
      </c>
      <c r="AS915" s="119" t="s">
        <v>257</v>
      </c>
      <c r="AT915" s="120"/>
      <c r="AU915" s="120"/>
      <c r="AV915" s="120"/>
      <c r="AW915" s="121"/>
      <c r="AX915" s="125">
        <f t="shared" ref="AX915:AX917" si="1735">SUM(AT915:AW915)</f>
        <v>0</v>
      </c>
      <c r="AY915" s="141" t="s">
        <v>257</v>
      </c>
      <c r="AZ915" s="137"/>
      <c r="BA915" s="137"/>
      <c r="BB915" s="134">
        <f t="shared" ref="BB915:BB917" si="1736">AZ915-BA915</f>
        <v>0</v>
      </c>
      <c r="BC915" s="469" t="s">
        <v>258</v>
      </c>
      <c r="BD915" s="470"/>
      <c r="BE915" s="13"/>
      <c r="BF915" s="16"/>
      <c r="BG915" s="13"/>
      <c r="BH915" s="16"/>
      <c r="BI915" s="13"/>
      <c r="BJ915" s="16"/>
      <c r="BK915" s="13"/>
      <c r="BL915" s="16"/>
      <c r="BM915" s="13"/>
      <c r="BN915" s="16"/>
      <c r="BO915" s="13"/>
      <c r="BP915" s="16"/>
      <c r="BQ915" s="106">
        <f t="shared" si="1632"/>
        <v>0</v>
      </c>
      <c r="BR915" s="566"/>
      <c r="BS915" s="569"/>
      <c r="BT915" s="570"/>
      <c r="BU915" s="557"/>
      <c r="BV915" s="560"/>
      <c r="BW915" s="563"/>
      <c r="BX915" s="615"/>
    </row>
    <row r="916" spans="1:76" x14ac:dyDescent="0.25">
      <c r="A916" s="586"/>
      <c r="B916" s="590"/>
      <c r="C916" s="591"/>
      <c r="D916" s="605"/>
      <c r="E916" s="517"/>
      <c r="F916" s="518"/>
      <c r="G916" s="523"/>
      <c r="H916" s="524"/>
      <c r="I916" s="529"/>
      <c r="J916" s="530"/>
      <c r="K916" s="513"/>
      <c r="L916" s="534"/>
      <c r="M916" s="537"/>
      <c r="N916" s="541"/>
      <c r="O916" s="542"/>
      <c r="P916" s="483"/>
      <c r="Q916" s="484"/>
      <c r="R916" s="517"/>
      <c r="S916" s="518"/>
      <c r="T916" s="487"/>
      <c r="U916" s="488"/>
      <c r="V916" s="492"/>
      <c r="W916" s="483"/>
      <c r="X916" s="495"/>
      <c r="Y916" s="484"/>
      <c r="Z916" s="498"/>
      <c r="AA916" s="502"/>
      <c r="AB916" s="503"/>
      <c r="AC916" s="508"/>
      <c r="AD916" s="509"/>
      <c r="AE916" s="509"/>
      <c r="AF916" s="511"/>
      <c r="AG916" s="511"/>
      <c r="AH916" s="511"/>
      <c r="AI916" s="511"/>
      <c r="AJ916" s="511"/>
      <c r="AK916" s="511"/>
      <c r="AL916" s="511"/>
      <c r="AM916" s="511"/>
      <c r="AN916" s="511"/>
      <c r="AO916" s="511"/>
      <c r="AP916" s="511"/>
      <c r="AQ916" s="466"/>
      <c r="AR916" s="468"/>
      <c r="AS916" s="122" t="s">
        <v>259</v>
      </c>
      <c r="AT916" s="123"/>
      <c r="AU916" s="123"/>
      <c r="AV916" s="123"/>
      <c r="AW916" s="124"/>
      <c r="AX916" s="126">
        <f t="shared" si="1735"/>
        <v>0</v>
      </c>
      <c r="AY916" s="142" t="s">
        <v>259</v>
      </c>
      <c r="AZ916" s="138"/>
      <c r="BA916" s="138"/>
      <c r="BB916" s="135">
        <f t="shared" si="1736"/>
        <v>0</v>
      </c>
      <c r="BC916" s="474" t="s">
        <v>260</v>
      </c>
      <c r="BD916" s="475"/>
      <c r="BE916" s="14"/>
      <c r="BF916" s="17"/>
      <c r="BG916" s="14"/>
      <c r="BH916" s="17"/>
      <c r="BI916" s="14"/>
      <c r="BJ916" s="17"/>
      <c r="BK916" s="14"/>
      <c r="BL916" s="17"/>
      <c r="BM916" s="14"/>
      <c r="BN916" s="17"/>
      <c r="BO916" s="14"/>
      <c r="BP916" s="17"/>
      <c r="BQ916" s="107">
        <f t="shared" si="1632"/>
        <v>0</v>
      </c>
      <c r="BR916" s="567"/>
      <c r="BS916" s="571"/>
      <c r="BT916" s="572"/>
      <c r="BU916" s="558"/>
      <c r="BV916" s="561"/>
      <c r="BW916" s="564"/>
      <c r="BX916" s="616"/>
    </row>
    <row r="917" spans="1:76" ht="15.75" thickBot="1" x14ac:dyDescent="0.3">
      <c r="A917" s="586"/>
      <c r="B917" s="590"/>
      <c r="C917" s="591"/>
      <c r="D917" s="605"/>
      <c r="E917" s="517"/>
      <c r="F917" s="518"/>
      <c r="G917" s="523"/>
      <c r="H917" s="524"/>
      <c r="I917" s="529"/>
      <c r="J917" s="530"/>
      <c r="K917" s="513"/>
      <c r="L917" s="534"/>
      <c r="M917" s="537"/>
      <c r="N917" s="541"/>
      <c r="O917" s="542"/>
      <c r="P917" s="483"/>
      <c r="Q917" s="484"/>
      <c r="R917" s="517"/>
      <c r="S917" s="518"/>
      <c r="T917" s="487"/>
      <c r="U917" s="488"/>
      <c r="V917" s="492"/>
      <c r="W917" s="483"/>
      <c r="X917" s="495"/>
      <c r="Y917" s="484"/>
      <c r="Z917" s="498"/>
      <c r="AA917" s="502"/>
      <c r="AB917" s="503"/>
      <c r="AC917" s="471" t="s">
        <v>259</v>
      </c>
      <c r="AD917" s="472"/>
      <c r="AE917" s="473"/>
      <c r="AF917" s="100"/>
      <c r="AG917" s="100"/>
      <c r="AH917" s="100"/>
      <c r="AI917" s="100"/>
      <c r="AJ917" s="100"/>
      <c r="AK917" s="100"/>
      <c r="AL917" s="100"/>
      <c r="AM917" s="100"/>
      <c r="AN917" s="100"/>
      <c r="AO917" s="100"/>
      <c r="AP917" s="100"/>
      <c r="AQ917" s="101"/>
      <c r="AR917" s="104">
        <f t="shared" ref="AR917:AR918" si="1737">SUM(AF917:AQ917)</f>
        <v>0</v>
      </c>
      <c r="AS917" s="128" t="s">
        <v>261</v>
      </c>
      <c r="AT917" s="129"/>
      <c r="AU917" s="129"/>
      <c r="AV917" s="129"/>
      <c r="AW917" s="130"/>
      <c r="AX917" s="126">
        <f t="shared" si="1735"/>
        <v>0</v>
      </c>
      <c r="AY917" s="143" t="s">
        <v>261</v>
      </c>
      <c r="AZ917" s="139"/>
      <c r="BA917" s="139"/>
      <c r="BB917" s="136">
        <f t="shared" si="1736"/>
        <v>0</v>
      </c>
      <c r="BC917" s="474" t="s">
        <v>262</v>
      </c>
      <c r="BD917" s="475"/>
      <c r="BE917" s="14"/>
      <c r="BF917" s="17"/>
      <c r="BG917" s="14"/>
      <c r="BH917" s="17"/>
      <c r="BI917" s="14"/>
      <c r="BJ917" s="17"/>
      <c r="BK917" s="14"/>
      <c r="BL917" s="17"/>
      <c r="BM917" s="14"/>
      <c r="BN917" s="17"/>
      <c r="BO917" s="14"/>
      <c r="BP917" s="17"/>
      <c r="BQ917" s="108">
        <f t="shared" si="1632"/>
        <v>0</v>
      </c>
      <c r="BR917" s="567"/>
      <c r="BS917" s="571"/>
      <c r="BT917" s="572"/>
      <c r="BU917" s="558"/>
      <c r="BV917" s="561"/>
      <c r="BW917" s="564"/>
      <c r="BX917" s="616"/>
    </row>
    <row r="918" spans="1:76" ht="15.75" thickBot="1" x14ac:dyDescent="0.3">
      <c r="A918" s="587"/>
      <c r="B918" s="592"/>
      <c r="C918" s="593"/>
      <c r="D918" s="606"/>
      <c r="E918" s="519"/>
      <c r="F918" s="520"/>
      <c r="G918" s="525"/>
      <c r="H918" s="526"/>
      <c r="I918" s="531"/>
      <c r="J918" s="532"/>
      <c r="K918" s="514"/>
      <c r="L918" s="535"/>
      <c r="M918" s="538"/>
      <c r="N918" s="543"/>
      <c r="O918" s="544"/>
      <c r="P918" s="485"/>
      <c r="Q918" s="486"/>
      <c r="R918" s="519"/>
      <c r="S918" s="520"/>
      <c r="T918" s="489"/>
      <c r="U918" s="490"/>
      <c r="V918" s="493"/>
      <c r="W918" s="485"/>
      <c r="X918" s="496"/>
      <c r="Y918" s="486"/>
      <c r="Z918" s="499"/>
      <c r="AA918" s="504"/>
      <c r="AB918" s="505"/>
      <c r="AC918" s="476" t="s">
        <v>261</v>
      </c>
      <c r="AD918" s="477"/>
      <c r="AE918" s="478"/>
      <c r="AF918" s="102"/>
      <c r="AG918" s="102"/>
      <c r="AH918" s="102"/>
      <c r="AI918" s="102"/>
      <c r="AJ918" s="102"/>
      <c r="AK918" s="102"/>
      <c r="AL918" s="102"/>
      <c r="AM918" s="102"/>
      <c r="AN918" s="102"/>
      <c r="AO918" s="102"/>
      <c r="AP918" s="102"/>
      <c r="AQ918" s="103"/>
      <c r="AR918" s="105">
        <f t="shared" si="1737"/>
        <v>0</v>
      </c>
      <c r="AS918" s="131" t="s">
        <v>161</v>
      </c>
      <c r="AT918" s="132">
        <f t="shared" ref="AT918:AX918" si="1738">SUM(AT915:AT917)</f>
        <v>0</v>
      </c>
      <c r="AU918" s="132">
        <f t="shared" si="1738"/>
        <v>0</v>
      </c>
      <c r="AV918" s="132">
        <f t="shared" si="1738"/>
        <v>0</v>
      </c>
      <c r="AW918" s="133">
        <f t="shared" si="1738"/>
        <v>0</v>
      </c>
      <c r="AX918" s="127">
        <f t="shared" si="1738"/>
        <v>0</v>
      </c>
      <c r="AY918" s="144" t="s">
        <v>161</v>
      </c>
      <c r="AZ918" s="140">
        <f t="shared" ref="AZ918:BB918" si="1739">SUM(AZ915:AZ917)</f>
        <v>0</v>
      </c>
      <c r="BA918" s="140">
        <f t="shared" si="1739"/>
        <v>0</v>
      </c>
      <c r="BB918" s="140">
        <f t="shared" si="1739"/>
        <v>0</v>
      </c>
      <c r="BC918" s="479" t="s">
        <v>263</v>
      </c>
      <c r="BD918" s="480"/>
      <c r="BE918" s="15"/>
      <c r="BF918" s="18"/>
      <c r="BG918" s="15"/>
      <c r="BH918" s="18"/>
      <c r="BI918" s="15"/>
      <c r="BJ918" s="18"/>
      <c r="BK918" s="15"/>
      <c r="BL918" s="18"/>
      <c r="BM918" s="15"/>
      <c r="BN918" s="18"/>
      <c r="BO918" s="15"/>
      <c r="BP918" s="18"/>
      <c r="BQ918" s="109">
        <f t="shared" si="1632"/>
        <v>0</v>
      </c>
      <c r="BR918" s="568"/>
      <c r="BS918" s="573"/>
      <c r="BT918" s="574"/>
      <c r="BU918" s="559"/>
      <c r="BV918" s="562"/>
      <c r="BW918" s="565"/>
      <c r="BX918" s="617"/>
    </row>
    <row r="919" spans="1:76" ht="15.75" thickTop="1" x14ac:dyDescent="0.25">
      <c r="A919" s="585">
        <v>228</v>
      </c>
      <c r="B919" s="588"/>
      <c r="C919" s="589"/>
      <c r="D919" s="604"/>
      <c r="E919" s="515"/>
      <c r="F919" s="516"/>
      <c r="G919" s="521"/>
      <c r="H919" s="522"/>
      <c r="I919" s="527"/>
      <c r="J919" s="528"/>
      <c r="K919" s="512" t="e">
        <f t="shared" ref="K919" si="1740">INT(YEARFRAC(I919,AA919))</f>
        <v>#VALUE!</v>
      </c>
      <c r="L919" s="533">
        <f t="shared" ref="L919" ca="1" si="1741">INT(YEARFRAC(I919,TODAY()))</f>
        <v>121</v>
      </c>
      <c r="M919" s="536"/>
      <c r="N919" s="539"/>
      <c r="O919" s="540"/>
      <c r="P919" s="481"/>
      <c r="Q919" s="482"/>
      <c r="R919" s="515"/>
      <c r="S919" s="516"/>
      <c r="T919" s="487"/>
      <c r="U919" s="488"/>
      <c r="V919" s="491"/>
      <c r="W919" s="481"/>
      <c r="X919" s="494"/>
      <c r="Y919" s="482"/>
      <c r="Z919" s="497"/>
      <c r="AA919" s="500" t="s">
        <v>469</v>
      </c>
      <c r="AB919" s="501"/>
      <c r="AC919" s="506" t="s">
        <v>257</v>
      </c>
      <c r="AD919" s="507"/>
      <c r="AE919" s="507"/>
      <c r="AF919" s="510"/>
      <c r="AG919" s="510"/>
      <c r="AH919" s="510"/>
      <c r="AI919" s="510"/>
      <c r="AJ919" s="510"/>
      <c r="AK919" s="510"/>
      <c r="AL919" s="510"/>
      <c r="AM919" s="510"/>
      <c r="AN919" s="510"/>
      <c r="AO919" s="510"/>
      <c r="AP919" s="510"/>
      <c r="AQ919" s="465"/>
      <c r="AR919" s="467">
        <f t="shared" ref="AR919" si="1742">SUM(AF919:AQ920)</f>
        <v>0</v>
      </c>
      <c r="AS919" s="119" t="s">
        <v>257</v>
      </c>
      <c r="AT919" s="120"/>
      <c r="AU919" s="120"/>
      <c r="AV919" s="120"/>
      <c r="AW919" s="121"/>
      <c r="AX919" s="125">
        <f t="shared" ref="AX919:AX921" si="1743">SUM(AT919:AW919)</f>
        <v>0</v>
      </c>
      <c r="AY919" s="141" t="s">
        <v>257</v>
      </c>
      <c r="AZ919" s="137"/>
      <c r="BA919" s="137"/>
      <c r="BB919" s="134">
        <f t="shared" ref="BB919:BB921" si="1744">AZ919-BA919</f>
        <v>0</v>
      </c>
      <c r="BC919" s="469" t="s">
        <v>258</v>
      </c>
      <c r="BD919" s="470"/>
      <c r="BE919" s="13"/>
      <c r="BF919" s="16"/>
      <c r="BG919" s="13"/>
      <c r="BH919" s="16"/>
      <c r="BI919" s="13"/>
      <c r="BJ919" s="16"/>
      <c r="BK919" s="13"/>
      <c r="BL919" s="16"/>
      <c r="BM919" s="13"/>
      <c r="BN919" s="16"/>
      <c r="BO919" s="13"/>
      <c r="BP919" s="16"/>
      <c r="BQ919" s="106">
        <f t="shared" si="1632"/>
        <v>0</v>
      </c>
      <c r="BR919" s="566"/>
      <c r="BS919" s="569"/>
      <c r="BT919" s="570"/>
      <c r="BU919" s="557"/>
      <c r="BV919" s="560"/>
      <c r="BW919" s="563"/>
      <c r="BX919" s="615"/>
    </row>
    <row r="920" spans="1:76" x14ac:dyDescent="0.25">
      <c r="A920" s="586"/>
      <c r="B920" s="590"/>
      <c r="C920" s="591"/>
      <c r="D920" s="605"/>
      <c r="E920" s="517"/>
      <c r="F920" s="518"/>
      <c r="G920" s="523"/>
      <c r="H920" s="524"/>
      <c r="I920" s="529"/>
      <c r="J920" s="530"/>
      <c r="K920" s="513"/>
      <c r="L920" s="534"/>
      <c r="M920" s="537"/>
      <c r="N920" s="541"/>
      <c r="O920" s="542"/>
      <c r="P920" s="483"/>
      <c r="Q920" s="484"/>
      <c r="R920" s="517"/>
      <c r="S920" s="518"/>
      <c r="T920" s="487"/>
      <c r="U920" s="488"/>
      <c r="V920" s="492"/>
      <c r="W920" s="483"/>
      <c r="X920" s="495"/>
      <c r="Y920" s="484"/>
      <c r="Z920" s="498"/>
      <c r="AA920" s="502"/>
      <c r="AB920" s="503"/>
      <c r="AC920" s="508"/>
      <c r="AD920" s="509"/>
      <c r="AE920" s="509"/>
      <c r="AF920" s="511"/>
      <c r="AG920" s="511"/>
      <c r="AH920" s="511"/>
      <c r="AI920" s="511"/>
      <c r="AJ920" s="511"/>
      <c r="AK920" s="511"/>
      <c r="AL920" s="511"/>
      <c r="AM920" s="511"/>
      <c r="AN920" s="511"/>
      <c r="AO920" s="511"/>
      <c r="AP920" s="511"/>
      <c r="AQ920" s="466"/>
      <c r="AR920" s="468"/>
      <c r="AS920" s="122" t="s">
        <v>259</v>
      </c>
      <c r="AT920" s="123"/>
      <c r="AU920" s="123"/>
      <c r="AV920" s="123"/>
      <c r="AW920" s="124"/>
      <c r="AX920" s="126">
        <f t="shared" si="1743"/>
        <v>0</v>
      </c>
      <c r="AY920" s="142" t="s">
        <v>259</v>
      </c>
      <c r="AZ920" s="138"/>
      <c r="BA920" s="138"/>
      <c r="BB920" s="135">
        <f t="shared" si="1744"/>
        <v>0</v>
      </c>
      <c r="BC920" s="474" t="s">
        <v>260</v>
      </c>
      <c r="BD920" s="475"/>
      <c r="BE920" s="14"/>
      <c r="BF920" s="17"/>
      <c r="BG920" s="14"/>
      <c r="BH920" s="17"/>
      <c r="BI920" s="14"/>
      <c r="BJ920" s="17"/>
      <c r="BK920" s="14"/>
      <c r="BL920" s="17"/>
      <c r="BM920" s="14"/>
      <c r="BN920" s="17"/>
      <c r="BO920" s="14"/>
      <c r="BP920" s="17"/>
      <c r="BQ920" s="107">
        <f t="shared" si="1632"/>
        <v>0</v>
      </c>
      <c r="BR920" s="567"/>
      <c r="BS920" s="571"/>
      <c r="BT920" s="572"/>
      <c r="BU920" s="558"/>
      <c r="BV920" s="561"/>
      <c r="BW920" s="564"/>
      <c r="BX920" s="616"/>
    </row>
    <row r="921" spans="1:76" ht="15.75" thickBot="1" x14ac:dyDescent="0.3">
      <c r="A921" s="586"/>
      <c r="B921" s="590"/>
      <c r="C921" s="591"/>
      <c r="D921" s="605"/>
      <c r="E921" s="517"/>
      <c r="F921" s="518"/>
      <c r="G921" s="523"/>
      <c r="H921" s="524"/>
      <c r="I921" s="529"/>
      <c r="J921" s="530"/>
      <c r="K921" s="513"/>
      <c r="L921" s="534"/>
      <c r="M921" s="537"/>
      <c r="N921" s="541"/>
      <c r="O921" s="542"/>
      <c r="P921" s="483"/>
      <c r="Q921" s="484"/>
      <c r="R921" s="517"/>
      <c r="S921" s="518"/>
      <c r="T921" s="487"/>
      <c r="U921" s="488"/>
      <c r="V921" s="492"/>
      <c r="W921" s="483"/>
      <c r="X921" s="495"/>
      <c r="Y921" s="484"/>
      <c r="Z921" s="498"/>
      <c r="AA921" s="502"/>
      <c r="AB921" s="503"/>
      <c r="AC921" s="471" t="s">
        <v>259</v>
      </c>
      <c r="AD921" s="472"/>
      <c r="AE921" s="473"/>
      <c r="AF921" s="100"/>
      <c r="AG921" s="100"/>
      <c r="AH921" s="100"/>
      <c r="AI921" s="100"/>
      <c r="AJ921" s="100"/>
      <c r="AK921" s="100"/>
      <c r="AL921" s="100"/>
      <c r="AM921" s="100"/>
      <c r="AN921" s="100"/>
      <c r="AO921" s="100"/>
      <c r="AP921" s="100"/>
      <c r="AQ921" s="101"/>
      <c r="AR921" s="104">
        <f t="shared" ref="AR921:AR922" si="1745">SUM(AF921:AQ921)</f>
        <v>0</v>
      </c>
      <c r="AS921" s="128" t="s">
        <v>261</v>
      </c>
      <c r="AT921" s="129"/>
      <c r="AU921" s="129"/>
      <c r="AV921" s="129"/>
      <c r="AW921" s="130"/>
      <c r="AX921" s="126">
        <f t="shared" si="1743"/>
        <v>0</v>
      </c>
      <c r="AY921" s="143" t="s">
        <v>261</v>
      </c>
      <c r="AZ921" s="139"/>
      <c r="BA921" s="139"/>
      <c r="BB921" s="136">
        <f t="shared" si="1744"/>
        <v>0</v>
      </c>
      <c r="BC921" s="474" t="s">
        <v>262</v>
      </c>
      <c r="BD921" s="475"/>
      <c r="BE921" s="14"/>
      <c r="BF921" s="17"/>
      <c r="BG921" s="14"/>
      <c r="BH921" s="17"/>
      <c r="BI921" s="14"/>
      <c r="BJ921" s="17"/>
      <c r="BK921" s="14"/>
      <c r="BL921" s="17"/>
      <c r="BM921" s="14"/>
      <c r="BN921" s="17"/>
      <c r="BO921" s="14"/>
      <c r="BP921" s="17"/>
      <c r="BQ921" s="108">
        <f t="shared" si="1632"/>
        <v>0</v>
      </c>
      <c r="BR921" s="567"/>
      <c r="BS921" s="571"/>
      <c r="BT921" s="572"/>
      <c r="BU921" s="558"/>
      <c r="BV921" s="561"/>
      <c r="BW921" s="564"/>
      <c r="BX921" s="616"/>
    </row>
    <row r="922" spans="1:76" ht="15.75" thickBot="1" x14ac:dyDescent="0.3">
      <c r="A922" s="587"/>
      <c r="B922" s="592"/>
      <c r="C922" s="593"/>
      <c r="D922" s="606"/>
      <c r="E922" s="519"/>
      <c r="F922" s="520"/>
      <c r="G922" s="525"/>
      <c r="H922" s="526"/>
      <c r="I922" s="531"/>
      <c r="J922" s="532"/>
      <c r="K922" s="514"/>
      <c r="L922" s="535"/>
      <c r="M922" s="538"/>
      <c r="N922" s="543"/>
      <c r="O922" s="544"/>
      <c r="P922" s="485"/>
      <c r="Q922" s="486"/>
      <c r="R922" s="519"/>
      <c r="S922" s="520"/>
      <c r="T922" s="489"/>
      <c r="U922" s="490"/>
      <c r="V922" s="493"/>
      <c r="W922" s="485"/>
      <c r="X922" s="496"/>
      <c r="Y922" s="486"/>
      <c r="Z922" s="499"/>
      <c r="AA922" s="504"/>
      <c r="AB922" s="505"/>
      <c r="AC922" s="476" t="s">
        <v>261</v>
      </c>
      <c r="AD922" s="477"/>
      <c r="AE922" s="478"/>
      <c r="AF922" s="102"/>
      <c r="AG922" s="102"/>
      <c r="AH922" s="102"/>
      <c r="AI922" s="102"/>
      <c r="AJ922" s="102"/>
      <c r="AK922" s="102"/>
      <c r="AL922" s="102"/>
      <c r="AM922" s="102"/>
      <c r="AN922" s="102"/>
      <c r="AO922" s="102"/>
      <c r="AP922" s="102"/>
      <c r="AQ922" s="103"/>
      <c r="AR922" s="105">
        <f t="shared" si="1745"/>
        <v>0</v>
      </c>
      <c r="AS922" s="131" t="s">
        <v>161</v>
      </c>
      <c r="AT922" s="132">
        <f t="shared" ref="AT922:AX922" si="1746">SUM(AT919:AT921)</f>
        <v>0</v>
      </c>
      <c r="AU922" s="132">
        <f t="shared" si="1746"/>
        <v>0</v>
      </c>
      <c r="AV922" s="132">
        <f t="shared" si="1746"/>
        <v>0</v>
      </c>
      <c r="AW922" s="133">
        <f t="shared" si="1746"/>
        <v>0</v>
      </c>
      <c r="AX922" s="127">
        <f t="shared" si="1746"/>
        <v>0</v>
      </c>
      <c r="AY922" s="144" t="s">
        <v>161</v>
      </c>
      <c r="AZ922" s="140">
        <f t="shared" ref="AZ922:BB922" si="1747">SUM(AZ919:AZ921)</f>
        <v>0</v>
      </c>
      <c r="BA922" s="140">
        <f t="shared" si="1747"/>
        <v>0</v>
      </c>
      <c r="BB922" s="140">
        <f t="shared" si="1747"/>
        <v>0</v>
      </c>
      <c r="BC922" s="479" t="s">
        <v>263</v>
      </c>
      <c r="BD922" s="480"/>
      <c r="BE922" s="15"/>
      <c r="BF922" s="18"/>
      <c r="BG922" s="15"/>
      <c r="BH922" s="18"/>
      <c r="BI922" s="15"/>
      <c r="BJ922" s="18"/>
      <c r="BK922" s="15"/>
      <c r="BL922" s="18"/>
      <c r="BM922" s="15"/>
      <c r="BN922" s="18"/>
      <c r="BO922" s="15"/>
      <c r="BP922" s="18"/>
      <c r="BQ922" s="109">
        <f t="shared" si="1632"/>
        <v>0</v>
      </c>
      <c r="BR922" s="568"/>
      <c r="BS922" s="573"/>
      <c r="BT922" s="574"/>
      <c r="BU922" s="559"/>
      <c r="BV922" s="562"/>
      <c r="BW922" s="565"/>
      <c r="BX922" s="617"/>
    </row>
    <row r="923" spans="1:76" ht="15.75" thickTop="1" x14ac:dyDescent="0.25">
      <c r="A923" s="585">
        <v>229</v>
      </c>
      <c r="B923" s="588"/>
      <c r="C923" s="589"/>
      <c r="D923" s="604"/>
      <c r="E923" s="515"/>
      <c r="F923" s="516"/>
      <c r="G923" s="521"/>
      <c r="H923" s="522"/>
      <c r="I923" s="527"/>
      <c r="J923" s="528"/>
      <c r="K923" s="512" t="e">
        <f t="shared" ref="K923" si="1748">INT(YEARFRAC(I923,AA923))</f>
        <v>#VALUE!</v>
      </c>
      <c r="L923" s="533">
        <f t="shared" ref="L923" ca="1" si="1749">INT(YEARFRAC(I923,TODAY()))</f>
        <v>121</v>
      </c>
      <c r="M923" s="536"/>
      <c r="N923" s="539"/>
      <c r="O923" s="540"/>
      <c r="P923" s="481"/>
      <c r="Q923" s="482"/>
      <c r="R923" s="515"/>
      <c r="S923" s="516"/>
      <c r="T923" s="487"/>
      <c r="U923" s="488"/>
      <c r="V923" s="491"/>
      <c r="W923" s="481"/>
      <c r="X923" s="494"/>
      <c r="Y923" s="482"/>
      <c r="Z923" s="497"/>
      <c r="AA923" s="500" t="s">
        <v>470</v>
      </c>
      <c r="AB923" s="501"/>
      <c r="AC923" s="506" t="s">
        <v>257</v>
      </c>
      <c r="AD923" s="507"/>
      <c r="AE923" s="507"/>
      <c r="AF923" s="510"/>
      <c r="AG923" s="510"/>
      <c r="AH923" s="510"/>
      <c r="AI923" s="510"/>
      <c r="AJ923" s="510"/>
      <c r="AK923" s="510"/>
      <c r="AL923" s="510"/>
      <c r="AM923" s="510"/>
      <c r="AN923" s="510"/>
      <c r="AO923" s="510"/>
      <c r="AP923" s="510"/>
      <c r="AQ923" s="465"/>
      <c r="AR923" s="467">
        <f t="shared" ref="AR923" si="1750">SUM(AF923:AQ924)</f>
        <v>0</v>
      </c>
      <c r="AS923" s="119" t="s">
        <v>257</v>
      </c>
      <c r="AT923" s="120"/>
      <c r="AU923" s="120"/>
      <c r="AV923" s="120"/>
      <c r="AW923" s="121"/>
      <c r="AX923" s="125">
        <f t="shared" ref="AX923:AX925" si="1751">SUM(AT923:AW923)</f>
        <v>0</v>
      </c>
      <c r="AY923" s="141" t="s">
        <v>257</v>
      </c>
      <c r="AZ923" s="137"/>
      <c r="BA923" s="137"/>
      <c r="BB923" s="134">
        <f t="shared" ref="BB923:BB925" si="1752">AZ923-BA923</f>
        <v>0</v>
      </c>
      <c r="BC923" s="469" t="s">
        <v>258</v>
      </c>
      <c r="BD923" s="470"/>
      <c r="BE923" s="13"/>
      <c r="BF923" s="16"/>
      <c r="BG923" s="13"/>
      <c r="BH923" s="16"/>
      <c r="BI923" s="13"/>
      <c r="BJ923" s="16"/>
      <c r="BK923" s="13"/>
      <c r="BL923" s="16"/>
      <c r="BM923" s="13"/>
      <c r="BN923" s="16"/>
      <c r="BO923" s="13"/>
      <c r="BP923" s="16"/>
      <c r="BQ923" s="106">
        <f t="shared" si="1632"/>
        <v>0</v>
      </c>
      <c r="BR923" s="566"/>
      <c r="BS923" s="569"/>
      <c r="BT923" s="570"/>
      <c r="BU923" s="557"/>
      <c r="BV923" s="560"/>
      <c r="BW923" s="563"/>
      <c r="BX923" s="615"/>
    </row>
    <row r="924" spans="1:76" x14ac:dyDescent="0.25">
      <c r="A924" s="586"/>
      <c r="B924" s="590"/>
      <c r="C924" s="591"/>
      <c r="D924" s="605"/>
      <c r="E924" s="517"/>
      <c r="F924" s="518"/>
      <c r="G924" s="523"/>
      <c r="H924" s="524"/>
      <c r="I924" s="529"/>
      <c r="J924" s="530"/>
      <c r="K924" s="513"/>
      <c r="L924" s="534"/>
      <c r="M924" s="537"/>
      <c r="N924" s="541"/>
      <c r="O924" s="542"/>
      <c r="P924" s="483"/>
      <c r="Q924" s="484"/>
      <c r="R924" s="517"/>
      <c r="S924" s="518"/>
      <c r="T924" s="487"/>
      <c r="U924" s="488"/>
      <c r="V924" s="492"/>
      <c r="W924" s="483"/>
      <c r="X924" s="495"/>
      <c r="Y924" s="484"/>
      <c r="Z924" s="498"/>
      <c r="AA924" s="502"/>
      <c r="AB924" s="503"/>
      <c r="AC924" s="508"/>
      <c r="AD924" s="509"/>
      <c r="AE924" s="509"/>
      <c r="AF924" s="511"/>
      <c r="AG924" s="511"/>
      <c r="AH924" s="511"/>
      <c r="AI924" s="511"/>
      <c r="AJ924" s="511"/>
      <c r="AK924" s="511"/>
      <c r="AL924" s="511"/>
      <c r="AM924" s="511"/>
      <c r="AN924" s="511"/>
      <c r="AO924" s="511"/>
      <c r="AP924" s="511"/>
      <c r="AQ924" s="466"/>
      <c r="AR924" s="468"/>
      <c r="AS924" s="122" t="s">
        <v>259</v>
      </c>
      <c r="AT924" s="123"/>
      <c r="AU924" s="123"/>
      <c r="AV924" s="123"/>
      <c r="AW924" s="124"/>
      <c r="AX924" s="126">
        <f t="shared" si="1751"/>
        <v>0</v>
      </c>
      <c r="AY924" s="142" t="s">
        <v>259</v>
      </c>
      <c r="AZ924" s="138"/>
      <c r="BA924" s="138"/>
      <c r="BB924" s="135">
        <f t="shared" si="1752"/>
        <v>0</v>
      </c>
      <c r="BC924" s="474" t="s">
        <v>260</v>
      </c>
      <c r="BD924" s="475"/>
      <c r="BE924" s="14"/>
      <c r="BF924" s="17"/>
      <c r="BG924" s="14"/>
      <c r="BH924" s="17"/>
      <c r="BI924" s="14"/>
      <c r="BJ924" s="17"/>
      <c r="BK924" s="14"/>
      <c r="BL924" s="17"/>
      <c r="BM924" s="14"/>
      <c r="BN924" s="17"/>
      <c r="BO924" s="14"/>
      <c r="BP924" s="17"/>
      <c r="BQ924" s="107">
        <f t="shared" si="1632"/>
        <v>0</v>
      </c>
      <c r="BR924" s="567"/>
      <c r="BS924" s="571"/>
      <c r="BT924" s="572"/>
      <c r="BU924" s="558"/>
      <c r="BV924" s="561"/>
      <c r="BW924" s="564"/>
      <c r="BX924" s="616"/>
    </row>
    <row r="925" spans="1:76" ht="15.75" thickBot="1" x14ac:dyDescent="0.3">
      <c r="A925" s="586"/>
      <c r="B925" s="590"/>
      <c r="C925" s="591"/>
      <c r="D925" s="605"/>
      <c r="E925" s="517"/>
      <c r="F925" s="518"/>
      <c r="G925" s="523"/>
      <c r="H925" s="524"/>
      <c r="I925" s="529"/>
      <c r="J925" s="530"/>
      <c r="K925" s="513"/>
      <c r="L925" s="534"/>
      <c r="M925" s="537"/>
      <c r="N925" s="541"/>
      <c r="O925" s="542"/>
      <c r="P925" s="483"/>
      <c r="Q925" s="484"/>
      <c r="R925" s="517"/>
      <c r="S925" s="518"/>
      <c r="T925" s="487"/>
      <c r="U925" s="488"/>
      <c r="V925" s="492"/>
      <c r="W925" s="483"/>
      <c r="X925" s="495"/>
      <c r="Y925" s="484"/>
      <c r="Z925" s="498"/>
      <c r="AA925" s="502"/>
      <c r="AB925" s="503"/>
      <c r="AC925" s="471" t="s">
        <v>259</v>
      </c>
      <c r="AD925" s="472"/>
      <c r="AE925" s="473"/>
      <c r="AF925" s="100"/>
      <c r="AG925" s="100"/>
      <c r="AH925" s="100"/>
      <c r="AI925" s="100"/>
      <c r="AJ925" s="100"/>
      <c r="AK925" s="100"/>
      <c r="AL925" s="100"/>
      <c r="AM925" s="100"/>
      <c r="AN925" s="100"/>
      <c r="AO925" s="100"/>
      <c r="AP925" s="100"/>
      <c r="AQ925" s="101"/>
      <c r="AR925" s="104">
        <f t="shared" ref="AR925:AR926" si="1753">SUM(AF925:AQ925)</f>
        <v>0</v>
      </c>
      <c r="AS925" s="128" t="s">
        <v>261</v>
      </c>
      <c r="AT925" s="129"/>
      <c r="AU925" s="129"/>
      <c r="AV925" s="129"/>
      <c r="AW925" s="130"/>
      <c r="AX925" s="126">
        <f t="shared" si="1751"/>
        <v>0</v>
      </c>
      <c r="AY925" s="143" t="s">
        <v>261</v>
      </c>
      <c r="AZ925" s="139"/>
      <c r="BA925" s="139"/>
      <c r="BB925" s="136">
        <f t="shared" si="1752"/>
        <v>0</v>
      </c>
      <c r="BC925" s="474" t="s">
        <v>262</v>
      </c>
      <c r="BD925" s="475"/>
      <c r="BE925" s="14"/>
      <c r="BF925" s="17"/>
      <c r="BG925" s="14"/>
      <c r="BH925" s="17"/>
      <c r="BI925" s="14"/>
      <c r="BJ925" s="17"/>
      <c r="BK925" s="14"/>
      <c r="BL925" s="17"/>
      <c r="BM925" s="14"/>
      <c r="BN925" s="17"/>
      <c r="BO925" s="14"/>
      <c r="BP925" s="17"/>
      <c r="BQ925" s="108">
        <f t="shared" si="1632"/>
        <v>0</v>
      </c>
      <c r="BR925" s="567"/>
      <c r="BS925" s="571"/>
      <c r="BT925" s="572"/>
      <c r="BU925" s="558"/>
      <c r="BV925" s="561"/>
      <c r="BW925" s="564"/>
      <c r="BX925" s="616"/>
    </row>
    <row r="926" spans="1:76" ht="15.75" thickBot="1" x14ac:dyDescent="0.3">
      <c r="A926" s="587"/>
      <c r="B926" s="592"/>
      <c r="C926" s="593"/>
      <c r="D926" s="606"/>
      <c r="E926" s="519"/>
      <c r="F926" s="520"/>
      <c r="G926" s="525"/>
      <c r="H926" s="526"/>
      <c r="I926" s="531"/>
      <c r="J926" s="532"/>
      <c r="K926" s="514"/>
      <c r="L926" s="535"/>
      <c r="M926" s="538"/>
      <c r="N926" s="543"/>
      <c r="O926" s="544"/>
      <c r="P926" s="485"/>
      <c r="Q926" s="486"/>
      <c r="R926" s="519"/>
      <c r="S926" s="520"/>
      <c r="T926" s="489"/>
      <c r="U926" s="490"/>
      <c r="V926" s="493"/>
      <c r="W926" s="485"/>
      <c r="X926" s="496"/>
      <c r="Y926" s="486"/>
      <c r="Z926" s="499"/>
      <c r="AA926" s="504"/>
      <c r="AB926" s="505"/>
      <c r="AC926" s="476" t="s">
        <v>261</v>
      </c>
      <c r="AD926" s="477"/>
      <c r="AE926" s="478"/>
      <c r="AF926" s="102"/>
      <c r="AG926" s="102"/>
      <c r="AH926" s="102"/>
      <c r="AI926" s="102"/>
      <c r="AJ926" s="102"/>
      <c r="AK926" s="102"/>
      <c r="AL926" s="102"/>
      <c r="AM926" s="102"/>
      <c r="AN926" s="102"/>
      <c r="AO926" s="102"/>
      <c r="AP926" s="102"/>
      <c r="AQ926" s="103"/>
      <c r="AR926" s="105">
        <f t="shared" si="1753"/>
        <v>0</v>
      </c>
      <c r="AS926" s="131" t="s">
        <v>161</v>
      </c>
      <c r="AT926" s="132">
        <f t="shared" ref="AT926:AX926" si="1754">SUM(AT923:AT925)</f>
        <v>0</v>
      </c>
      <c r="AU926" s="132">
        <f t="shared" si="1754"/>
        <v>0</v>
      </c>
      <c r="AV926" s="132">
        <f t="shared" si="1754"/>
        <v>0</v>
      </c>
      <c r="AW926" s="133">
        <f t="shared" si="1754"/>
        <v>0</v>
      </c>
      <c r="AX926" s="127">
        <f t="shared" si="1754"/>
        <v>0</v>
      </c>
      <c r="AY926" s="144" t="s">
        <v>161</v>
      </c>
      <c r="AZ926" s="140">
        <f t="shared" ref="AZ926:BB926" si="1755">SUM(AZ923:AZ925)</f>
        <v>0</v>
      </c>
      <c r="BA926" s="140">
        <f t="shared" si="1755"/>
        <v>0</v>
      </c>
      <c r="BB926" s="140">
        <f t="shared" si="1755"/>
        <v>0</v>
      </c>
      <c r="BC926" s="479" t="s">
        <v>263</v>
      </c>
      <c r="BD926" s="480"/>
      <c r="BE926" s="15"/>
      <c r="BF926" s="18"/>
      <c r="BG926" s="15"/>
      <c r="BH926" s="18"/>
      <c r="BI926" s="15"/>
      <c r="BJ926" s="18"/>
      <c r="BK926" s="15"/>
      <c r="BL926" s="18"/>
      <c r="BM926" s="15"/>
      <c r="BN926" s="18"/>
      <c r="BO926" s="15"/>
      <c r="BP926" s="18"/>
      <c r="BQ926" s="109">
        <f t="shared" si="1632"/>
        <v>0</v>
      </c>
      <c r="BR926" s="568"/>
      <c r="BS926" s="573"/>
      <c r="BT926" s="574"/>
      <c r="BU926" s="559"/>
      <c r="BV926" s="562"/>
      <c r="BW926" s="565"/>
      <c r="BX926" s="617"/>
    </row>
    <row r="927" spans="1:76" ht="15.75" thickTop="1" x14ac:dyDescent="0.25">
      <c r="A927" s="585">
        <v>230</v>
      </c>
      <c r="B927" s="588"/>
      <c r="C927" s="589"/>
      <c r="D927" s="604"/>
      <c r="E927" s="515"/>
      <c r="F927" s="516"/>
      <c r="G927" s="521"/>
      <c r="H927" s="522"/>
      <c r="I927" s="527"/>
      <c r="J927" s="528"/>
      <c r="K927" s="512" t="e">
        <f t="shared" ref="K927" si="1756">INT(YEARFRAC(I927,AA927))</f>
        <v>#VALUE!</v>
      </c>
      <c r="L927" s="533">
        <f t="shared" ref="L927" ca="1" si="1757">INT(YEARFRAC(I927,TODAY()))</f>
        <v>121</v>
      </c>
      <c r="M927" s="536"/>
      <c r="N927" s="539"/>
      <c r="O927" s="540"/>
      <c r="P927" s="481"/>
      <c r="Q927" s="482"/>
      <c r="R927" s="515"/>
      <c r="S927" s="516"/>
      <c r="T927" s="487"/>
      <c r="U927" s="488"/>
      <c r="V927" s="491"/>
      <c r="W927" s="481"/>
      <c r="X927" s="494"/>
      <c r="Y927" s="482"/>
      <c r="Z927" s="497"/>
      <c r="AA927" s="500" t="s">
        <v>471</v>
      </c>
      <c r="AB927" s="501"/>
      <c r="AC927" s="506" t="s">
        <v>257</v>
      </c>
      <c r="AD927" s="507"/>
      <c r="AE927" s="507"/>
      <c r="AF927" s="510"/>
      <c r="AG927" s="510"/>
      <c r="AH927" s="510"/>
      <c r="AI927" s="510"/>
      <c r="AJ927" s="510"/>
      <c r="AK927" s="510"/>
      <c r="AL927" s="510"/>
      <c r="AM927" s="510"/>
      <c r="AN927" s="510"/>
      <c r="AO927" s="510"/>
      <c r="AP927" s="510"/>
      <c r="AQ927" s="465"/>
      <c r="AR927" s="467">
        <f t="shared" ref="AR927" si="1758">SUM(AF927:AQ928)</f>
        <v>0</v>
      </c>
      <c r="AS927" s="119" t="s">
        <v>257</v>
      </c>
      <c r="AT927" s="120"/>
      <c r="AU927" s="120"/>
      <c r="AV927" s="120"/>
      <c r="AW927" s="121"/>
      <c r="AX927" s="125">
        <f t="shared" ref="AX927:AX929" si="1759">SUM(AT927:AW927)</f>
        <v>0</v>
      </c>
      <c r="AY927" s="141" t="s">
        <v>257</v>
      </c>
      <c r="AZ927" s="137"/>
      <c r="BA927" s="137"/>
      <c r="BB927" s="134">
        <f t="shared" ref="BB927:BB929" si="1760">AZ927-BA927</f>
        <v>0</v>
      </c>
      <c r="BC927" s="469" t="s">
        <v>258</v>
      </c>
      <c r="BD927" s="470"/>
      <c r="BE927" s="13"/>
      <c r="BF927" s="16"/>
      <c r="BG927" s="13"/>
      <c r="BH927" s="16"/>
      <c r="BI927" s="13"/>
      <c r="BJ927" s="16"/>
      <c r="BK927" s="13"/>
      <c r="BL927" s="16"/>
      <c r="BM927" s="13"/>
      <c r="BN927" s="16"/>
      <c r="BO927" s="13"/>
      <c r="BP927" s="16"/>
      <c r="BQ927" s="106">
        <f t="shared" ref="BQ927:BQ990" si="1761">SUM(BE927:BP927)</f>
        <v>0</v>
      </c>
      <c r="BR927" s="566"/>
      <c r="BS927" s="569"/>
      <c r="BT927" s="570"/>
      <c r="BU927" s="557"/>
      <c r="BV927" s="560"/>
      <c r="BW927" s="563"/>
      <c r="BX927" s="615"/>
    </row>
    <row r="928" spans="1:76" x14ac:dyDescent="0.25">
      <c r="A928" s="586"/>
      <c r="B928" s="590"/>
      <c r="C928" s="591"/>
      <c r="D928" s="605"/>
      <c r="E928" s="517"/>
      <c r="F928" s="518"/>
      <c r="G928" s="523"/>
      <c r="H928" s="524"/>
      <c r="I928" s="529"/>
      <c r="J928" s="530"/>
      <c r="K928" s="513"/>
      <c r="L928" s="534"/>
      <c r="M928" s="537"/>
      <c r="N928" s="541"/>
      <c r="O928" s="542"/>
      <c r="P928" s="483"/>
      <c r="Q928" s="484"/>
      <c r="R928" s="517"/>
      <c r="S928" s="518"/>
      <c r="T928" s="487"/>
      <c r="U928" s="488"/>
      <c r="V928" s="492"/>
      <c r="W928" s="483"/>
      <c r="X928" s="495"/>
      <c r="Y928" s="484"/>
      <c r="Z928" s="498"/>
      <c r="AA928" s="502"/>
      <c r="AB928" s="503"/>
      <c r="AC928" s="508"/>
      <c r="AD928" s="509"/>
      <c r="AE928" s="509"/>
      <c r="AF928" s="511"/>
      <c r="AG928" s="511"/>
      <c r="AH928" s="511"/>
      <c r="AI928" s="511"/>
      <c r="AJ928" s="511"/>
      <c r="AK928" s="511"/>
      <c r="AL928" s="511"/>
      <c r="AM928" s="511"/>
      <c r="AN928" s="511"/>
      <c r="AO928" s="511"/>
      <c r="AP928" s="511"/>
      <c r="AQ928" s="466"/>
      <c r="AR928" s="468"/>
      <c r="AS928" s="122" t="s">
        <v>259</v>
      </c>
      <c r="AT928" s="123"/>
      <c r="AU928" s="123"/>
      <c r="AV928" s="123"/>
      <c r="AW928" s="124"/>
      <c r="AX928" s="126">
        <f t="shared" si="1759"/>
        <v>0</v>
      </c>
      <c r="AY928" s="142" t="s">
        <v>259</v>
      </c>
      <c r="AZ928" s="138"/>
      <c r="BA928" s="138"/>
      <c r="BB928" s="135">
        <f t="shared" si="1760"/>
        <v>0</v>
      </c>
      <c r="BC928" s="474" t="s">
        <v>260</v>
      </c>
      <c r="BD928" s="475"/>
      <c r="BE928" s="14"/>
      <c r="BF928" s="17"/>
      <c r="BG928" s="14"/>
      <c r="BH928" s="17"/>
      <c r="BI928" s="14"/>
      <c r="BJ928" s="17"/>
      <c r="BK928" s="14"/>
      <c r="BL928" s="17"/>
      <c r="BM928" s="14"/>
      <c r="BN928" s="17"/>
      <c r="BO928" s="14"/>
      <c r="BP928" s="17"/>
      <c r="BQ928" s="107">
        <f t="shared" si="1761"/>
        <v>0</v>
      </c>
      <c r="BR928" s="567"/>
      <c r="BS928" s="571"/>
      <c r="BT928" s="572"/>
      <c r="BU928" s="558"/>
      <c r="BV928" s="561"/>
      <c r="BW928" s="564"/>
      <c r="BX928" s="616"/>
    </row>
    <row r="929" spans="1:76" ht="15.75" thickBot="1" x14ac:dyDescent="0.3">
      <c r="A929" s="586"/>
      <c r="B929" s="590"/>
      <c r="C929" s="591"/>
      <c r="D929" s="605"/>
      <c r="E929" s="517"/>
      <c r="F929" s="518"/>
      <c r="G929" s="523"/>
      <c r="H929" s="524"/>
      <c r="I929" s="529"/>
      <c r="J929" s="530"/>
      <c r="K929" s="513"/>
      <c r="L929" s="534"/>
      <c r="M929" s="537"/>
      <c r="N929" s="541"/>
      <c r="O929" s="542"/>
      <c r="P929" s="483"/>
      <c r="Q929" s="484"/>
      <c r="R929" s="517"/>
      <c r="S929" s="518"/>
      <c r="T929" s="487"/>
      <c r="U929" s="488"/>
      <c r="V929" s="492"/>
      <c r="W929" s="483"/>
      <c r="X929" s="495"/>
      <c r="Y929" s="484"/>
      <c r="Z929" s="498"/>
      <c r="AA929" s="502"/>
      <c r="AB929" s="503"/>
      <c r="AC929" s="471" t="s">
        <v>259</v>
      </c>
      <c r="AD929" s="472"/>
      <c r="AE929" s="473"/>
      <c r="AF929" s="100"/>
      <c r="AG929" s="100"/>
      <c r="AH929" s="100"/>
      <c r="AI929" s="100"/>
      <c r="AJ929" s="100"/>
      <c r="AK929" s="100"/>
      <c r="AL929" s="100"/>
      <c r="AM929" s="100"/>
      <c r="AN929" s="100"/>
      <c r="AO929" s="100"/>
      <c r="AP929" s="100"/>
      <c r="AQ929" s="101"/>
      <c r="AR929" s="104">
        <f t="shared" ref="AR929:AR930" si="1762">SUM(AF929:AQ929)</f>
        <v>0</v>
      </c>
      <c r="AS929" s="128" t="s">
        <v>261</v>
      </c>
      <c r="AT929" s="129"/>
      <c r="AU929" s="129"/>
      <c r="AV929" s="129"/>
      <c r="AW929" s="130"/>
      <c r="AX929" s="126">
        <f t="shared" si="1759"/>
        <v>0</v>
      </c>
      <c r="AY929" s="143" t="s">
        <v>261</v>
      </c>
      <c r="AZ929" s="139"/>
      <c r="BA929" s="139"/>
      <c r="BB929" s="136">
        <f t="shared" si="1760"/>
        <v>0</v>
      </c>
      <c r="BC929" s="474" t="s">
        <v>262</v>
      </c>
      <c r="BD929" s="475"/>
      <c r="BE929" s="14"/>
      <c r="BF929" s="17"/>
      <c r="BG929" s="14"/>
      <c r="BH929" s="17"/>
      <c r="BI929" s="14"/>
      <c r="BJ929" s="17"/>
      <c r="BK929" s="14"/>
      <c r="BL929" s="17"/>
      <c r="BM929" s="14"/>
      <c r="BN929" s="17"/>
      <c r="BO929" s="14"/>
      <c r="BP929" s="17"/>
      <c r="BQ929" s="108">
        <f t="shared" si="1761"/>
        <v>0</v>
      </c>
      <c r="BR929" s="567"/>
      <c r="BS929" s="571"/>
      <c r="BT929" s="572"/>
      <c r="BU929" s="558"/>
      <c r="BV929" s="561"/>
      <c r="BW929" s="564"/>
      <c r="BX929" s="616"/>
    </row>
    <row r="930" spans="1:76" ht="15.75" thickBot="1" x14ac:dyDescent="0.3">
      <c r="A930" s="587"/>
      <c r="B930" s="592"/>
      <c r="C930" s="593"/>
      <c r="D930" s="606"/>
      <c r="E930" s="519"/>
      <c r="F930" s="520"/>
      <c r="G930" s="525"/>
      <c r="H930" s="526"/>
      <c r="I930" s="531"/>
      <c r="J930" s="532"/>
      <c r="K930" s="514"/>
      <c r="L930" s="535"/>
      <c r="M930" s="538"/>
      <c r="N930" s="543"/>
      <c r="O930" s="544"/>
      <c r="P930" s="485"/>
      <c r="Q930" s="486"/>
      <c r="R930" s="519"/>
      <c r="S930" s="520"/>
      <c r="T930" s="489"/>
      <c r="U930" s="490"/>
      <c r="V930" s="493"/>
      <c r="W930" s="485"/>
      <c r="X930" s="496"/>
      <c r="Y930" s="486"/>
      <c r="Z930" s="499"/>
      <c r="AA930" s="504"/>
      <c r="AB930" s="505"/>
      <c r="AC930" s="476" t="s">
        <v>261</v>
      </c>
      <c r="AD930" s="477"/>
      <c r="AE930" s="478"/>
      <c r="AF930" s="102"/>
      <c r="AG930" s="102"/>
      <c r="AH930" s="102"/>
      <c r="AI930" s="102"/>
      <c r="AJ930" s="102"/>
      <c r="AK930" s="102"/>
      <c r="AL930" s="102"/>
      <c r="AM930" s="102"/>
      <c r="AN930" s="102"/>
      <c r="AO930" s="102"/>
      <c r="AP930" s="102"/>
      <c r="AQ930" s="103"/>
      <c r="AR930" s="105">
        <f t="shared" si="1762"/>
        <v>0</v>
      </c>
      <c r="AS930" s="131" t="s">
        <v>161</v>
      </c>
      <c r="AT930" s="132">
        <f t="shared" ref="AT930:AX930" si="1763">SUM(AT927:AT929)</f>
        <v>0</v>
      </c>
      <c r="AU930" s="132">
        <f t="shared" si="1763"/>
        <v>0</v>
      </c>
      <c r="AV930" s="132">
        <f t="shared" si="1763"/>
        <v>0</v>
      </c>
      <c r="AW930" s="133">
        <f t="shared" si="1763"/>
        <v>0</v>
      </c>
      <c r="AX930" s="127">
        <f t="shared" si="1763"/>
        <v>0</v>
      </c>
      <c r="AY930" s="144" t="s">
        <v>161</v>
      </c>
      <c r="AZ930" s="140">
        <f t="shared" ref="AZ930:BB930" si="1764">SUM(AZ927:AZ929)</f>
        <v>0</v>
      </c>
      <c r="BA930" s="140">
        <f t="shared" si="1764"/>
        <v>0</v>
      </c>
      <c r="BB930" s="140">
        <f t="shared" si="1764"/>
        <v>0</v>
      </c>
      <c r="BC930" s="479" t="s">
        <v>263</v>
      </c>
      <c r="BD930" s="480"/>
      <c r="BE930" s="15"/>
      <c r="BF930" s="18"/>
      <c r="BG930" s="15"/>
      <c r="BH930" s="18"/>
      <c r="BI930" s="15"/>
      <c r="BJ930" s="18"/>
      <c r="BK930" s="15"/>
      <c r="BL930" s="18"/>
      <c r="BM930" s="15"/>
      <c r="BN930" s="18"/>
      <c r="BO930" s="15"/>
      <c r="BP930" s="18"/>
      <c r="BQ930" s="109">
        <f t="shared" si="1761"/>
        <v>0</v>
      </c>
      <c r="BR930" s="568"/>
      <c r="BS930" s="573"/>
      <c r="BT930" s="574"/>
      <c r="BU930" s="559"/>
      <c r="BV930" s="562"/>
      <c r="BW930" s="565"/>
      <c r="BX930" s="617"/>
    </row>
    <row r="931" spans="1:76" ht="15.75" thickTop="1" x14ac:dyDescent="0.25">
      <c r="A931" s="585">
        <v>231</v>
      </c>
      <c r="B931" s="588"/>
      <c r="C931" s="589"/>
      <c r="D931" s="604"/>
      <c r="E931" s="515"/>
      <c r="F931" s="516"/>
      <c r="G931" s="521"/>
      <c r="H931" s="522"/>
      <c r="I931" s="527"/>
      <c r="J931" s="528"/>
      <c r="K931" s="512" t="e">
        <f t="shared" ref="K931" si="1765">INT(YEARFRAC(I931,AA931))</f>
        <v>#VALUE!</v>
      </c>
      <c r="L931" s="533">
        <f t="shared" ref="L931" ca="1" si="1766">INT(YEARFRAC(I931,TODAY()))</f>
        <v>121</v>
      </c>
      <c r="M931" s="536"/>
      <c r="N931" s="539"/>
      <c r="O931" s="540"/>
      <c r="P931" s="481"/>
      <c r="Q931" s="482"/>
      <c r="R931" s="515"/>
      <c r="S931" s="516"/>
      <c r="T931" s="487"/>
      <c r="U931" s="488"/>
      <c r="V931" s="491"/>
      <c r="W931" s="481"/>
      <c r="X931" s="494"/>
      <c r="Y931" s="482"/>
      <c r="Z931" s="497"/>
      <c r="AA931" s="500" t="s">
        <v>472</v>
      </c>
      <c r="AB931" s="501"/>
      <c r="AC931" s="506" t="s">
        <v>257</v>
      </c>
      <c r="AD931" s="507"/>
      <c r="AE931" s="507"/>
      <c r="AF931" s="510"/>
      <c r="AG931" s="510"/>
      <c r="AH931" s="510"/>
      <c r="AI931" s="510"/>
      <c r="AJ931" s="510"/>
      <c r="AK931" s="510"/>
      <c r="AL931" s="510"/>
      <c r="AM931" s="510"/>
      <c r="AN931" s="510"/>
      <c r="AO931" s="510"/>
      <c r="AP931" s="510"/>
      <c r="AQ931" s="465"/>
      <c r="AR931" s="467">
        <f t="shared" ref="AR931" si="1767">SUM(AF931:AQ932)</f>
        <v>0</v>
      </c>
      <c r="AS931" s="119" t="s">
        <v>257</v>
      </c>
      <c r="AT931" s="120"/>
      <c r="AU931" s="120"/>
      <c r="AV931" s="120"/>
      <c r="AW931" s="121"/>
      <c r="AX931" s="125">
        <f t="shared" ref="AX931:AX933" si="1768">SUM(AT931:AW931)</f>
        <v>0</v>
      </c>
      <c r="AY931" s="141" t="s">
        <v>257</v>
      </c>
      <c r="AZ931" s="137"/>
      <c r="BA931" s="137"/>
      <c r="BB931" s="134">
        <f t="shared" ref="BB931:BB933" si="1769">AZ931-BA931</f>
        <v>0</v>
      </c>
      <c r="BC931" s="469" t="s">
        <v>258</v>
      </c>
      <c r="BD931" s="470"/>
      <c r="BE931" s="13"/>
      <c r="BF931" s="16"/>
      <c r="BG931" s="13"/>
      <c r="BH931" s="16"/>
      <c r="BI931" s="13"/>
      <c r="BJ931" s="16"/>
      <c r="BK931" s="13"/>
      <c r="BL931" s="16"/>
      <c r="BM931" s="13"/>
      <c r="BN931" s="16"/>
      <c r="BO931" s="13"/>
      <c r="BP931" s="16"/>
      <c r="BQ931" s="106">
        <f t="shared" si="1761"/>
        <v>0</v>
      </c>
      <c r="BR931" s="566"/>
      <c r="BS931" s="569"/>
      <c r="BT931" s="570"/>
      <c r="BU931" s="557"/>
      <c r="BV931" s="560"/>
      <c r="BW931" s="563"/>
      <c r="BX931" s="615"/>
    </row>
    <row r="932" spans="1:76" x14ac:dyDescent="0.25">
      <c r="A932" s="586"/>
      <c r="B932" s="590"/>
      <c r="C932" s="591"/>
      <c r="D932" s="605"/>
      <c r="E932" s="517"/>
      <c r="F932" s="518"/>
      <c r="G932" s="523"/>
      <c r="H932" s="524"/>
      <c r="I932" s="529"/>
      <c r="J932" s="530"/>
      <c r="K932" s="513"/>
      <c r="L932" s="534"/>
      <c r="M932" s="537"/>
      <c r="N932" s="541"/>
      <c r="O932" s="542"/>
      <c r="P932" s="483"/>
      <c r="Q932" s="484"/>
      <c r="R932" s="517"/>
      <c r="S932" s="518"/>
      <c r="T932" s="487"/>
      <c r="U932" s="488"/>
      <c r="V932" s="492"/>
      <c r="W932" s="483"/>
      <c r="X932" s="495"/>
      <c r="Y932" s="484"/>
      <c r="Z932" s="498"/>
      <c r="AA932" s="502"/>
      <c r="AB932" s="503"/>
      <c r="AC932" s="508"/>
      <c r="AD932" s="509"/>
      <c r="AE932" s="509"/>
      <c r="AF932" s="511"/>
      <c r="AG932" s="511"/>
      <c r="AH932" s="511"/>
      <c r="AI932" s="511"/>
      <c r="AJ932" s="511"/>
      <c r="AK932" s="511"/>
      <c r="AL932" s="511"/>
      <c r="AM932" s="511"/>
      <c r="AN932" s="511"/>
      <c r="AO932" s="511"/>
      <c r="AP932" s="511"/>
      <c r="AQ932" s="466"/>
      <c r="AR932" s="468"/>
      <c r="AS932" s="122" t="s">
        <v>259</v>
      </c>
      <c r="AT932" s="123"/>
      <c r="AU932" s="123"/>
      <c r="AV932" s="123"/>
      <c r="AW932" s="124"/>
      <c r="AX932" s="126">
        <f t="shared" si="1768"/>
        <v>0</v>
      </c>
      <c r="AY932" s="142" t="s">
        <v>259</v>
      </c>
      <c r="AZ932" s="138"/>
      <c r="BA932" s="138"/>
      <c r="BB932" s="135">
        <f t="shared" si="1769"/>
        <v>0</v>
      </c>
      <c r="BC932" s="474" t="s">
        <v>260</v>
      </c>
      <c r="BD932" s="475"/>
      <c r="BE932" s="14"/>
      <c r="BF932" s="17"/>
      <c r="BG932" s="14"/>
      <c r="BH932" s="17"/>
      <c r="BI932" s="14"/>
      <c r="BJ932" s="17"/>
      <c r="BK932" s="14"/>
      <c r="BL932" s="17"/>
      <c r="BM932" s="14"/>
      <c r="BN932" s="17"/>
      <c r="BO932" s="14"/>
      <c r="BP932" s="17"/>
      <c r="BQ932" s="107">
        <f t="shared" si="1761"/>
        <v>0</v>
      </c>
      <c r="BR932" s="567"/>
      <c r="BS932" s="571"/>
      <c r="BT932" s="572"/>
      <c r="BU932" s="558"/>
      <c r="BV932" s="561"/>
      <c r="BW932" s="564"/>
      <c r="BX932" s="616"/>
    </row>
    <row r="933" spans="1:76" ht="15.75" thickBot="1" x14ac:dyDescent="0.3">
      <c r="A933" s="586"/>
      <c r="B933" s="590"/>
      <c r="C933" s="591"/>
      <c r="D933" s="605"/>
      <c r="E933" s="517"/>
      <c r="F933" s="518"/>
      <c r="G933" s="523"/>
      <c r="H933" s="524"/>
      <c r="I933" s="529"/>
      <c r="J933" s="530"/>
      <c r="K933" s="513"/>
      <c r="L933" s="534"/>
      <c r="M933" s="537"/>
      <c r="N933" s="541"/>
      <c r="O933" s="542"/>
      <c r="P933" s="483"/>
      <c r="Q933" s="484"/>
      <c r="R933" s="517"/>
      <c r="S933" s="518"/>
      <c r="T933" s="487"/>
      <c r="U933" s="488"/>
      <c r="V933" s="492"/>
      <c r="W933" s="483"/>
      <c r="X933" s="495"/>
      <c r="Y933" s="484"/>
      <c r="Z933" s="498"/>
      <c r="AA933" s="502"/>
      <c r="AB933" s="503"/>
      <c r="AC933" s="471" t="s">
        <v>259</v>
      </c>
      <c r="AD933" s="472"/>
      <c r="AE933" s="473"/>
      <c r="AF933" s="100"/>
      <c r="AG933" s="100"/>
      <c r="AH933" s="100"/>
      <c r="AI933" s="100"/>
      <c r="AJ933" s="100"/>
      <c r="AK933" s="100"/>
      <c r="AL933" s="100"/>
      <c r="AM933" s="100"/>
      <c r="AN933" s="100"/>
      <c r="AO933" s="100"/>
      <c r="AP933" s="100"/>
      <c r="AQ933" s="101"/>
      <c r="AR933" s="104">
        <f t="shared" ref="AR933:AR934" si="1770">SUM(AF933:AQ933)</f>
        <v>0</v>
      </c>
      <c r="AS933" s="128" t="s">
        <v>261</v>
      </c>
      <c r="AT933" s="129"/>
      <c r="AU933" s="129"/>
      <c r="AV933" s="129"/>
      <c r="AW933" s="130"/>
      <c r="AX933" s="126">
        <f t="shared" si="1768"/>
        <v>0</v>
      </c>
      <c r="AY933" s="143" t="s">
        <v>261</v>
      </c>
      <c r="AZ933" s="139"/>
      <c r="BA933" s="139"/>
      <c r="BB933" s="136">
        <f t="shared" si="1769"/>
        <v>0</v>
      </c>
      <c r="BC933" s="474" t="s">
        <v>262</v>
      </c>
      <c r="BD933" s="475"/>
      <c r="BE933" s="14"/>
      <c r="BF933" s="17"/>
      <c r="BG933" s="14"/>
      <c r="BH933" s="17"/>
      <c r="BI933" s="14"/>
      <c r="BJ933" s="17"/>
      <c r="BK933" s="14"/>
      <c r="BL933" s="17"/>
      <c r="BM933" s="14"/>
      <c r="BN933" s="17"/>
      <c r="BO933" s="14"/>
      <c r="BP933" s="17"/>
      <c r="BQ933" s="108">
        <f t="shared" si="1761"/>
        <v>0</v>
      </c>
      <c r="BR933" s="567"/>
      <c r="BS933" s="571"/>
      <c r="BT933" s="572"/>
      <c r="BU933" s="558"/>
      <c r="BV933" s="561"/>
      <c r="BW933" s="564"/>
      <c r="BX933" s="616"/>
    </row>
    <row r="934" spans="1:76" ht="15.75" thickBot="1" x14ac:dyDescent="0.3">
      <c r="A934" s="587"/>
      <c r="B934" s="592"/>
      <c r="C934" s="593"/>
      <c r="D934" s="606"/>
      <c r="E934" s="519"/>
      <c r="F934" s="520"/>
      <c r="G934" s="525"/>
      <c r="H934" s="526"/>
      <c r="I934" s="531"/>
      <c r="J934" s="532"/>
      <c r="K934" s="514"/>
      <c r="L934" s="535"/>
      <c r="M934" s="538"/>
      <c r="N934" s="543"/>
      <c r="O934" s="544"/>
      <c r="P934" s="485"/>
      <c r="Q934" s="486"/>
      <c r="R934" s="519"/>
      <c r="S934" s="520"/>
      <c r="T934" s="489"/>
      <c r="U934" s="490"/>
      <c r="V934" s="493"/>
      <c r="W934" s="485"/>
      <c r="X934" s="496"/>
      <c r="Y934" s="486"/>
      <c r="Z934" s="499"/>
      <c r="AA934" s="504"/>
      <c r="AB934" s="505"/>
      <c r="AC934" s="476" t="s">
        <v>261</v>
      </c>
      <c r="AD934" s="477"/>
      <c r="AE934" s="478"/>
      <c r="AF934" s="102"/>
      <c r="AG934" s="102"/>
      <c r="AH934" s="102"/>
      <c r="AI934" s="102"/>
      <c r="AJ934" s="102"/>
      <c r="AK934" s="102"/>
      <c r="AL934" s="102"/>
      <c r="AM934" s="102"/>
      <c r="AN934" s="102"/>
      <c r="AO934" s="102"/>
      <c r="AP934" s="102"/>
      <c r="AQ934" s="103"/>
      <c r="AR934" s="105">
        <f t="shared" si="1770"/>
        <v>0</v>
      </c>
      <c r="AS934" s="131" t="s">
        <v>161</v>
      </c>
      <c r="AT934" s="132">
        <f t="shared" ref="AT934:AX934" si="1771">SUM(AT931:AT933)</f>
        <v>0</v>
      </c>
      <c r="AU934" s="132">
        <f t="shared" si="1771"/>
        <v>0</v>
      </c>
      <c r="AV934" s="132">
        <f t="shared" si="1771"/>
        <v>0</v>
      </c>
      <c r="AW934" s="133">
        <f t="shared" si="1771"/>
        <v>0</v>
      </c>
      <c r="AX934" s="127">
        <f t="shared" si="1771"/>
        <v>0</v>
      </c>
      <c r="AY934" s="144" t="s">
        <v>161</v>
      </c>
      <c r="AZ934" s="140">
        <f t="shared" ref="AZ934:BB934" si="1772">SUM(AZ931:AZ933)</f>
        <v>0</v>
      </c>
      <c r="BA934" s="140">
        <f t="shared" si="1772"/>
        <v>0</v>
      </c>
      <c r="BB934" s="140">
        <f t="shared" si="1772"/>
        <v>0</v>
      </c>
      <c r="BC934" s="479" t="s">
        <v>263</v>
      </c>
      <c r="BD934" s="480"/>
      <c r="BE934" s="15"/>
      <c r="BF934" s="18"/>
      <c r="BG934" s="15"/>
      <c r="BH934" s="18"/>
      <c r="BI934" s="15"/>
      <c r="BJ934" s="18"/>
      <c r="BK934" s="15"/>
      <c r="BL934" s="18"/>
      <c r="BM934" s="15"/>
      <c r="BN934" s="18"/>
      <c r="BO934" s="15"/>
      <c r="BP934" s="18"/>
      <c r="BQ934" s="109">
        <f t="shared" si="1761"/>
        <v>0</v>
      </c>
      <c r="BR934" s="568"/>
      <c r="BS934" s="573"/>
      <c r="BT934" s="574"/>
      <c r="BU934" s="559"/>
      <c r="BV934" s="562"/>
      <c r="BW934" s="565"/>
      <c r="BX934" s="617"/>
    </row>
    <row r="935" spans="1:76" ht="15.75" thickTop="1" x14ac:dyDescent="0.25">
      <c r="A935" s="585">
        <v>232</v>
      </c>
      <c r="B935" s="588"/>
      <c r="C935" s="589"/>
      <c r="D935" s="604"/>
      <c r="E935" s="515"/>
      <c r="F935" s="516"/>
      <c r="G935" s="521"/>
      <c r="H935" s="522"/>
      <c r="I935" s="527"/>
      <c r="J935" s="528"/>
      <c r="K935" s="512" t="e">
        <f t="shared" ref="K935" si="1773">INT(YEARFRAC(I935,AA935))</f>
        <v>#VALUE!</v>
      </c>
      <c r="L935" s="533">
        <f t="shared" ref="L935" ca="1" si="1774">INT(YEARFRAC(I935,TODAY()))</f>
        <v>121</v>
      </c>
      <c r="M935" s="536"/>
      <c r="N935" s="539"/>
      <c r="O935" s="540"/>
      <c r="P935" s="481"/>
      <c r="Q935" s="482"/>
      <c r="R935" s="515"/>
      <c r="S935" s="516"/>
      <c r="T935" s="487"/>
      <c r="U935" s="488"/>
      <c r="V935" s="491"/>
      <c r="W935" s="481"/>
      <c r="X935" s="494"/>
      <c r="Y935" s="482"/>
      <c r="Z935" s="497"/>
      <c r="AA935" s="500" t="s">
        <v>473</v>
      </c>
      <c r="AB935" s="501"/>
      <c r="AC935" s="506" t="s">
        <v>257</v>
      </c>
      <c r="AD935" s="507"/>
      <c r="AE935" s="507"/>
      <c r="AF935" s="510"/>
      <c r="AG935" s="510"/>
      <c r="AH935" s="510"/>
      <c r="AI935" s="510"/>
      <c r="AJ935" s="510"/>
      <c r="AK935" s="510"/>
      <c r="AL935" s="510"/>
      <c r="AM935" s="510"/>
      <c r="AN935" s="510"/>
      <c r="AO935" s="510"/>
      <c r="AP935" s="510"/>
      <c r="AQ935" s="465"/>
      <c r="AR935" s="467">
        <f t="shared" ref="AR935" si="1775">SUM(AF935:AQ936)</f>
        <v>0</v>
      </c>
      <c r="AS935" s="119" t="s">
        <v>257</v>
      </c>
      <c r="AT935" s="120"/>
      <c r="AU935" s="120"/>
      <c r="AV935" s="120"/>
      <c r="AW935" s="121"/>
      <c r="AX935" s="125">
        <f t="shared" ref="AX935:AX937" si="1776">SUM(AT935:AW935)</f>
        <v>0</v>
      </c>
      <c r="AY935" s="141" t="s">
        <v>257</v>
      </c>
      <c r="AZ935" s="137"/>
      <c r="BA935" s="137"/>
      <c r="BB935" s="134">
        <f t="shared" ref="BB935:BB937" si="1777">AZ935-BA935</f>
        <v>0</v>
      </c>
      <c r="BC935" s="469" t="s">
        <v>258</v>
      </c>
      <c r="BD935" s="470"/>
      <c r="BE935" s="13"/>
      <c r="BF935" s="16"/>
      <c r="BG935" s="13"/>
      <c r="BH935" s="16"/>
      <c r="BI935" s="13"/>
      <c r="BJ935" s="16"/>
      <c r="BK935" s="13"/>
      <c r="BL935" s="16"/>
      <c r="BM935" s="13"/>
      <c r="BN935" s="16"/>
      <c r="BO935" s="13"/>
      <c r="BP935" s="16"/>
      <c r="BQ935" s="106">
        <f t="shared" si="1761"/>
        <v>0</v>
      </c>
      <c r="BR935" s="566"/>
      <c r="BS935" s="569"/>
      <c r="BT935" s="570"/>
      <c r="BU935" s="557"/>
      <c r="BV935" s="560"/>
      <c r="BW935" s="563"/>
      <c r="BX935" s="615"/>
    </row>
    <row r="936" spans="1:76" x14ac:dyDescent="0.25">
      <c r="A936" s="586"/>
      <c r="B936" s="590"/>
      <c r="C936" s="591"/>
      <c r="D936" s="605"/>
      <c r="E936" s="517"/>
      <c r="F936" s="518"/>
      <c r="G936" s="523"/>
      <c r="H936" s="524"/>
      <c r="I936" s="529"/>
      <c r="J936" s="530"/>
      <c r="K936" s="513"/>
      <c r="L936" s="534"/>
      <c r="M936" s="537"/>
      <c r="N936" s="541"/>
      <c r="O936" s="542"/>
      <c r="P936" s="483"/>
      <c r="Q936" s="484"/>
      <c r="R936" s="517"/>
      <c r="S936" s="518"/>
      <c r="T936" s="487"/>
      <c r="U936" s="488"/>
      <c r="V936" s="492"/>
      <c r="W936" s="483"/>
      <c r="X936" s="495"/>
      <c r="Y936" s="484"/>
      <c r="Z936" s="498"/>
      <c r="AA936" s="502"/>
      <c r="AB936" s="503"/>
      <c r="AC936" s="508"/>
      <c r="AD936" s="509"/>
      <c r="AE936" s="509"/>
      <c r="AF936" s="511"/>
      <c r="AG936" s="511"/>
      <c r="AH936" s="511"/>
      <c r="AI936" s="511"/>
      <c r="AJ936" s="511"/>
      <c r="AK936" s="511"/>
      <c r="AL936" s="511"/>
      <c r="AM936" s="511"/>
      <c r="AN936" s="511"/>
      <c r="AO936" s="511"/>
      <c r="AP936" s="511"/>
      <c r="AQ936" s="466"/>
      <c r="AR936" s="468"/>
      <c r="AS936" s="122" t="s">
        <v>259</v>
      </c>
      <c r="AT936" s="123"/>
      <c r="AU936" s="123"/>
      <c r="AV936" s="123"/>
      <c r="AW936" s="124"/>
      <c r="AX936" s="126">
        <f t="shared" si="1776"/>
        <v>0</v>
      </c>
      <c r="AY936" s="142" t="s">
        <v>259</v>
      </c>
      <c r="AZ936" s="138"/>
      <c r="BA936" s="138"/>
      <c r="BB936" s="135">
        <f t="shared" si="1777"/>
        <v>0</v>
      </c>
      <c r="BC936" s="474" t="s">
        <v>260</v>
      </c>
      <c r="BD936" s="475"/>
      <c r="BE936" s="14"/>
      <c r="BF936" s="17"/>
      <c r="BG936" s="14"/>
      <c r="BH936" s="17"/>
      <c r="BI936" s="14"/>
      <c r="BJ936" s="17"/>
      <c r="BK936" s="14"/>
      <c r="BL936" s="17"/>
      <c r="BM936" s="14"/>
      <c r="BN936" s="17"/>
      <c r="BO936" s="14"/>
      <c r="BP936" s="17"/>
      <c r="BQ936" s="107">
        <f t="shared" si="1761"/>
        <v>0</v>
      </c>
      <c r="BR936" s="567"/>
      <c r="BS936" s="571"/>
      <c r="BT936" s="572"/>
      <c r="BU936" s="558"/>
      <c r="BV936" s="561"/>
      <c r="BW936" s="564"/>
      <c r="BX936" s="616"/>
    </row>
    <row r="937" spans="1:76" ht="15.75" thickBot="1" x14ac:dyDescent="0.3">
      <c r="A937" s="586"/>
      <c r="B937" s="590"/>
      <c r="C937" s="591"/>
      <c r="D937" s="605"/>
      <c r="E937" s="517"/>
      <c r="F937" s="518"/>
      <c r="G937" s="523"/>
      <c r="H937" s="524"/>
      <c r="I937" s="529"/>
      <c r="J937" s="530"/>
      <c r="K937" s="513"/>
      <c r="L937" s="534"/>
      <c r="M937" s="537"/>
      <c r="N937" s="541"/>
      <c r="O937" s="542"/>
      <c r="P937" s="483"/>
      <c r="Q937" s="484"/>
      <c r="R937" s="517"/>
      <c r="S937" s="518"/>
      <c r="T937" s="487"/>
      <c r="U937" s="488"/>
      <c r="V937" s="492"/>
      <c r="W937" s="483"/>
      <c r="X937" s="495"/>
      <c r="Y937" s="484"/>
      <c r="Z937" s="498"/>
      <c r="AA937" s="502"/>
      <c r="AB937" s="503"/>
      <c r="AC937" s="471" t="s">
        <v>259</v>
      </c>
      <c r="AD937" s="472"/>
      <c r="AE937" s="473"/>
      <c r="AF937" s="100"/>
      <c r="AG937" s="100"/>
      <c r="AH937" s="100"/>
      <c r="AI937" s="100"/>
      <c r="AJ937" s="100"/>
      <c r="AK937" s="100"/>
      <c r="AL937" s="100"/>
      <c r="AM937" s="100"/>
      <c r="AN937" s="100"/>
      <c r="AO937" s="100"/>
      <c r="AP937" s="100"/>
      <c r="AQ937" s="101"/>
      <c r="AR937" s="104">
        <f t="shared" ref="AR937:AR938" si="1778">SUM(AF937:AQ937)</f>
        <v>0</v>
      </c>
      <c r="AS937" s="128" t="s">
        <v>261</v>
      </c>
      <c r="AT937" s="129"/>
      <c r="AU937" s="129"/>
      <c r="AV937" s="129"/>
      <c r="AW937" s="130"/>
      <c r="AX937" s="126">
        <f t="shared" si="1776"/>
        <v>0</v>
      </c>
      <c r="AY937" s="143" t="s">
        <v>261</v>
      </c>
      <c r="AZ937" s="139"/>
      <c r="BA937" s="139"/>
      <c r="BB937" s="136">
        <f t="shared" si="1777"/>
        <v>0</v>
      </c>
      <c r="BC937" s="474" t="s">
        <v>262</v>
      </c>
      <c r="BD937" s="475"/>
      <c r="BE937" s="14"/>
      <c r="BF937" s="17"/>
      <c r="BG937" s="14"/>
      <c r="BH937" s="17"/>
      <c r="BI937" s="14"/>
      <c r="BJ937" s="17"/>
      <c r="BK937" s="14"/>
      <c r="BL937" s="17"/>
      <c r="BM937" s="14"/>
      <c r="BN937" s="17"/>
      <c r="BO937" s="14"/>
      <c r="BP937" s="17"/>
      <c r="BQ937" s="108">
        <f t="shared" si="1761"/>
        <v>0</v>
      </c>
      <c r="BR937" s="567"/>
      <c r="BS937" s="571"/>
      <c r="BT937" s="572"/>
      <c r="BU937" s="558"/>
      <c r="BV937" s="561"/>
      <c r="BW937" s="564"/>
      <c r="BX937" s="616"/>
    </row>
    <row r="938" spans="1:76" ht="15.75" thickBot="1" x14ac:dyDescent="0.3">
      <c r="A938" s="587"/>
      <c r="B938" s="592"/>
      <c r="C938" s="593"/>
      <c r="D938" s="606"/>
      <c r="E938" s="519"/>
      <c r="F938" s="520"/>
      <c r="G938" s="525"/>
      <c r="H938" s="526"/>
      <c r="I938" s="531"/>
      <c r="J938" s="532"/>
      <c r="K938" s="514"/>
      <c r="L938" s="535"/>
      <c r="M938" s="538"/>
      <c r="N938" s="543"/>
      <c r="O938" s="544"/>
      <c r="P938" s="485"/>
      <c r="Q938" s="486"/>
      <c r="R938" s="519"/>
      <c r="S938" s="520"/>
      <c r="T938" s="489"/>
      <c r="U938" s="490"/>
      <c r="V938" s="493"/>
      <c r="W938" s="485"/>
      <c r="X938" s="496"/>
      <c r="Y938" s="486"/>
      <c r="Z938" s="499"/>
      <c r="AA938" s="504"/>
      <c r="AB938" s="505"/>
      <c r="AC938" s="476" t="s">
        <v>261</v>
      </c>
      <c r="AD938" s="477"/>
      <c r="AE938" s="478"/>
      <c r="AF938" s="102"/>
      <c r="AG938" s="102"/>
      <c r="AH938" s="102"/>
      <c r="AI938" s="102"/>
      <c r="AJ938" s="102"/>
      <c r="AK938" s="102"/>
      <c r="AL938" s="102"/>
      <c r="AM938" s="102"/>
      <c r="AN938" s="102"/>
      <c r="AO938" s="102"/>
      <c r="AP938" s="102"/>
      <c r="AQ938" s="103"/>
      <c r="AR938" s="105">
        <f t="shared" si="1778"/>
        <v>0</v>
      </c>
      <c r="AS938" s="131" t="s">
        <v>161</v>
      </c>
      <c r="AT938" s="132">
        <f t="shared" ref="AT938:AX938" si="1779">SUM(AT935:AT937)</f>
        <v>0</v>
      </c>
      <c r="AU938" s="132">
        <f t="shared" si="1779"/>
        <v>0</v>
      </c>
      <c r="AV938" s="132">
        <f t="shared" si="1779"/>
        <v>0</v>
      </c>
      <c r="AW938" s="133">
        <f t="shared" si="1779"/>
        <v>0</v>
      </c>
      <c r="AX938" s="127">
        <f t="shared" si="1779"/>
        <v>0</v>
      </c>
      <c r="AY938" s="144" t="s">
        <v>161</v>
      </c>
      <c r="AZ938" s="140">
        <f t="shared" ref="AZ938:BB938" si="1780">SUM(AZ935:AZ937)</f>
        <v>0</v>
      </c>
      <c r="BA938" s="140">
        <f t="shared" si="1780"/>
        <v>0</v>
      </c>
      <c r="BB938" s="140">
        <f t="shared" si="1780"/>
        <v>0</v>
      </c>
      <c r="BC938" s="479" t="s">
        <v>263</v>
      </c>
      <c r="BD938" s="480"/>
      <c r="BE938" s="15"/>
      <c r="BF938" s="18"/>
      <c r="BG938" s="15"/>
      <c r="BH938" s="18"/>
      <c r="BI938" s="15"/>
      <c r="BJ938" s="18"/>
      <c r="BK938" s="15"/>
      <c r="BL938" s="18"/>
      <c r="BM938" s="15"/>
      <c r="BN938" s="18"/>
      <c r="BO938" s="15"/>
      <c r="BP938" s="18"/>
      <c r="BQ938" s="109">
        <f t="shared" si="1761"/>
        <v>0</v>
      </c>
      <c r="BR938" s="568"/>
      <c r="BS938" s="573"/>
      <c r="BT938" s="574"/>
      <c r="BU938" s="559"/>
      <c r="BV938" s="562"/>
      <c r="BW938" s="565"/>
      <c r="BX938" s="617"/>
    </row>
    <row r="939" spans="1:76" ht="15.75" thickTop="1" x14ac:dyDescent="0.25">
      <c r="A939" s="585">
        <v>233</v>
      </c>
      <c r="B939" s="588"/>
      <c r="C939" s="589"/>
      <c r="D939" s="604"/>
      <c r="E939" s="515"/>
      <c r="F939" s="516"/>
      <c r="G939" s="521"/>
      <c r="H939" s="522"/>
      <c r="I939" s="527"/>
      <c r="J939" s="528"/>
      <c r="K939" s="512" t="e">
        <f t="shared" ref="K939" si="1781">INT(YEARFRAC(I939,AA939))</f>
        <v>#VALUE!</v>
      </c>
      <c r="L939" s="533">
        <f t="shared" ref="L939" ca="1" si="1782">INT(YEARFRAC(I939,TODAY()))</f>
        <v>121</v>
      </c>
      <c r="M939" s="536"/>
      <c r="N939" s="539"/>
      <c r="O939" s="540"/>
      <c r="P939" s="481"/>
      <c r="Q939" s="482"/>
      <c r="R939" s="515"/>
      <c r="S939" s="516"/>
      <c r="T939" s="487"/>
      <c r="U939" s="488"/>
      <c r="V939" s="491"/>
      <c r="W939" s="481"/>
      <c r="X939" s="494"/>
      <c r="Y939" s="482"/>
      <c r="Z939" s="497"/>
      <c r="AA939" s="500" t="s">
        <v>474</v>
      </c>
      <c r="AB939" s="501"/>
      <c r="AC939" s="506" t="s">
        <v>257</v>
      </c>
      <c r="AD939" s="507"/>
      <c r="AE939" s="507"/>
      <c r="AF939" s="510"/>
      <c r="AG939" s="510"/>
      <c r="AH939" s="510"/>
      <c r="AI939" s="510"/>
      <c r="AJ939" s="510"/>
      <c r="AK939" s="510"/>
      <c r="AL939" s="510"/>
      <c r="AM939" s="510"/>
      <c r="AN939" s="510"/>
      <c r="AO939" s="510"/>
      <c r="AP939" s="510"/>
      <c r="AQ939" s="465"/>
      <c r="AR939" s="467">
        <f t="shared" ref="AR939" si="1783">SUM(AF939:AQ940)</f>
        <v>0</v>
      </c>
      <c r="AS939" s="119" t="s">
        <v>257</v>
      </c>
      <c r="AT939" s="120"/>
      <c r="AU939" s="120"/>
      <c r="AV939" s="120"/>
      <c r="AW939" s="121"/>
      <c r="AX939" s="125">
        <f t="shared" ref="AX939:AX941" si="1784">SUM(AT939:AW939)</f>
        <v>0</v>
      </c>
      <c r="AY939" s="141" t="s">
        <v>257</v>
      </c>
      <c r="AZ939" s="137"/>
      <c r="BA939" s="137"/>
      <c r="BB939" s="134">
        <f t="shared" ref="BB939:BB941" si="1785">AZ939-BA939</f>
        <v>0</v>
      </c>
      <c r="BC939" s="469" t="s">
        <v>258</v>
      </c>
      <c r="BD939" s="470"/>
      <c r="BE939" s="13"/>
      <c r="BF939" s="16"/>
      <c r="BG939" s="13"/>
      <c r="BH939" s="16"/>
      <c r="BI939" s="13"/>
      <c r="BJ939" s="16"/>
      <c r="BK939" s="13"/>
      <c r="BL939" s="16"/>
      <c r="BM939" s="13"/>
      <c r="BN939" s="16"/>
      <c r="BO939" s="13"/>
      <c r="BP939" s="16"/>
      <c r="BQ939" s="106">
        <f t="shared" si="1761"/>
        <v>0</v>
      </c>
      <c r="BR939" s="566"/>
      <c r="BS939" s="569"/>
      <c r="BT939" s="570"/>
      <c r="BU939" s="557"/>
      <c r="BV939" s="560"/>
      <c r="BW939" s="563"/>
      <c r="BX939" s="615"/>
    </row>
    <row r="940" spans="1:76" x14ac:dyDescent="0.25">
      <c r="A940" s="586"/>
      <c r="B940" s="590"/>
      <c r="C940" s="591"/>
      <c r="D940" s="605"/>
      <c r="E940" s="517"/>
      <c r="F940" s="518"/>
      <c r="G940" s="523"/>
      <c r="H940" s="524"/>
      <c r="I940" s="529"/>
      <c r="J940" s="530"/>
      <c r="K940" s="513"/>
      <c r="L940" s="534"/>
      <c r="M940" s="537"/>
      <c r="N940" s="541"/>
      <c r="O940" s="542"/>
      <c r="P940" s="483"/>
      <c r="Q940" s="484"/>
      <c r="R940" s="517"/>
      <c r="S940" s="518"/>
      <c r="T940" s="487"/>
      <c r="U940" s="488"/>
      <c r="V940" s="492"/>
      <c r="W940" s="483"/>
      <c r="X940" s="495"/>
      <c r="Y940" s="484"/>
      <c r="Z940" s="498"/>
      <c r="AA940" s="502"/>
      <c r="AB940" s="503"/>
      <c r="AC940" s="508"/>
      <c r="AD940" s="509"/>
      <c r="AE940" s="509"/>
      <c r="AF940" s="511"/>
      <c r="AG940" s="511"/>
      <c r="AH940" s="511"/>
      <c r="AI940" s="511"/>
      <c r="AJ940" s="511"/>
      <c r="AK940" s="511"/>
      <c r="AL940" s="511"/>
      <c r="AM940" s="511"/>
      <c r="AN940" s="511"/>
      <c r="AO940" s="511"/>
      <c r="AP940" s="511"/>
      <c r="AQ940" s="466"/>
      <c r="AR940" s="468"/>
      <c r="AS940" s="122" t="s">
        <v>259</v>
      </c>
      <c r="AT940" s="123"/>
      <c r="AU940" s="123"/>
      <c r="AV940" s="123"/>
      <c r="AW940" s="124"/>
      <c r="AX940" s="126">
        <f t="shared" si="1784"/>
        <v>0</v>
      </c>
      <c r="AY940" s="142" t="s">
        <v>259</v>
      </c>
      <c r="AZ940" s="138"/>
      <c r="BA940" s="138"/>
      <c r="BB940" s="135">
        <f t="shared" si="1785"/>
        <v>0</v>
      </c>
      <c r="BC940" s="474" t="s">
        <v>260</v>
      </c>
      <c r="BD940" s="475"/>
      <c r="BE940" s="14"/>
      <c r="BF940" s="17"/>
      <c r="BG940" s="14"/>
      <c r="BH940" s="17"/>
      <c r="BI940" s="14"/>
      <c r="BJ940" s="17"/>
      <c r="BK940" s="14"/>
      <c r="BL940" s="17"/>
      <c r="BM940" s="14"/>
      <c r="BN940" s="17"/>
      <c r="BO940" s="14"/>
      <c r="BP940" s="17"/>
      <c r="BQ940" s="107">
        <f t="shared" si="1761"/>
        <v>0</v>
      </c>
      <c r="BR940" s="567"/>
      <c r="BS940" s="571"/>
      <c r="BT940" s="572"/>
      <c r="BU940" s="558"/>
      <c r="BV940" s="561"/>
      <c r="BW940" s="564"/>
      <c r="BX940" s="616"/>
    </row>
    <row r="941" spans="1:76" ht="15.75" thickBot="1" x14ac:dyDescent="0.3">
      <c r="A941" s="586"/>
      <c r="B941" s="590"/>
      <c r="C941" s="591"/>
      <c r="D941" s="605"/>
      <c r="E941" s="517"/>
      <c r="F941" s="518"/>
      <c r="G941" s="523"/>
      <c r="H941" s="524"/>
      <c r="I941" s="529"/>
      <c r="J941" s="530"/>
      <c r="K941" s="513"/>
      <c r="L941" s="534"/>
      <c r="M941" s="537"/>
      <c r="N941" s="541"/>
      <c r="O941" s="542"/>
      <c r="P941" s="483"/>
      <c r="Q941" s="484"/>
      <c r="R941" s="517"/>
      <c r="S941" s="518"/>
      <c r="T941" s="487"/>
      <c r="U941" s="488"/>
      <c r="V941" s="492"/>
      <c r="W941" s="483"/>
      <c r="X941" s="495"/>
      <c r="Y941" s="484"/>
      <c r="Z941" s="498"/>
      <c r="AA941" s="502"/>
      <c r="AB941" s="503"/>
      <c r="AC941" s="471" t="s">
        <v>259</v>
      </c>
      <c r="AD941" s="472"/>
      <c r="AE941" s="473"/>
      <c r="AF941" s="100"/>
      <c r="AG941" s="100"/>
      <c r="AH941" s="100"/>
      <c r="AI941" s="100"/>
      <c r="AJ941" s="100"/>
      <c r="AK941" s="100"/>
      <c r="AL941" s="100"/>
      <c r="AM941" s="100"/>
      <c r="AN941" s="100"/>
      <c r="AO941" s="100"/>
      <c r="AP941" s="100"/>
      <c r="AQ941" s="101"/>
      <c r="AR941" s="104">
        <f t="shared" ref="AR941:AR942" si="1786">SUM(AF941:AQ941)</f>
        <v>0</v>
      </c>
      <c r="AS941" s="128" t="s">
        <v>261</v>
      </c>
      <c r="AT941" s="129"/>
      <c r="AU941" s="129"/>
      <c r="AV941" s="129"/>
      <c r="AW941" s="130"/>
      <c r="AX941" s="126">
        <f t="shared" si="1784"/>
        <v>0</v>
      </c>
      <c r="AY941" s="143" t="s">
        <v>261</v>
      </c>
      <c r="AZ941" s="139"/>
      <c r="BA941" s="139"/>
      <c r="BB941" s="136">
        <f t="shared" si="1785"/>
        <v>0</v>
      </c>
      <c r="BC941" s="474" t="s">
        <v>262</v>
      </c>
      <c r="BD941" s="475"/>
      <c r="BE941" s="14"/>
      <c r="BF941" s="17"/>
      <c r="BG941" s="14"/>
      <c r="BH941" s="17"/>
      <c r="BI941" s="14"/>
      <c r="BJ941" s="17"/>
      <c r="BK941" s="14"/>
      <c r="BL941" s="17"/>
      <c r="BM941" s="14"/>
      <c r="BN941" s="17"/>
      <c r="BO941" s="14"/>
      <c r="BP941" s="17"/>
      <c r="BQ941" s="108">
        <f t="shared" si="1761"/>
        <v>0</v>
      </c>
      <c r="BR941" s="567"/>
      <c r="BS941" s="571"/>
      <c r="BT941" s="572"/>
      <c r="BU941" s="558"/>
      <c r="BV941" s="561"/>
      <c r="BW941" s="564"/>
      <c r="BX941" s="616"/>
    </row>
    <row r="942" spans="1:76" ht="15.75" thickBot="1" x14ac:dyDescent="0.3">
      <c r="A942" s="587"/>
      <c r="B942" s="592"/>
      <c r="C942" s="593"/>
      <c r="D942" s="606"/>
      <c r="E942" s="519"/>
      <c r="F942" s="520"/>
      <c r="G942" s="525"/>
      <c r="H942" s="526"/>
      <c r="I942" s="531"/>
      <c r="J942" s="532"/>
      <c r="K942" s="514"/>
      <c r="L942" s="535"/>
      <c r="M942" s="538"/>
      <c r="N942" s="543"/>
      <c r="O942" s="544"/>
      <c r="P942" s="485"/>
      <c r="Q942" s="486"/>
      <c r="R942" s="519"/>
      <c r="S942" s="520"/>
      <c r="T942" s="489"/>
      <c r="U942" s="490"/>
      <c r="V942" s="493"/>
      <c r="W942" s="485"/>
      <c r="X942" s="496"/>
      <c r="Y942" s="486"/>
      <c r="Z942" s="499"/>
      <c r="AA942" s="504"/>
      <c r="AB942" s="505"/>
      <c r="AC942" s="476" t="s">
        <v>261</v>
      </c>
      <c r="AD942" s="477"/>
      <c r="AE942" s="478"/>
      <c r="AF942" s="102"/>
      <c r="AG942" s="102"/>
      <c r="AH942" s="102"/>
      <c r="AI942" s="102"/>
      <c r="AJ942" s="102"/>
      <c r="AK942" s="102"/>
      <c r="AL942" s="102"/>
      <c r="AM942" s="102"/>
      <c r="AN942" s="102"/>
      <c r="AO942" s="102"/>
      <c r="AP942" s="102"/>
      <c r="AQ942" s="103"/>
      <c r="AR942" s="105">
        <f t="shared" si="1786"/>
        <v>0</v>
      </c>
      <c r="AS942" s="131" t="s">
        <v>161</v>
      </c>
      <c r="AT942" s="132">
        <f t="shared" ref="AT942:AX942" si="1787">SUM(AT939:AT941)</f>
        <v>0</v>
      </c>
      <c r="AU942" s="132">
        <f t="shared" si="1787"/>
        <v>0</v>
      </c>
      <c r="AV942" s="132">
        <f t="shared" si="1787"/>
        <v>0</v>
      </c>
      <c r="AW942" s="133">
        <f t="shared" si="1787"/>
        <v>0</v>
      </c>
      <c r="AX942" s="127">
        <f t="shared" si="1787"/>
        <v>0</v>
      </c>
      <c r="AY942" s="144" t="s">
        <v>161</v>
      </c>
      <c r="AZ942" s="140">
        <f t="shared" ref="AZ942:BB942" si="1788">SUM(AZ939:AZ941)</f>
        <v>0</v>
      </c>
      <c r="BA942" s="140">
        <f t="shared" si="1788"/>
        <v>0</v>
      </c>
      <c r="BB942" s="140">
        <f t="shared" si="1788"/>
        <v>0</v>
      </c>
      <c r="BC942" s="479" t="s">
        <v>263</v>
      </c>
      <c r="BD942" s="480"/>
      <c r="BE942" s="15"/>
      <c r="BF942" s="18"/>
      <c r="BG942" s="15"/>
      <c r="BH942" s="18"/>
      <c r="BI942" s="15"/>
      <c r="BJ942" s="18"/>
      <c r="BK942" s="15"/>
      <c r="BL942" s="18"/>
      <c r="BM942" s="15"/>
      <c r="BN942" s="18"/>
      <c r="BO942" s="15"/>
      <c r="BP942" s="18"/>
      <c r="BQ942" s="109">
        <f t="shared" si="1761"/>
        <v>0</v>
      </c>
      <c r="BR942" s="568"/>
      <c r="BS942" s="573"/>
      <c r="BT942" s="574"/>
      <c r="BU942" s="559"/>
      <c r="BV942" s="562"/>
      <c r="BW942" s="565"/>
      <c r="BX942" s="617"/>
    </row>
    <row r="943" spans="1:76" ht="15.75" thickTop="1" x14ac:dyDescent="0.25">
      <c r="A943" s="585">
        <v>234</v>
      </c>
      <c r="B943" s="588"/>
      <c r="C943" s="589"/>
      <c r="D943" s="604"/>
      <c r="E943" s="515"/>
      <c r="F943" s="516"/>
      <c r="G943" s="521"/>
      <c r="H943" s="522"/>
      <c r="I943" s="527"/>
      <c r="J943" s="528"/>
      <c r="K943" s="512" t="e">
        <f t="shared" ref="K943" si="1789">INT(YEARFRAC(I943,AA943))</f>
        <v>#VALUE!</v>
      </c>
      <c r="L943" s="533">
        <f t="shared" ref="L943" ca="1" si="1790">INT(YEARFRAC(I943,TODAY()))</f>
        <v>121</v>
      </c>
      <c r="M943" s="536"/>
      <c r="N943" s="539"/>
      <c r="O943" s="540"/>
      <c r="P943" s="481"/>
      <c r="Q943" s="482"/>
      <c r="R943" s="515"/>
      <c r="S943" s="516"/>
      <c r="T943" s="487"/>
      <c r="U943" s="488"/>
      <c r="V943" s="491"/>
      <c r="W943" s="481"/>
      <c r="X943" s="494"/>
      <c r="Y943" s="482"/>
      <c r="Z943" s="497"/>
      <c r="AA943" s="500" t="s">
        <v>475</v>
      </c>
      <c r="AB943" s="501"/>
      <c r="AC943" s="506" t="s">
        <v>257</v>
      </c>
      <c r="AD943" s="507"/>
      <c r="AE943" s="507"/>
      <c r="AF943" s="510"/>
      <c r="AG943" s="510"/>
      <c r="AH943" s="510"/>
      <c r="AI943" s="510"/>
      <c r="AJ943" s="510"/>
      <c r="AK943" s="510"/>
      <c r="AL943" s="510"/>
      <c r="AM943" s="510"/>
      <c r="AN943" s="510"/>
      <c r="AO943" s="510"/>
      <c r="AP943" s="510"/>
      <c r="AQ943" s="465"/>
      <c r="AR943" s="467">
        <f t="shared" ref="AR943" si="1791">SUM(AF943:AQ944)</f>
        <v>0</v>
      </c>
      <c r="AS943" s="119" t="s">
        <v>257</v>
      </c>
      <c r="AT943" s="120"/>
      <c r="AU943" s="120"/>
      <c r="AV943" s="120"/>
      <c r="AW943" s="121"/>
      <c r="AX943" s="125">
        <f t="shared" ref="AX943:AX945" si="1792">SUM(AT943:AW943)</f>
        <v>0</v>
      </c>
      <c r="AY943" s="141" t="s">
        <v>257</v>
      </c>
      <c r="AZ943" s="137"/>
      <c r="BA943" s="137"/>
      <c r="BB943" s="134">
        <f t="shared" ref="BB943:BB945" si="1793">AZ943-BA943</f>
        <v>0</v>
      </c>
      <c r="BC943" s="469" t="s">
        <v>258</v>
      </c>
      <c r="BD943" s="470"/>
      <c r="BE943" s="13"/>
      <c r="BF943" s="16"/>
      <c r="BG943" s="13"/>
      <c r="BH943" s="16"/>
      <c r="BI943" s="13"/>
      <c r="BJ943" s="16"/>
      <c r="BK943" s="13"/>
      <c r="BL943" s="16"/>
      <c r="BM943" s="13"/>
      <c r="BN943" s="16"/>
      <c r="BO943" s="13"/>
      <c r="BP943" s="16"/>
      <c r="BQ943" s="106">
        <f t="shared" si="1761"/>
        <v>0</v>
      </c>
      <c r="BR943" s="566"/>
      <c r="BS943" s="569"/>
      <c r="BT943" s="570"/>
      <c r="BU943" s="557"/>
      <c r="BV943" s="560"/>
      <c r="BW943" s="563"/>
      <c r="BX943" s="615"/>
    </row>
    <row r="944" spans="1:76" x14ac:dyDescent="0.25">
      <c r="A944" s="586"/>
      <c r="B944" s="590"/>
      <c r="C944" s="591"/>
      <c r="D944" s="605"/>
      <c r="E944" s="517"/>
      <c r="F944" s="518"/>
      <c r="G944" s="523"/>
      <c r="H944" s="524"/>
      <c r="I944" s="529"/>
      <c r="J944" s="530"/>
      <c r="K944" s="513"/>
      <c r="L944" s="534"/>
      <c r="M944" s="537"/>
      <c r="N944" s="541"/>
      <c r="O944" s="542"/>
      <c r="P944" s="483"/>
      <c r="Q944" s="484"/>
      <c r="R944" s="517"/>
      <c r="S944" s="518"/>
      <c r="T944" s="487"/>
      <c r="U944" s="488"/>
      <c r="V944" s="492"/>
      <c r="W944" s="483"/>
      <c r="X944" s="495"/>
      <c r="Y944" s="484"/>
      <c r="Z944" s="498"/>
      <c r="AA944" s="502"/>
      <c r="AB944" s="503"/>
      <c r="AC944" s="508"/>
      <c r="AD944" s="509"/>
      <c r="AE944" s="509"/>
      <c r="AF944" s="511"/>
      <c r="AG944" s="511"/>
      <c r="AH944" s="511"/>
      <c r="AI944" s="511"/>
      <c r="AJ944" s="511"/>
      <c r="AK944" s="511"/>
      <c r="AL944" s="511"/>
      <c r="AM944" s="511"/>
      <c r="AN944" s="511"/>
      <c r="AO944" s="511"/>
      <c r="AP944" s="511"/>
      <c r="AQ944" s="466"/>
      <c r="AR944" s="468"/>
      <c r="AS944" s="122" t="s">
        <v>259</v>
      </c>
      <c r="AT944" s="123"/>
      <c r="AU944" s="123"/>
      <c r="AV944" s="123"/>
      <c r="AW944" s="124"/>
      <c r="AX944" s="126">
        <f t="shared" si="1792"/>
        <v>0</v>
      </c>
      <c r="AY944" s="142" t="s">
        <v>259</v>
      </c>
      <c r="AZ944" s="138"/>
      <c r="BA944" s="138"/>
      <c r="BB944" s="135">
        <f t="shared" si="1793"/>
        <v>0</v>
      </c>
      <c r="BC944" s="474" t="s">
        <v>260</v>
      </c>
      <c r="BD944" s="475"/>
      <c r="BE944" s="14"/>
      <c r="BF944" s="17"/>
      <c r="BG944" s="14"/>
      <c r="BH944" s="17"/>
      <c r="BI944" s="14"/>
      <c r="BJ944" s="17"/>
      <c r="BK944" s="14"/>
      <c r="BL944" s="17"/>
      <c r="BM944" s="14"/>
      <c r="BN944" s="17"/>
      <c r="BO944" s="14"/>
      <c r="BP944" s="17"/>
      <c r="BQ944" s="107">
        <f t="shared" si="1761"/>
        <v>0</v>
      </c>
      <c r="BR944" s="567"/>
      <c r="BS944" s="571"/>
      <c r="BT944" s="572"/>
      <c r="BU944" s="558"/>
      <c r="BV944" s="561"/>
      <c r="BW944" s="564"/>
      <c r="BX944" s="616"/>
    </row>
    <row r="945" spans="1:76" ht="15.75" thickBot="1" x14ac:dyDescent="0.3">
      <c r="A945" s="586"/>
      <c r="B945" s="590"/>
      <c r="C945" s="591"/>
      <c r="D945" s="605"/>
      <c r="E945" s="517"/>
      <c r="F945" s="518"/>
      <c r="G945" s="523"/>
      <c r="H945" s="524"/>
      <c r="I945" s="529"/>
      <c r="J945" s="530"/>
      <c r="K945" s="513"/>
      <c r="L945" s="534"/>
      <c r="M945" s="537"/>
      <c r="N945" s="541"/>
      <c r="O945" s="542"/>
      <c r="P945" s="483"/>
      <c r="Q945" s="484"/>
      <c r="R945" s="517"/>
      <c r="S945" s="518"/>
      <c r="T945" s="487"/>
      <c r="U945" s="488"/>
      <c r="V945" s="492"/>
      <c r="W945" s="483"/>
      <c r="X945" s="495"/>
      <c r="Y945" s="484"/>
      <c r="Z945" s="498"/>
      <c r="AA945" s="502"/>
      <c r="AB945" s="503"/>
      <c r="AC945" s="471" t="s">
        <v>259</v>
      </c>
      <c r="AD945" s="472"/>
      <c r="AE945" s="473"/>
      <c r="AF945" s="100"/>
      <c r="AG945" s="100"/>
      <c r="AH945" s="100"/>
      <c r="AI945" s="100"/>
      <c r="AJ945" s="100"/>
      <c r="AK945" s="100"/>
      <c r="AL945" s="100"/>
      <c r="AM945" s="100"/>
      <c r="AN945" s="100"/>
      <c r="AO945" s="100"/>
      <c r="AP945" s="100"/>
      <c r="AQ945" s="101"/>
      <c r="AR945" s="104">
        <f t="shared" ref="AR945:AR946" si="1794">SUM(AF945:AQ945)</f>
        <v>0</v>
      </c>
      <c r="AS945" s="128" t="s">
        <v>261</v>
      </c>
      <c r="AT945" s="129"/>
      <c r="AU945" s="129"/>
      <c r="AV945" s="129"/>
      <c r="AW945" s="130"/>
      <c r="AX945" s="126">
        <f t="shared" si="1792"/>
        <v>0</v>
      </c>
      <c r="AY945" s="143" t="s">
        <v>261</v>
      </c>
      <c r="AZ945" s="139"/>
      <c r="BA945" s="139"/>
      <c r="BB945" s="136">
        <f t="shared" si="1793"/>
        <v>0</v>
      </c>
      <c r="BC945" s="474" t="s">
        <v>262</v>
      </c>
      <c r="BD945" s="475"/>
      <c r="BE945" s="14"/>
      <c r="BF945" s="17"/>
      <c r="BG945" s="14"/>
      <c r="BH945" s="17"/>
      <c r="BI945" s="14"/>
      <c r="BJ945" s="17"/>
      <c r="BK945" s="14"/>
      <c r="BL945" s="17"/>
      <c r="BM945" s="14"/>
      <c r="BN945" s="17"/>
      <c r="BO945" s="14"/>
      <c r="BP945" s="17"/>
      <c r="BQ945" s="108">
        <f t="shared" si="1761"/>
        <v>0</v>
      </c>
      <c r="BR945" s="567"/>
      <c r="BS945" s="571"/>
      <c r="BT945" s="572"/>
      <c r="BU945" s="558"/>
      <c r="BV945" s="561"/>
      <c r="BW945" s="564"/>
      <c r="BX945" s="616"/>
    </row>
    <row r="946" spans="1:76" ht="15.75" thickBot="1" x14ac:dyDescent="0.3">
      <c r="A946" s="587"/>
      <c r="B946" s="592"/>
      <c r="C946" s="593"/>
      <c r="D946" s="606"/>
      <c r="E946" s="519"/>
      <c r="F946" s="520"/>
      <c r="G946" s="525"/>
      <c r="H946" s="526"/>
      <c r="I946" s="531"/>
      <c r="J946" s="532"/>
      <c r="K946" s="514"/>
      <c r="L946" s="535"/>
      <c r="M946" s="538"/>
      <c r="N946" s="543"/>
      <c r="O946" s="544"/>
      <c r="P946" s="485"/>
      <c r="Q946" s="486"/>
      <c r="R946" s="519"/>
      <c r="S946" s="520"/>
      <c r="T946" s="489"/>
      <c r="U946" s="490"/>
      <c r="V946" s="493"/>
      <c r="W946" s="485"/>
      <c r="X946" s="496"/>
      <c r="Y946" s="486"/>
      <c r="Z946" s="499"/>
      <c r="AA946" s="504"/>
      <c r="AB946" s="505"/>
      <c r="AC946" s="476" t="s">
        <v>261</v>
      </c>
      <c r="AD946" s="477"/>
      <c r="AE946" s="478"/>
      <c r="AF946" s="102"/>
      <c r="AG946" s="102"/>
      <c r="AH946" s="102"/>
      <c r="AI946" s="102"/>
      <c r="AJ946" s="102"/>
      <c r="AK946" s="102"/>
      <c r="AL946" s="102"/>
      <c r="AM946" s="102"/>
      <c r="AN946" s="102"/>
      <c r="AO946" s="102"/>
      <c r="AP946" s="102"/>
      <c r="AQ946" s="103"/>
      <c r="AR946" s="105">
        <f t="shared" si="1794"/>
        <v>0</v>
      </c>
      <c r="AS946" s="131" t="s">
        <v>161</v>
      </c>
      <c r="AT946" s="132">
        <f t="shared" ref="AT946:AX946" si="1795">SUM(AT943:AT945)</f>
        <v>0</v>
      </c>
      <c r="AU946" s="132">
        <f t="shared" si="1795"/>
        <v>0</v>
      </c>
      <c r="AV946" s="132">
        <f t="shared" si="1795"/>
        <v>0</v>
      </c>
      <c r="AW946" s="133">
        <f t="shared" si="1795"/>
        <v>0</v>
      </c>
      <c r="AX946" s="127">
        <f t="shared" si="1795"/>
        <v>0</v>
      </c>
      <c r="AY946" s="144" t="s">
        <v>161</v>
      </c>
      <c r="AZ946" s="140">
        <f t="shared" ref="AZ946:BB946" si="1796">SUM(AZ943:AZ945)</f>
        <v>0</v>
      </c>
      <c r="BA946" s="140">
        <f t="shared" si="1796"/>
        <v>0</v>
      </c>
      <c r="BB946" s="140">
        <f t="shared" si="1796"/>
        <v>0</v>
      </c>
      <c r="BC946" s="479" t="s">
        <v>263</v>
      </c>
      <c r="BD946" s="480"/>
      <c r="BE946" s="15"/>
      <c r="BF946" s="18"/>
      <c r="BG946" s="15"/>
      <c r="BH946" s="18"/>
      <c r="BI946" s="15"/>
      <c r="BJ946" s="18"/>
      <c r="BK946" s="15"/>
      <c r="BL946" s="18"/>
      <c r="BM946" s="15"/>
      <c r="BN946" s="18"/>
      <c r="BO946" s="15"/>
      <c r="BP946" s="18"/>
      <c r="BQ946" s="109">
        <f t="shared" si="1761"/>
        <v>0</v>
      </c>
      <c r="BR946" s="568"/>
      <c r="BS946" s="573"/>
      <c r="BT946" s="574"/>
      <c r="BU946" s="559"/>
      <c r="BV946" s="562"/>
      <c r="BW946" s="565"/>
      <c r="BX946" s="617"/>
    </row>
    <row r="947" spans="1:76" ht="15.75" thickTop="1" x14ac:dyDescent="0.25">
      <c r="A947" s="585">
        <v>235</v>
      </c>
      <c r="B947" s="588"/>
      <c r="C947" s="589"/>
      <c r="D947" s="604"/>
      <c r="E947" s="515"/>
      <c r="F947" s="516"/>
      <c r="G947" s="521"/>
      <c r="H947" s="522"/>
      <c r="I947" s="527"/>
      <c r="J947" s="528"/>
      <c r="K947" s="512" t="e">
        <f t="shared" ref="K947" si="1797">INT(YEARFRAC(I947,AA947))</f>
        <v>#VALUE!</v>
      </c>
      <c r="L947" s="533">
        <f t="shared" ref="L947" ca="1" si="1798">INT(YEARFRAC(I947,TODAY()))</f>
        <v>121</v>
      </c>
      <c r="M947" s="536"/>
      <c r="N947" s="539"/>
      <c r="O947" s="540"/>
      <c r="P947" s="481"/>
      <c r="Q947" s="482"/>
      <c r="R947" s="515"/>
      <c r="S947" s="516"/>
      <c r="T947" s="487"/>
      <c r="U947" s="488"/>
      <c r="V947" s="491"/>
      <c r="W947" s="481"/>
      <c r="X947" s="494"/>
      <c r="Y947" s="482"/>
      <c r="Z947" s="497"/>
      <c r="AA947" s="500" t="s">
        <v>476</v>
      </c>
      <c r="AB947" s="501"/>
      <c r="AC947" s="506" t="s">
        <v>257</v>
      </c>
      <c r="AD947" s="507"/>
      <c r="AE947" s="507"/>
      <c r="AF947" s="510"/>
      <c r="AG947" s="510"/>
      <c r="AH947" s="510"/>
      <c r="AI947" s="510"/>
      <c r="AJ947" s="510"/>
      <c r="AK947" s="510"/>
      <c r="AL947" s="510"/>
      <c r="AM947" s="510"/>
      <c r="AN947" s="510"/>
      <c r="AO947" s="510"/>
      <c r="AP947" s="510"/>
      <c r="AQ947" s="465"/>
      <c r="AR947" s="467">
        <f t="shared" ref="AR947" si="1799">SUM(AF947:AQ948)</f>
        <v>0</v>
      </c>
      <c r="AS947" s="119" t="s">
        <v>257</v>
      </c>
      <c r="AT947" s="120"/>
      <c r="AU947" s="120"/>
      <c r="AV947" s="120"/>
      <c r="AW947" s="121"/>
      <c r="AX947" s="125">
        <f t="shared" ref="AX947:AX949" si="1800">SUM(AT947:AW947)</f>
        <v>0</v>
      </c>
      <c r="AY947" s="141" t="s">
        <v>257</v>
      </c>
      <c r="AZ947" s="137"/>
      <c r="BA947" s="137"/>
      <c r="BB947" s="134">
        <f t="shared" ref="BB947:BB949" si="1801">AZ947-BA947</f>
        <v>0</v>
      </c>
      <c r="BC947" s="469" t="s">
        <v>258</v>
      </c>
      <c r="BD947" s="470"/>
      <c r="BE947" s="13"/>
      <c r="BF947" s="16"/>
      <c r="BG947" s="13"/>
      <c r="BH947" s="16"/>
      <c r="BI947" s="13"/>
      <c r="BJ947" s="16"/>
      <c r="BK947" s="13"/>
      <c r="BL947" s="16"/>
      <c r="BM947" s="13"/>
      <c r="BN947" s="16"/>
      <c r="BO947" s="13"/>
      <c r="BP947" s="16"/>
      <c r="BQ947" s="106">
        <f t="shared" si="1761"/>
        <v>0</v>
      </c>
      <c r="BR947" s="566"/>
      <c r="BS947" s="569"/>
      <c r="BT947" s="570"/>
      <c r="BU947" s="557"/>
      <c r="BV947" s="560"/>
      <c r="BW947" s="563"/>
      <c r="BX947" s="615"/>
    </row>
    <row r="948" spans="1:76" x14ac:dyDescent="0.25">
      <c r="A948" s="586"/>
      <c r="B948" s="590"/>
      <c r="C948" s="591"/>
      <c r="D948" s="605"/>
      <c r="E948" s="517"/>
      <c r="F948" s="518"/>
      <c r="G948" s="523"/>
      <c r="H948" s="524"/>
      <c r="I948" s="529"/>
      <c r="J948" s="530"/>
      <c r="K948" s="513"/>
      <c r="L948" s="534"/>
      <c r="M948" s="537"/>
      <c r="N948" s="541"/>
      <c r="O948" s="542"/>
      <c r="P948" s="483"/>
      <c r="Q948" s="484"/>
      <c r="R948" s="517"/>
      <c r="S948" s="518"/>
      <c r="T948" s="487"/>
      <c r="U948" s="488"/>
      <c r="V948" s="492"/>
      <c r="W948" s="483"/>
      <c r="X948" s="495"/>
      <c r="Y948" s="484"/>
      <c r="Z948" s="498"/>
      <c r="AA948" s="502"/>
      <c r="AB948" s="503"/>
      <c r="AC948" s="508"/>
      <c r="AD948" s="509"/>
      <c r="AE948" s="509"/>
      <c r="AF948" s="511"/>
      <c r="AG948" s="511"/>
      <c r="AH948" s="511"/>
      <c r="AI948" s="511"/>
      <c r="AJ948" s="511"/>
      <c r="AK948" s="511"/>
      <c r="AL948" s="511"/>
      <c r="AM948" s="511"/>
      <c r="AN948" s="511"/>
      <c r="AO948" s="511"/>
      <c r="AP948" s="511"/>
      <c r="AQ948" s="466"/>
      <c r="AR948" s="468"/>
      <c r="AS948" s="122" t="s">
        <v>259</v>
      </c>
      <c r="AT948" s="123"/>
      <c r="AU948" s="123"/>
      <c r="AV948" s="123"/>
      <c r="AW948" s="124"/>
      <c r="AX948" s="126">
        <f t="shared" si="1800"/>
        <v>0</v>
      </c>
      <c r="AY948" s="142" t="s">
        <v>259</v>
      </c>
      <c r="AZ948" s="138"/>
      <c r="BA948" s="138"/>
      <c r="BB948" s="135">
        <f t="shared" si="1801"/>
        <v>0</v>
      </c>
      <c r="BC948" s="474" t="s">
        <v>260</v>
      </c>
      <c r="BD948" s="475"/>
      <c r="BE948" s="14"/>
      <c r="BF948" s="17"/>
      <c r="BG948" s="14"/>
      <c r="BH948" s="17"/>
      <c r="BI948" s="14"/>
      <c r="BJ948" s="17"/>
      <c r="BK948" s="14"/>
      <c r="BL948" s="17"/>
      <c r="BM948" s="14"/>
      <c r="BN948" s="17"/>
      <c r="BO948" s="14"/>
      <c r="BP948" s="17"/>
      <c r="BQ948" s="107">
        <f t="shared" si="1761"/>
        <v>0</v>
      </c>
      <c r="BR948" s="567"/>
      <c r="BS948" s="571"/>
      <c r="BT948" s="572"/>
      <c r="BU948" s="558"/>
      <c r="BV948" s="561"/>
      <c r="BW948" s="564"/>
      <c r="BX948" s="616"/>
    </row>
    <row r="949" spans="1:76" ht="15.75" thickBot="1" x14ac:dyDescent="0.3">
      <c r="A949" s="586"/>
      <c r="B949" s="590"/>
      <c r="C949" s="591"/>
      <c r="D949" s="605"/>
      <c r="E949" s="517"/>
      <c r="F949" s="518"/>
      <c r="G949" s="523"/>
      <c r="H949" s="524"/>
      <c r="I949" s="529"/>
      <c r="J949" s="530"/>
      <c r="K949" s="513"/>
      <c r="L949" s="534"/>
      <c r="M949" s="537"/>
      <c r="N949" s="541"/>
      <c r="O949" s="542"/>
      <c r="P949" s="483"/>
      <c r="Q949" s="484"/>
      <c r="R949" s="517"/>
      <c r="S949" s="518"/>
      <c r="T949" s="487"/>
      <c r="U949" s="488"/>
      <c r="V949" s="492"/>
      <c r="W949" s="483"/>
      <c r="X949" s="495"/>
      <c r="Y949" s="484"/>
      <c r="Z949" s="498"/>
      <c r="AA949" s="502"/>
      <c r="AB949" s="503"/>
      <c r="AC949" s="471" t="s">
        <v>259</v>
      </c>
      <c r="AD949" s="472"/>
      <c r="AE949" s="473"/>
      <c r="AF949" s="100"/>
      <c r="AG949" s="100"/>
      <c r="AH949" s="100"/>
      <c r="AI949" s="100"/>
      <c r="AJ949" s="100"/>
      <c r="AK949" s="100"/>
      <c r="AL949" s="100"/>
      <c r="AM949" s="100"/>
      <c r="AN949" s="100"/>
      <c r="AO949" s="100"/>
      <c r="AP949" s="100"/>
      <c r="AQ949" s="101"/>
      <c r="AR949" s="104">
        <f t="shared" ref="AR949:AR950" si="1802">SUM(AF949:AQ949)</f>
        <v>0</v>
      </c>
      <c r="AS949" s="128" t="s">
        <v>261</v>
      </c>
      <c r="AT949" s="129"/>
      <c r="AU949" s="129"/>
      <c r="AV949" s="129"/>
      <c r="AW949" s="130"/>
      <c r="AX949" s="126">
        <f t="shared" si="1800"/>
        <v>0</v>
      </c>
      <c r="AY949" s="143" t="s">
        <v>261</v>
      </c>
      <c r="AZ949" s="139"/>
      <c r="BA949" s="139"/>
      <c r="BB949" s="136">
        <f t="shared" si="1801"/>
        <v>0</v>
      </c>
      <c r="BC949" s="474" t="s">
        <v>262</v>
      </c>
      <c r="BD949" s="475"/>
      <c r="BE949" s="14"/>
      <c r="BF949" s="17"/>
      <c r="BG949" s="14"/>
      <c r="BH949" s="17"/>
      <c r="BI949" s="14"/>
      <c r="BJ949" s="17"/>
      <c r="BK949" s="14"/>
      <c r="BL949" s="17"/>
      <c r="BM949" s="14"/>
      <c r="BN949" s="17"/>
      <c r="BO949" s="14"/>
      <c r="BP949" s="17"/>
      <c r="BQ949" s="108">
        <f t="shared" si="1761"/>
        <v>0</v>
      </c>
      <c r="BR949" s="567"/>
      <c r="BS949" s="571"/>
      <c r="BT949" s="572"/>
      <c r="BU949" s="558"/>
      <c r="BV949" s="561"/>
      <c r="BW949" s="564"/>
      <c r="BX949" s="616"/>
    </row>
    <row r="950" spans="1:76" ht="15.75" thickBot="1" x14ac:dyDescent="0.3">
      <c r="A950" s="587"/>
      <c r="B950" s="592"/>
      <c r="C950" s="593"/>
      <c r="D950" s="606"/>
      <c r="E950" s="519"/>
      <c r="F950" s="520"/>
      <c r="G950" s="525"/>
      <c r="H950" s="526"/>
      <c r="I950" s="531"/>
      <c r="J950" s="532"/>
      <c r="K950" s="514"/>
      <c r="L950" s="535"/>
      <c r="M950" s="538"/>
      <c r="N950" s="543"/>
      <c r="O950" s="544"/>
      <c r="P950" s="485"/>
      <c r="Q950" s="486"/>
      <c r="R950" s="519"/>
      <c r="S950" s="520"/>
      <c r="T950" s="489"/>
      <c r="U950" s="490"/>
      <c r="V950" s="493"/>
      <c r="W950" s="485"/>
      <c r="X950" s="496"/>
      <c r="Y950" s="486"/>
      <c r="Z950" s="499"/>
      <c r="AA950" s="504"/>
      <c r="AB950" s="505"/>
      <c r="AC950" s="476" t="s">
        <v>261</v>
      </c>
      <c r="AD950" s="477"/>
      <c r="AE950" s="478"/>
      <c r="AF950" s="102"/>
      <c r="AG950" s="102"/>
      <c r="AH950" s="102"/>
      <c r="AI950" s="102"/>
      <c r="AJ950" s="102"/>
      <c r="AK950" s="102"/>
      <c r="AL950" s="102"/>
      <c r="AM950" s="102"/>
      <c r="AN950" s="102"/>
      <c r="AO950" s="102"/>
      <c r="AP950" s="102"/>
      <c r="AQ950" s="103"/>
      <c r="AR950" s="105">
        <f t="shared" si="1802"/>
        <v>0</v>
      </c>
      <c r="AS950" s="131" t="s">
        <v>161</v>
      </c>
      <c r="AT950" s="132">
        <f t="shared" ref="AT950:AX950" si="1803">SUM(AT947:AT949)</f>
        <v>0</v>
      </c>
      <c r="AU950" s="132">
        <f t="shared" si="1803"/>
        <v>0</v>
      </c>
      <c r="AV950" s="132">
        <f t="shared" si="1803"/>
        <v>0</v>
      </c>
      <c r="AW950" s="133">
        <f t="shared" si="1803"/>
        <v>0</v>
      </c>
      <c r="AX950" s="127">
        <f t="shared" si="1803"/>
        <v>0</v>
      </c>
      <c r="AY950" s="144" t="s">
        <v>161</v>
      </c>
      <c r="AZ950" s="140">
        <f t="shared" ref="AZ950:BB950" si="1804">SUM(AZ947:AZ949)</f>
        <v>0</v>
      </c>
      <c r="BA950" s="140">
        <f t="shared" si="1804"/>
        <v>0</v>
      </c>
      <c r="BB950" s="140">
        <f t="shared" si="1804"/>
        <v>0</v>
      </c>
      <c r="BC950" s="479" t="s">
        <v>263</v>
      </c>
      <c r="BD950" s="480"/>
      <c r="BE950" s="15"/>
      <c r="BF950" s="18"/>
      <c r="BG950" s="15"/>
      <c r="BH950" s="18"/>
      <c r="BI950" s="15"/>
      <c r="BJ950" s="18"/>
      <c r="BK950" s="15"/>
      <c r="BL950" s="18"/>
      <c r="BM950" s="15"/>
      <c r="BN950" s="18"/>
      <c r="BO950" s="15"/>
      <c r="BP950" s="18"/>
      <c r="BQ950" s="109">
        <f t="shared" si="1761"/>
        <v>0</v>
      </c>
      <c r="BR950" s="568"/>
      <c r="BS950" s="573"/>
      <c r="BT950" s="574"/>
      <c r="BU950" s="559"/>
      <c r="BV950" s="562"/>
      <c r="BW950" s="565"/>
      <c r="BX950" s="617"/>
    </row>
    <row r="951" spans="1:76" ht="15.75" thickTop="1" x14ac:dyDescent="0.25">
      <c r="A951" s="585">
        <v>236</v>
      </c>
      <c r="B951" s="588"/>
      <c r="C951" s="589"/>
      <c r="D951" s="604"/>
      <c r="E951" s="515"/>
      <c r="F951" s="516"/>
      <c r="G951" s="521"/>
      <c r="H951" s="522"/>
      <c r="I951" s="527"/>
      <c r="J951" s="528"/>
      <c r="K951" s="512" t="e">
        <f t="shared" ref="K951" si="1805">INT(YEARFRAC(I951,AA951))</f>
        <v>#VALUE!</v>
      </c>
      <c r="L951" s="533">
        <f t="shared" ref="L951" ca="1" si="1806">INT(YEARFRAC(I951,TODAY()))</f>
        <v>121</v>
      </c>
      <c r="M951" s="536"/>
      <c r="N951" s="539"/>
      <c r="O951" s="540"/>
      <c r="P951" s="481"/>
      <c r="Q951" s="482"/>
      <c r="R951" s="515"/>
      <c r="S951" s="516"/>
      <c r="T951" s="487"/>
      <c r="U951" s="488"/>
      <c r="V951" s="491"/>
      <c r="W951" s="481"/>
      <c r="X951" s="494"/>
      <c r="Y951" s="482"/>
      <c r="Z951" s="497"/>
      <c r="AA951" s="500" t="s">
        <v>477</v>
      </c>
      <c r="AB951" s="501"/>
      <c r="AC951" s="506" t="s">
        <v>257</v>
      </c>
      <c r="AD951" s="507"/>
      <c r="AE951" s="507"/>
      <c r="AF951" s="510"/>
      <c r="AG951" s="510"/>
      <c r="AH951" s="510"/>
      <c r="AI951" s="510"/>
      <c r="AJ951" s="510"/>
      <c r="AK951" s="510"/>
      <c r="AL951" s="510"/>
      <c r="AM951" s="510"/>
      <c r="AN951" s="510"/>
      <c r="AO951" s="510"/>
      <c r="AP951" s="510"/>
      <c r="AQ951" s="465"/>
      <c r="AR951" s="467">
        <f t="shared" ref="AR951" si="1807">SUM(AF951:AQ952)</f>
        <v>0</v>
      </c>
      <c r="AS951" s="119" t="s">
        <v>257</v>
      </c>
      <c r="AT951" s="120"/>
      <c r="AU951" s="120"/>
      <c r="AV951" s="120"/>
      <c r="AW951" s="121"/>
      <c r="AX951" s="125">
        <f t="shared" ref="AX951:AX953" si="1808">SUM(AT951:AW951)</f>
        <v>0</v>
      </c>
      <c r="AY951" s="141" t="s">
        <v>257</v>
      </c>
      <c r="AZ951" s="137"/>
      <c r="BA951" s="137"/>
      <c r="BB951" s="134">
        <f t="shared" ref="BB951:BB953" si="1809">AZ951-BA951</f>
        <v>0</v>
      </c>
      <c r="BC951" s="469" t="s">
        <v>258</v>
      </c>
      <c r="BD951" s="470"/>
      <c r="BE951" s="13"/>
      <c r="BF951" s="16"/>
      <c r="BG951" s="13"/>
      <c r="BH951" s="16"/>
      <c r="BI951" s="13"/>
      <c r="BJ951" s="16"/>
      <c r="BK951" s="13"/>
      <c r="BL951" s="16"/>
      <c r="BM951" s="13"/>
      <c r="BN951" s="16"/>
      <c r="BO951" s="13"/>
      <c r="BP951" s="16"/>
      <c r="BQ951" s="106">
        <f t="shared" si="1761"/>
        <v>0</v>
      </c>
      <c r="BR951" s="566"/>
      <c r="BS951" s="569"/>
      <c r="BT951" s="570"/>
      <c r="BU951" s="557"/>
      <c r="BV951" s="560"/>
      <c r="BW951" s="563"/>
      <c r="BX951" s="615"/>
    </row>
    <row r="952" spans="1:76" x14ac:dyDescent="0.25">
      <c r="A952" s="586"/>
      <c r="B952" s="590"/>
      <c r="C952" s="591"/>
      <c r="D952" s="605"/>
      <c r="E952" s="517"/>
      <c r="F952" s="518"/>
      <c r="G952" s="523"/>
      <c r="H952" s="524"/>
      <c r="I952" s="529"/>
      <c r="J952" s="530"/>
      <c r="K952" s="513"/>
      <c r="L952" s="534"/>
      <c r="M952" s="537"/>
      <c r="N952" s="541"/>
      <c r="O952" s="542"/>
      <c r="P952" s="483"/>
      <c r="Q952" s="484"/>
      <c r="R952" s="517"/>
      <c r="S952" s="518"/>
      <c r="T952" s="487"/>
      <c r="U952" s="488"/>
      <c r="V952" s="492"/>
      <c r="W952" s="483"/>
      <c r="X952" s="495"/>
      <c r="Y952" s="484"/>
      <c r="Z952" s="498"/>
      <c r="AA952" s="502"/>
      <c r="AB952" s="503"/>
      <c r="AC952" s="508"/>
      <c r="AD952" s="509"/>
      <c r="AE952" s="509"/>
      <c r="AF952" s="511"/>
      <c r="AG952" s="511"/>
      <c r="AH952" s="511"/>
      <c r="AI952" s="511"/>
      <c r="AJ952" s="511"/>
      <c r="AK952" s="511"/>
      <c r="AL952" s="511"/>
      <c r="AM952" s="511"/>
      <c r="AN952" s="511"/>
      <c r="AO952" s="511"/>
      <c r="AP952" s="511"/>
      <c r="AQ952" s="466"/>
      <c r="AR952" s="468"/>
      <c r="AS952" s="122" t="s">
        <v>259</v>
      </c>
      <c r="AT952" s="123"/>
      <c r="AU952" s="123"/>
      <c r="AV952" s="123"/>
      <c r="AW952" s="124"/>
      <c r="AX952" s="126">
        <f t="shared" si="1808"/>
        <v>0</v>
      </c>
      <c r="AY952" s="142" t="s">
        <v>259</v>
      </c>
      <c r="AZ952" s="138"/>
      <c r="BA952" s="138"/>
      <c r="BB952" s="135">
        <f t="shared" si="1809"/>
        <v>0</v>
      </c>
      <c r="BC952" s="474" t="s">
        <v>260</v>
      </c>
      <c r="BD952" s="475"/>
      <c r="BE952" s="14"/>
      <c r="BF952" s="17"/>
      <c r="BG952" s="14"/>
      <c r="BH952" s="17"/>
      <c r="BI952" s="14"/>
      <c r="BJ952" s="17"/>
      <c r="BK952" s="14"/>
      <c r="BL952" s="17"/>
      <c r="BM952" s="14"/>
      <c r="BN952" s="17"/>
      <c r="BO952" s="14"/>
      <c r="BP952" s="17"/>
      <c r="BQ952" s="107">
        <f t="shared" si="1761"/>
        <v>0</v>
      </c>
      <c r="BR952" s="567"/>
      <c r="BS952" s="571"/>
      <c r="BT952" s="572"/>
      <c r="BU952" s="558"/>
      <c r="BV952" s="561"/>
      <c r="BW952" s="564"/>
      <c r="BX952" s="616"/>
    </row>
    <row r="953" spans="1:76" ht="15.75" thickBot="1" x14ac:dyDescent="0.3">
      <c r="A953" s="586"/>
      <c r="B953" s="590"/>
      <c r="C953" s="591"/>
      <c r="D953" s="605"/>
      <c r="E953" s="517"/>
      <c r="F953" s="518"/>
      <c r="G953" s="523"/>
      <c r="H953" s="524"/>
      <c r="I953" s="529"/>
      <c r="J953" s="530"/>
      <c r="K953" s="513"/>
      <c r="L953" s="534"/>
      <c r="M953" s="537"/>
      <c r="N953" s="541"/>
      <c r="O953" s="542"/>
      <c r="P953" s="483"/>
      <c r="Q953" s="484"/>
      <c r="R953" s="517"/>
      <c r="S953" s="518"/>
      <c r="T953" s="487"/>
      <c r="U953" s="488"/>
      <c r="V953" s="492"/>
      <c r="W953" s="483"/>
      <c r="X953" s="495"/>
      <c r="Y953" s="484"/>
      <c r="Z953" s="498"/>
      <c r="AA953" s="502"/>
      <c r="AB953" s="503"/>
      <c r="AC953" s="471" t="s">
        <v>259</v>
      </c>
      <c r="AD953" s="472"/>
      <c r="AE953" s="473"/>
      <c r="AF953" s="100"/>
      <c r="AG953" s="100"/>
      <c r="AH953" s="100"/>
      <c r="AI953" s="100"/>
      <c r="AJ953" s="100"/>
      <c r="AK953" s="100"/>
      <c r="AL953" s="100"/>
      <c r="AM953" s="100"/>
      <c r="AN953" s="100"/>
      <c r="AO953" s="100"/>
      <c r="AP953" s="100"/>
      <c r="AQ953" s="101"/>
      <c r="AR953" s="104">
        <f t="shared" ref="AR953:AR954" si="1810">SUM(AF953:AQ953)</f>
        <v>0</v>
      </c>
      <c r="AS953" s="128" t="s">
        <v>261</v>
      </c>
      <c r="AT953" s="129"/>
      <c r="AU953" s="129"/>
      <c r="AV953" s="129"/>
      <c r="AW953" s="130"/>
      <c r="AX953" s="126">
        <f t="shared" si="1808"/>
        <v>0</v>
      </c>
      <c r="AY953" s="143" t="s">
        <v>261</v>
      </c>
      <c r="AZ953" s="139"/>
      <c r="BA953" s="139"/>
      <c r="BB953" s="136">
        <f t="shared" si="1809"/>
        <v>0</v>
      </c>
      <c r="BC953" s="474" t="s">
        <v>262</v>
      </c>
      <c r="BD953" s="475"/>
      <c r="BE953" s="14"/>
      <c r="BF953" s="17"/>
      <c r="BG953" s="14"/>
      <c r="BH953" s="17"/>
      <c r="BI953" s="14"/>
      <c r="BJ953" s="17"/>
      <c r="BK953" s="14"/>
      <c r="BL953" s="17"/>
      <c r="BM953" s="14"/>
      <c r="BN953" s="17"/>
      <c r="BO953" s="14"/>
      <c r="BP953" s="17"/>
      <c r="BQ953" s="108">
        <f t="shared" si="1761"/>
        <v>0</v>
      </c>
      <c r="BR953" s="567"/>
      <c r="BS953" s="571"/>
      <c r="BT953" s="572"/>
      <c r="BU953" s="558"/>
      <c r="BV953" s="561"/>
      <c r="BW953" s="564"/>
      <c r="BX953" s="616"/>
    </row>
    <row r="954" spans="1:76" ht="15.75" thickBot="1" x14ac:dyDescent="0.3">
      <c r="A954" s="587"/>
      <c r="B954" s="592"/>
      <c r="C954" s="593"/>
      <c r="D954" s="606"/>
      <c r="E954" s="519"/>
      <c r="F954" s="520"/>
      <c r="G954" s="525"/>
      <c r="H954" s="526"/>
      <c r="I954" s="531"/>
      <c r="J954" s="532"/>
      <c r="K954" s="514"/>
      <c r="L954" s="535"/>
      <c r="M954" s="538"/>
      <c r="N954" s="543"/>
      <c r="O954" s="544"/>
      <c r="P954" s="485"/>
      <c r="Q954" s="486"/>
      <c r="R954" s="519"/>
      <c r="S954" s="520"/>
      <c r="T954" s="489"/>
      <c r="U954" s="490"/>
      <c r="V954" s="493"/>
      <c r="W954" s="485"/>
      <c r="X954" s="496"/>
      <c r="Y954" s="486"/>
      <c r="Z954" s="499"/>
      <c r="AA954" s="504"/>
      <c r="AB954" s="505"/>
      <c r="AC954" s="476" t="s">
        <v>261</v>
      </c>
      <c r="AD954" s="477"/>
      <c r="AE954" s="478"/>
      <c r="AF954" s="102"/>
      <c r="AG954" s="102"/>
      <c r="AH954" s="102"/>
      <c r="AI954" s="102"/>
      <c r="AJ954" s="102"/>
      <c r="AK954" s="102"/>
      <c r="AL954" s="102"/>
      <c r="AM954" s="102"/>
      <c r="AN954" s="102"/>
      <c r="AO954" s="102"/>
      <c r="AP954" s="102"/>
      <c r="AQ954" s="103"/>
      <c r="AR954" s="105">
        <f t="shared" si="1810"/>
        <v>0</v>
      </c>
      <c r="AS954" s="131" t="s">
        <v>161</v>
      </c>
      <c r="AT954" s="132">
        <f t="shared" ref="AT954:AX954" si="1811">SUM(AT951:AT953)</f>
        <v>0</v>
      </c>
      <c r="AU954" s="132">
        <f t="shared" si="1811"/>
        <v>0</v>
      </c>
      <c r="AV954" s="132">
        <f t="shared" si="1811"/>
        <v>0</v>
      </c>
      <c r="AW954" s="133">
        <f t="shared" si="1811"/>
        <v>0</v>
      </c>
      <c r="AX954" s="127">
        <f t="shared" si="1811"/>
        <v>0</v>
      </c>
      <c r="AY954" s="144" t="s">
        <v>161</v>
      </c>
      <c r="AZ954" s="140">
        <f t="shared" ref="AZ954:BB954" si="1812">SUM(AZ951:AZ953)</f>
        <v>0</v>
      </c>
      <c r="BA954" s="140">
        <f t="shared" si="1812"/>
        <v>0</v>
      </c>
      <c r="BB954" s="140">
        <f t="shared" si="1812"/>
        <v>0</v>
      </c>
      <c r="BC954" s="479" t="s">
        <v>263</v>
      </c>
      <c r="BD954" s="480"/>
      <c r="BE954" s="15"/>
      <c r="BF954" s="18"/>
      <c r="BG954" s="15"/>
      <c r="BH954" s="18"/>
      <c r="BI954" s="15"/>
      <c r="BJ954" s="18"/>
      <c r="BK954" s="15"/>
      <c r="BL954" s="18"/>
      <c r="BM954" s="15"/>
      <c r="BN954" s="18"/>
      <c r="BO954" s="15"/>
      <c r="BP954" s="18"/>
      <c r="BQ954" s="109">
        <f t="shared" si="1761"/>
        <v>0</v>
      </c>
      <c r="BR954" s="568"/>
      <c r="BS954" s="573"/>
      <c r="BT954" s="574"/>
      <c r="BU954" s="559"/>
      <c r="BV954" s="562"/>
      <c r="BW954" s="565"/>
      <c r="BX954" s="617"/>
    </row>
    <row r="955" spans="1:76" ht="15.75" thickTop="1" x14ac:dyDescent="0.25">
      <c r="A955" s="585">
        <v>237</v>
      </c>
      <c r="B955" s="588"/>
      <c r="C955" s="589"/>
      <c r="D955" s="604"/>
      <c r="E955" s="515"/>
      <c r="F955" s="516"/>
      <c r="G955" s="521"/>
      <c r="H955" s="522"/>
      <c r="I955" s="527"/>
      <c r="J955" s="528"/>
      <c r="K955" s="512" t="e">
        <f t="shared" ref="K955" si="1813">INT(YEARFRAC(I955,AA955))</f>
        <v>#VALUE!</v>
      </c>
      <c r="L955" s="533">
        <f t="shared" ref="L955" ca="1" si="1814">INT(YEARFRAC(I955,TODAY()))</f>
        <v>121</v>
      </c>
      <c r="M955" s="536"/>
      <c r="N955" s="539"/>
      <c r="O955" s="540"/>
      <c r="P955" s="481"/>
      <c r="Q955" s="482"/>
      <c r="R955" s="515"/>
      <c r="S955" s="516"/>
      <c r="T955" s="487"/>
      <c r="U955" s="488"/>
      <c r="V955" s="491"/>
      <c r="W955" s="481"/>
      <c r="X955" s="494"/>
      <c r="Y955" s="482"/>
      <c r="Z955" s="497"/>
      <c r="AA955" s="500" t="s">
        <v>478</v>
      </c>
      <c r="AB955" s="501"/>
      <c r="AC955" s="506" t="s">
        <v>257</v>
      </c>
      <c r="AD955" s="507"/>
      <c r="AE955" s="507"/>
      <c r="AF955" s="510"/>
      <c r="AG955" s="510"/>
      <c r="AH955" s="510"/>
      <c r="AI955" s="510"/>
      <c r="AJ955" s="510"/>
      <c r="AK955" s="510"/>
      <c r="AL955" s="510"/>
      <c r="AM955" s="510"/>
      <c r="AN955" s="510"/>
      <c r="AO955" s="510"/>
      <c r="AP955" s="510"/>
      <c r="AQ955" s="465"/>
      <c r="AR955" s="467">
        <f t="shared" ref="AR955" si="1815">SUM(AF955:AQ956)</f>
        <v>0</v>
      </c>
      <c r="AS955" s="119" t="s">
        <v>257</v>
      </c>
      <c r="AT955" s="120"/>
      <c r="AU955" s="120"/>
      <c r="AV955" s="120"/>
      <c r="AW955" s="121"/>
      <c r="AX955" s="125">
        <f t="shared" ref="AX955:AX957" si="1816">SUM(AT955:AW955)</f>
        <v>0</v>
      </c>
      <c r="AY955" s="141" t="s">
        <v>257</v>
      </c>
      <c r="AZ955" s="137"/>
      <c r="BA955" s="137"/>
      <c r="BB955" s="134">
        <f t="shared" ref="BB955:BB957" si="1817">AZ955-BA955</f>
        <v>0</v>
      </c>
      <c r="BC955" s="469" t="s">
        <v>258</v>
      </c>
      <c r="BD955" s="470"/>
      <c r="BE955" s="13"/>
      <c r="BF955" s="16"/>
      <c r="BG955" s="13"/>
      <c r="BH955" s="16"/>
      <c r="BI955" s="13"/>
      <c r="BJ955" s="16"/>
      <c r="BK955" s="13"/>
      <c r="BL955" s="16"/>
      <c r="BM955" s="13"/>
      <c r="BN955" s="16"/>
      <c r="BO955" s="13"/>
      <c r="BP955" s="16"/>
      <c r="BQ955" s="106">
        <f t="shared" si="1761"/>
        <v>0</v>
      </c>
      <c r="BR955" s="566"/>
      <c r="BS955" s="569"/>
      <c r="BT955" s="570"/>
      <c r="BU955" s="557"/>
      <c r="BV955" s="560"/>
      <c r="BW955" s="563"/>
      <c r="BX955" s="615"/>
    </row>
    <row r="956" spans="1:76" x14ac:dyDescent="0.25">
      <c r="A956" s="586"/>
      <c r="B956" s="590"/>
      <c r="C956" s="591"/>
      <c r="D956" s="605"/>
      <c r="E956" s="517"/>
      <c r="F956" s="518"/>
      <c r="G956" s="523"/>
      <c r="H956" s="524"/>
      <c r="I956" s="529"/>
      <c r="J956" s="530"/>
      <c r="K956" s="513"/>
      <c r="L956" s="534"/>
      <c r="M956" s="537"/>
      <c r="N956" s="541"/>
      <c r="O956" s="542"/>
      <c r="P956" s="483"/>
      <c r="Q956" s="484"/>
      <c r="R956" s="517"/>
      <c r="S956" s="518"/>
      <c r="T956" s="487"/>
      <c r="U956" s="488"/>
      <c r="V956" s="492"/>
      <c r="W956" s="483"/>
      <c r="X956" s="495"/>
      <c r="Y956" s="484"/>
      <c r="Z956" s="498"/>
      <c r="AA956" s="502"/>
      <c r="AB956" s="503"/>
      <c r="AC956" s="508"/>
      <c r="AD956" s="509"/>
      <c r="AE956" s="509"/>
      <c r="AF956" s="511"/>
      <c r="AG956" s="511"/>
      <c r="AH956" s="511"/>
      <c r="AI956" s="511"/>
      <c r="AJ956" s="511"/>
      <c r="AK956" s="511"/>
      <c r="AL956" s="511"/>
      <c r="AM956" s="511"/>
      <c r="AN956" s="511"/>
      <c r="AO956" s="511"/>
      <c r="AP956" s="511"/>
      <c r="AQ956" s="466"/>
      <c r="AR956" s="468"/>
      <c r="AS956" s="122" t="s">
        <v>259</v>
      </c>
      <c r="AT956" s="123"/>
      <c r="AU956" s="123"/>
      <c r="AV956" s="123"/>
      <c r="AW956" s="124"/>
      <c r="AX956" s="126">
        <f t="shared" si="1816"/>
        <v>0</v>
      </c>
      <c r="AY956" s="142" t="s">
        <v>259</v>
      </c>
      <c r="AZ956" s="138"/>
      <c r="BA956" s="138"/>
      <c r="BB956" s="135">
        <f t="shared" si="1817"/>
        <v>0</v>
      </c>
      <c r="BC956" s="474" t="s">
        <v>260</v>
      </c>
      <c r="BD956" s="475"/>
      <c r="BE956" s="14"/>
      <c r="BF956" s="17"/>
      <c r="BG956" s="14"/>
      <c r="BH956" s="17"/>
      <c r="BI956" s="14"/>
      <c r="BJ956" s="17"/>
      <c r="BK956" s="14"/>
      <c r="BL956" s="17"/>
      <c r="BM956" s="14"/>
      <c r="BN956" s="17"/>
      <c r="BO956" s="14"/>
      <c r="BP956" s="17"/>
      <c r="BQ956" s="107">
        <f t="shared" si="1761"/>
        <v>0</v>
      </c>
      <c r="BR956" s="567"/>
      <c r="BS956" s="571"/>
      <c r="BT956" s="572"/>
      <c r="BU956" s="558"/>
      <c r="BV956" s="561"/>
      <c r="BW956" s="564"/>
      <c r="BX956" s="616"/>
    </row>
    <row r="957" spans="1:76" ht="15.75" thickBot="1" x14ac:dyDescent="0.3">
      <c r="A957" s="586"/>
      <c r="B957" s="590"/>
      <c r="C957" s="591"/>
      <c r="D957" s="605"/>
      <c r="E957" s="517"/>
      <c r="F957" s="518"/>
      <c r="G957" s="523"/>
      <c r="H957" s="524"/>
      <c r="I957" s="529"/>
      <c r="J957" s="530"/>
      <c r="K957" s="513"/>
      <c r="L957" s="534"/>
      <c r="M957" s="537"/>
      <c r="N957" s="541"/>
      <c r="O957" s="542"/>
      <c r="P957" s="483"/>
      <c r="Q957" s="484"/>
      <c r="R957" s="517"/>
      <c r="S957" s="518"/>
      <c r="T957" s="487"/>
      <c r="U957" s="488"/>
      <c r="V957" s="492"/>
      <c r="W957" s="483"/>
      <c r="X957" s="495"/>
      <c r="Y957" s="484"/>
      <c r="Z957" s="498"/>
      <c r="AA957" s="502"/>
      <c r="AB957" s="503"/>
      <c r="AC957" s="471" t="s">
        <v>259</v>
      </c>
      <c r="AD957" s="472"/>
      <c r="AE957" s="473"/>
      <c r="AF957" s="100"/>
      <c r="AG957" s="100"/>
      <c r="AH957" s="100"/>
      <c r="AI957" s="100"/>
      <c r="AJ957" s="100"/>
      <c r="AK957" s="100"/>
      <c r="AL957" s="100"/>
      <c r="AM957" s="100"/>
      <c r="AN957" s="100"/>
      <c r="AO957" s="100"/>
      <c r="AP957" s="100"/>
      <c r="AQ957" s="101"/>
      <c r="AR957" s="104">
        <f t="shared" ref="AR957:AR958" si="1818">SUM(AF957:AQ957)</f>
        <v>0</v>
      </c>
      <c r="AS957" s="128" t="s">
        <v>261</v>
      </c>
      <c r="AT957" s="129"/>
      <c r="AU957" s="129"/>
      <c r="AV957" s="129"/>
      <c r="AW957" s="130"/>
      <c r="AX957" s="126">
        <f t="shared" si="1816"/>
        <v>0</v>
      </c>
      <c r="AY957" s="143" t="s">
        <v>261</v>
      </c>
      <c r="AZ957" s="139"/>
      <c r="BA957" s="139"/>
      <c r="BB957" s="136">
        <f t="shared" si="1817"/>
        <v>0</v>
      </c>
      <c r="BC957" s="474" t="s">
        <v>262</v>
      </c>
      <c r="BD957" s="475"/>
      <c r="BE957" s="14"/>
      <c r="BF957" s="17"/>
      <c r="BG957" s="14"/>
      <c r="BH957" s="17"/>
      <c r="BI957" s="14"/>
      <c r="BJ957" s="17"/>
      <c r="BK957" s="14"/>
      <c r="BL957" s="17"/>
      <c r="BM957" s="14"/>
      <c r="BN957" s="17"/>
      <c r="BO957" s="14"/>
      <c r="BP957" s="17"/>
      <c r="BQ957" s="108">
        <f t="shared" si="1761"/>
        <v>0</v>
      </c>
      <c r="BR957" s="567"/>
      <c r="BS957" s="571"/>
      <c r="BT957" s="572"/>
      <c r="BU957" s="558"/>
      <c r="BV957" s="561"/>
      <c r="BW957" s="564"/>
      <c r="BX957" s="616"/>
    </row>
    <row r="958" spans="1:76" ht="15.75" thickBot="1" x14ac:dyDescent="0.3">
      <c r="A958" s="587"/>
      <c r="B958" s="592"/>
      <c r="C958" s="593"/>
      <c r="D958" s="606"/>
      <c r="E958" s="519"/>
      <c r="F958" s="520"/>
      <c r="G958" s="525"/>
      <c r="H958" s="526"/>
      <c r="I958" s="531"/>
      <c r="J958" s="532"/>
      <c r="K958" s="514"/>
      <c r="L958" s="535"/>
      <c r="M958" s="538"/>
      <c r="N958" s="543"/>
      <c r="O958" s="544"/>
      <c r="P958" s="485"/>
      <c r="Q958" s="486"/>
      <c r="R958" s="519"/>
      <c r="S958" s="520"/>
      <c r="T958" s="489"/>
      <c r="U958" s="490"/>
      <c r="V958" s="493"/>
      <c r="W958" s="485"/>
      <c r="X958" s="496"/>
      <c r="Y958" s="486"/>
      <c r="Z958" s="499"/>
      <c r="AA958" s="504"/>
      <c r="AB958" s="505"/>
      <c r="AC958" s="476" t="s">
        <v>261</v>
      </c>
      <c r="AD958" s="477"/>
      <c r="AE958" s="478"/>
      <c r="AF958" s="102"/>
      <c r="AG958" s="102"/>
      <c r="AH958" s="102"/>
      <c r="AI958" s="102"/>
      <c r="AJ958" s="102"/>
      <c r="AK958" s="102"/>
      <c r="AL958" s="102"/>
      <c r="AM958" s="102"/>
      <c r="AN958" s="102"/>
      <c r="AO958" s="102"/>
      <c r="AP958" s="102"/>
      <c r="AQ958" s="103"/>
      <c r="AR958" s="105">
        <f t="shared" si="1818"/>
        <v>0</v>
      </c>
      <c r="AS958" s="131" t="s">
        <v>161</v>
      </c>
      <c r="AT958" s="132">
        <f t="shared" ref="AT958:AX958" si="1819">SUM(AT955:AT957)</f>
        <v>0</v>
      </c>
      <c r="AU958" s="132">
        <f t="shared" si="1819"/>
        <v>0</v>
      </c>
      <c r="AV958" s="132">
        <f t="shared" si="1819"/>
        <v>0</v>
      </c>
      <c r="AW958" s="133">
        <f t="shared" si="1819"/>
        <v>0</v>
      </c>
      <c r="AX958" s="127">
        <f t="shared" si="1819"/>
        <v>0</v>
      </c>
      <c r="AY958" s="144" t="s">
        <v>161</v>
      </c>
      <c r="AZ958" s="140">
        <f t="shared" ref="AZ958:BB958" si="1820">SUM(AZ955:AZ957)</f>
        <v>0</v>
      </c>
      <c r="BA958" s="140">
        <f t="shared" si="1820"/>
        <v>0</v>
      </c>
      <c r="BB958" s="140">
        <f t="shared" si="1820"/>
        <v>0</v>
      </c>
      <c r="BC958" s="479" t="s">
        <v>263</v>
      </c>
      <c r="BD958" s="480"/>
      <c r="BE958" s="15"/>
      <c r="BF958" s="18"/>
      <c r="BG958" s="15"/>
      <c r="BH958" s="18"/>
      <c r="BI958" s="15"/>
      <c r="BJ958" s="18"/>
      <c r="BK958" s="15"/>
      <c r="BL958" s="18"/>
      <c r="BM958" s="15"/>
      <c r="BN958" s="18"/>
      <c r="BO958" s="15"/>
      <c r="BP958" s="18"/>
      <c r="BQ958" s="109">
        <f t="shared" si="1761"/>
        <v>0</v>
      </c>
      <c r="BR958" s="568"/>
      <c r="BS958" s="573"/>
      <c r="BT958" s="574"/>
      <c r="BU958" s="559"/>
      <c r="BV958" s="562"/>
      <c r="BW958" s="565"/>
      <c r="BX958" s="617"/>
    </row>
    <row r="959" spans="1:76" ht="15.75" thickTop="1" x14ac:dyDescent="0.25">
      <c r="A959" s="585">
        <v>238</v>
      </c>
      <c r="B959" s="588"/>
      <c r="C959" s="589"/>
      <c r="D959" s="604"/>
      <c r="E959" s="515"/>
      <c r="F959" s="516"/>
      <c r="G959" s="521"/>
      <c r="H959" s="522"/>
      <c r="I959" s="527"/>
      <c r="J959" s="528"/>
      <c r="K959" s="512" t="e">
        <f t="shared" ref="K959" si="1821">INT(YEARFRAC(I959,AA959))</f>
        <v>#VALUE!</v>
      </c>
      <c r="L959" s="533">
        <f t="shared" ref="L959" ca="1" si="1822">INT(YEARFRAC(I959,TODAY()))</f>
        <v>121</v>
      </c>
      <c r="M959" s="536"/>
      <c r="N959" s="539"/>
      <c r="O959" s="540"/>
      <c r="P959" s="481"/>
      <c r="Q959" s="482"/>
      <c r="R959" s="515"/>
      <c r="S959" s="516"/>
      <c r="T959" s="487"/>
      <c r="U959" s="488"/>
      <c r="V959" s="491"/>
      <c r="W959" s="481"/>
      <c r="X959" s="494"/>
      <c r="Y959" s="482"/>
      <c r="Z959" s="497"/>
      <c r="AA959" s="500" t="s">
        <v>479</v>
      </c>
      <c r="AB959" s="501"/>
      <c r="AC959" s="506" t="s">
        <v>257</v>
      </c>
      <c r="AD959" s="507"/>
      <c r="AE959" s="507"/>
      <c r="AF959" s="510"/>
      <c r="AG959" s="510"/>
      <c r="AH959" s="510"/>
      <c r="AI959" s="510"/>
      <c r="AJ959" s="510"/>
      <c r="AK959" s="510"/>
      <c r="AL959" s="510"/>
      <c r="AM959" s="510"/>
      <c r="AN959" s="510"/>
      <c r="AO959" s="510"/>
      <c r="AP959" s="510"/>
      <c r="AQ959" s="465"/>
      <c r="AR959" s="467">
        <f t="shared" ref="AR959" si="1823">SUM(AF959:AQ960)</f>
        <v>0</v>
      </c>
      <c r="AS959" s="119" t="s">
        <v>257</v>
      </c>
      <c r="AT959" s="120"/>
      <c r="AU959" s="120"/>
      <c r="AV959" s="120"/>
      <c r="AW959" s="121"/>
      <c r="AX959" s="125">
        <f t="shared" ref="AX959:AX961" si="1824">SUM(AT959:AW959)</f>
        <v>0</v>
      </c>
      <c r="AY959" s="141" t="s">
        <v>257</v>
      </c>
      <c r="AZ959" s="137"/>
      <c r="BA959" s="137"/>
      <c r="BB959" s="134">
        <f t="shared" ref="BB959:BB961" si="1825">AZ959-BA959</f>
        <v>0</v>
      </c>
      <c r="BC959" s="469" t="s">
        <v>258</v>
      </c>
      <c r="BD959" s="470"/>
      <c r="BE959" s="13"/>
      <c r="BF959" s="16"/>
      <c r="BG959" s="13"/>
      <c r="BH959" s="16"/>
      <c r="BI959" s="13"/>
      <c r="BJ959" s="16"/>
      <c r="BK959" s="13"/>
      <c r="BL959" s="16"/>
      <c r="BM959" s="13"/>
      <c r="BN959" s="16"/>
      <c r="BO959" s="13"/>
      <c r="BP959" s="16"/>
      <c r="BQ959" s="106">
        <f t="shared" si="1761"/>
        <v>0</v>
      </c>
      <c r="BR959" s="566"/>
      <c r="BS959" s="569"/>
      <c r="BT959" s="570"/>
      <c r="BU959" s="557"/>
      <c r="BV959" s="560"/>
      <c r="BW959" s="563"/>
      <c r="BX959" s="615"/>
    </row>
    <row r="960" spans="1:76" x14ac:dyDescent="0.25">
      <c r="A960" s="586"/>
      <c r="B960" s="590"/>
      <c r="C960" s="591"/>
      <c r="D960" s="605"/>
      <c r="E960" s="517"/>
      <c r="F960" s="518"/>
      <c r="G960" s="523"/>
      <c r="H960" s="524"/>
      <c r="I960" s="529"/>
      <c r="J960" s="530"/>
      <c r="K960" s="513"/>
      <c r="L960" s="534"/>
      <c r="M960" s="537"/>
      <c r="N960" s="541"/>
      <c r="O960" s="542"/>
      <c r="P960" s="483"/>
      <c r="Q960" s="484"/>
      <c r="R960" s="517"/>
      <c r="S960" s="518"/>
      <c r="T960" s="487"/>
      <c r="U960" s="488"/>
      <c r="V960" s="492"/>
      <c r="W960" s="483"/>
      <c r="X960" s="495"/>
      <c r="Y960" s="484"/>
      <c r="Z960" s="498"/>
      <c r="AA960" s="502"/>
      <c r="AB960" s="503"/>
      <c r="AC960" s="508"/>
      <c r="AD960" s="509"/>
      <c r="AE960" s="509"/>
      <c r="AF960" s="511"/>
      <c r="AG960" s="511"/>
      <c r="AH960" s="511"/>
      <c r="AI960" s="511"/>
      <c r="AJ960" s="511"/>
      <c r="AK960" s="511"/>
      <c r="AL960" s="511"/>
      <c r="AM960" s="511"/>
      <c r="AN960" s="511"/>
      <c r="AO960" s="511"/>
      <c r="AP960" s="511"/>
      <c r="AQ960" s="466"/>
      <c r="AR960" s="468"/>
      <c r="AS960" s="122" t="s">
        <v>259</v>
      </c>
      <c r="AT960" s="123"/>
      <c r="AU960" s="123"/>
      <c r="AV960" s="123"/>
      <c r="AW960" s="124"/>
      <c r="AX960" s="126">
        <f t="shared" si="1824"/>
        <v>0</v>
      </c>
      <c r="AY960" s="142" t="s">
        <v>259</v>
      </c>
      <c r="AZ960" s="138"/>
      <c r="BA960" s="138"/>
      <c r="BB960" s="135">
        <f t="shared" si="1825"/>
        <v>0</v>
      </c>
      <c r="BC960" s="474" t="s">
        <v>260</v>
      </c>
      <c r="BD960" s="475"/>
      <c r="BE960" s="14"/>
      <c r="BF960" s="17"/>
      <c r="BG960" s="14"/>
      <c r="BH960" s="17"/>
      <c r="BI960" s="14"/>
      <c r="BJ960" s="17"/>
      <c r="BK960" s="14"/>
      <c r="BL960" s="17"/>
      <c r="BM960" s="14"/>
      <c r="BN960" s="17"/>
      <c r="BO960" s="14"/>
      <c r="BP960" s="17"/>
      <c r="BQ960" s="107">
        <f t="shared" si="1761"/>
        <v>0</v>
      </c>
      <c r="BR960" s="567"/>
      <c r="BS960" s="571"/>
      <c r="BT960" s="572"/>
      <c r="BU960" s="558"/>
      <c r="BV960" s="561"/>
      <c r="BW960" s="564"/>
      <c r="BX960" s="616"/>
    </row>
    <row r="961" spans="1:76" ht="15.75" thickBot="1" x14ac:dyDescent="0.3">
      <c r="A961" s="586"/>
      <c r="B961" s="590"/>
      <c r="C961" s="591"/>
      <c r="D961" s="605"/>
      <c r="E961" s="517"/>
      <c r="F961" s="518"/>
      <c r="G961" s="523"/>
      <c r="H961" s="524"/>
      <c r="I961" s="529"/>
      <c r="J961" s="530"/>
      <c r="K961" s="513"/>
      <c r="L961" s="534"/>
      <c r="M961" s="537"/>
      <c r="N961" s="541"/>
      <c r="O961" s="542"/>
      <c r="P961" s="483"/>
      <c r="Q961" s="484"/>
      <c r="R961" s="517"/>
      <c r="S961" s="518"/>
      <c r="T961" s="487"/>
      <c r="U961" s="488"/>
      <c r="V961" s="492"/>
      <c r="W961" s="483"/>
      <c r="X961" s="495"/>
      <c r="Y961" s="484"/>
      <c r="Z961" s="498"/>
      <c r="AA961" s="502"/>
      <c r="AB961" s="503"/>
      <c r="AC961" s="471" t="s">
        <v>259</v>
      </c>
      <c r="AD961" s="472"/>
      <c r="AE961" s="473"/>
      <c r="AF961" s="100"/>
      <c r="AG961" s="100"/>
      <c r="AH961" s="100"/>
      <c r="AI961" s="100"/>
      <c r="AJ961" s="100"/>
      <c r="AK961" s="100"/>
      <c r="AL961" s="100"/>
      <c r="AM961" s="100"/>
      <c r="AN961" s="100"/>
      <c r="AO961" s="100"/>
      <c r="AP961" s="100"/>
      <c r="AQ961" s="101"/>
      <c r="AR961" s="104">
        <f t="shared" ref="AR961:AR962" si="1826">SUM(AF961:AQ961)</f>
        <v>0</v>
      </c>
      <c r="AS961" s="128" t="s">
        <v>261</v>
      </c>
      <c r="AT961" s="129"/>
      <c r="AU961" s="129"/>
      <c r="AV961" s="129"/>
      <c r="AW961" s="130"/>
      <c r="AX961" s="126">
        <f t="shared" si="1824"/>
        <v>0</v>
      </c>
      <c r="AY961" s="143" t="s">
        <v>261</v>
      </c>
      <c r="AZ961" s="139"/>
      <c r="BA961" s="139"/>
      <c r="BB961" s="136">
        <f t="shared" si="1825"/>
        <v>0</v>
      </c>
      <c r="BC961" s="474" t="s">
        <v>262</v>
      </c>
      <c r="BD961" s="475"/>
      <c r="BE961" s="14"/>
      <c r="BF961" s="17"/>
      <c r="BG961" s="14"/>
      <c r="BH961" s="17"/>
      <c r="BI961" s="14"/>
      <c r="BJ961" s="17"/>
      <c r="BK961" s="14"/>
      <c r="BL961" s="17"/>
      <c r="BM961" s="14"/>
      <c r="BN961" s="17"/>
      <c r="BO961" s="14"/>
      <c r="BP961" s="17"/>
      <c r="BQ961" s="108">
        <f t="shared" si="1761"/>
        <v>0</v>
      </c>
      <c r="BR961" s="567"/>
      <c r="BS961" s="571"/>
      <c r="BT961" s="572"/>
      <c r="BU961" s="558"/>
      <c r="BV961" s="561"/>
      <c r="BW961" s="564"/>
      <c r="BX961" s="616"/>
    </row>
    <row r="962" spans="1:76" ht="15.75" thickBot="1" x14ac:dyDescent="0.3">
      <c r="A962" s="587"/>
      <c r="B962" s="592"/>
      <c r="C962" s="593"/>
      <c r="D962" s="606"/>
      <c r="E962" s="519"/>
      <c r="F962" s="520"/>
      <c r="G962" s="525"/>
      <c r="H962" s="526"/>
      <c r="I962" s="531"/>
      <c r="J962" s="532"/>
      <c r="K962" s="514"/>
      <c r="L962" s="535"/>
      <c r="M962" s="538"/>
      <c r="N962" s="543"/>
      <c r="O962" s="544"/>
      <c r="P962" s="485"/>
      <c r="Q962" s="486"/>
      <c r="R962" s="519"/>
      <c r="S962" s="520"/>
      <c r="T962" s="489"/>
      <c r="U962" s="490"/>
      <c r="V962" s="493"/>
      <c r="W962" s="485"/>
      <c r="X962" s="496"/>
      <c r="Y962" s="486"/>
      <c r="Z962" s="499"/>
      <c r="AA962" s="504"/>
      <c r="AB962" s="505"/>
      <c r="AC962" s="476" t="s">
        <v>261</v>
      </c>
      <c r="AD962" s="477"/>
      <c r="AE962" s="478"/>
      <c r="AF962" s="102"/>
      <c r="AG962" s="102"/>
      <c r="AH962" s="102"/>
      <c r="AI962" s="102"/>
      <c r="AJ962" s="102"/>
      <c r="AK962" s="102"/>
      <c r="AL962" s="102"/>
      <c r="AM962" s="102"/>
      <c r="AN962" s="102"/>
      <c r="AO962" s="102"/>
      <c r="AP962" s="102"/>
      <c r="AQ962" s="103"/>
      <c r="AR962" s="105">
        <f t="shared" si="1826"/>
        <v>0</v>
      </c>
      <c r="AS962" s="131" t="s">
        <v>161</v>
      </c>
      <c r="AT962" s="132">
        <f t="shared" ref="AT962:AX962" si="1827">SUM(AT959:AT961)</f>
        <v>0</v>
      </c>
      <c r="AU962" s="132">
        <f t="shared" si="1827"/>
        <v>0</v>
      </c>
      <c r="AV962" s="132">
        <f t="shared" si="1827"/>
        <v>0</v>
      </c>
      <c r="AW962" s="133">
        <f t="shared" si="1827"/>
        <v>0</v>
      </c>
      <c r="AX962" s="127">
        <f t="shared" si="1827"/>
        <v>0</v>
      </c>
      <c r="AY962" s="144" t="s">
        <v>161</v>
      </c>
      <c r="AZ962" s="140">
        <f t="shared" ref="AZ962:BB962" si="1828">SUM(AZ959:AZ961)</f>
        <v>0</v>
      </c>
      <c r="BA962" s="140">
        <f t="shared" si="1828"/>
        <v>0</v>
      </c>
      <c r="BB962" s="140">
        <f t="shared" si="1828"/>
        <v>0</v>
      </c>
      <c r="BC962" s="479" t="s">
        <v>263</v>
      </c>
      <c r="BD962" s="480"/>
      <c r="BE962" s="15"/>
      <c r="BF962" s="18"/>
      <c r="BG962" s="15"/>
      <c r="BH962" s="18"/>
      <c r="BI962" s="15"/>
      <c r="BJ962" s="18"/>
      <c r="BK962" s="15"/>
      <c r="BL962" s="18"/>
      <c r="BM962" s="15"/>
      <c r="BN962" s="18"/>
      <c r="BO962" s="15"/>
      <c r="BP962" s="18"/>
      <c r="BQ962" s="109">
        <f t="shared" si="1761"/>
        <v>0</v>
      </c>
      <c r="BR962" s="568"/>
      <c r="BS962" s="573"/>
      <c r="BT962" s="574"/>
      <c r="BU962" s="559"/>
      <c r="BV962" s="562"/>
      <c r="BW962" s="565"/>
      <c r="BX962" s="617"/>
    </row>
    <row r="963" spans="1:76" ht="15.75" thickTop="1" x14ac:dyDescent="0.25">
      <c r="A963" s="585">
        <v>239</v>
      </c>
      <c r="B963" s="588"/>
      <c r="C963" s="589"/>
      <c r="D963" s="604"/>
      <c r="E963" s="515"/>
      <c r="F963" s="516"/>
      <c r="G963" s="521"/>
      <c r="H963" s="522"/>
      <c r="I963" s="527"/>
      <c r="J963" s="528"/>
      <c r="K963" s="512" t="e">
        <f t="shared" ref="K963" si="1829">INT(YEARFRAC(I963,AA963))</f>
        <v>#VALUE!</v>
      </c>
      <c r="L963" s="533">
        <f t="shared" ref="L963" ca="1" si="1830">INT(YEARFRAC(I963,TODAY()))</f>
        <v>121</v>
      </c>
      <c r="M963" s="536"/>
      <c r="N963" s="539"/>
      <c r="O963" s="540"/>
      <c r="P963" s="481"/>
      <c r="Q963" s="482"/>
      <c r="R963" s="515"/>
      <c r="S963" s="516"/>
      <c r="T963" s="487"/>
      <c r="U963" s="488"/>
      <c r="V963" s="491"/>
      <c r="W963" s="481"/>
      <c r="X963" s="494"/>
      <c r="Y963" s="482"/>
      <c r="Z963" s="497"/>
      <c r="AA963" s="500" t="s">
        <v>480</v>
      </c>
      <c r="AB963" s="501"/>
      <c r="AC963" s="506" t="s">
        <v>257</v>
      </c>
      <c r="AD963" s="507"/>
      <c r="AE963" s="507"/>
      <c r="AF963" s="510"/>
      <c r="AG963" s="510"/>
      <c r="AH963" s="510"/>
      <c r="AI963" s="510"/>
      <c r="AJ963" s="510"/>
      <c r="AK963" s="510"/>
      <c r="AL963" s="510"/>
      <c r="AM963" s="510"/>
      <c r="AN963" s="510"/>
      <c r="AO963" s="510"/>
      <c r="AP963" s="510"/>
      <c r="AQ963" s="465"/>
      <c r="AR963" s="467">
        <f t="shared" ref="AR963" si="1831">SUM(AF963:AQ964)</f>
        <v>0</v>
      </c>
      <c r="AS963" s="119" t="s">
        <v>257</v>
      </c>
      <c r="AT963" s="120"/>
      <c r="AU963" s="120"/>
      <c r="AV963" s="120"/>
      <c r="AW963" s="121"/>
      <c r="AX963" s="125">
        <f t="shared" ref="AX963:AX965" si="1832">SUM(AT963:AW963)</f>
        <v>0</v>
      </c>
      <c r="AY963" s="141" t="s">
        <v>257</v>
      </c>
      <c r="AZ963" s="137"/>
      <c r="BA963" s="137"/>
      <c r="BB963" s="134">
        <f t="shared" ref="BB963:BB965" si="1833">AZ963-BA963</f>
        <v>0</v>
      </c>
      <c r="BC963" s="469" t="s">
        <v>258</v>
      </c>
      <c r="BD963" s="470"/>
      <c r="BE963" s="13"/>
      <c r="BF963" s="16"/>
      <c r="BG963" s="13"/>
      <c r="BH963" s="16"/>
      <c r="BI963" s="13"/>
      <c r="BJ963" s="16"/>
      <c r="BK963" s="13"/>
      <c r="BL963" s="16"/>
      <c r="BM963" s="13"/>
      <c r="BN963" s="16"/>
      <c r="BO963" s="13"/>
      <c r="BP963" s="16"/>
      <c r="BQ963" s="106">
        <f t="shared" si="1761"/>
        <v>0</v>
      </c>
      <c r="BR963" s="566"/>
      <c r="BS963" s="569"/>
      <c r="BT963" s="570"/>
      <c r="BU963" s="557"/>
      <c r="BV963" s="560"/>
      <c r="BW963" s="563"/>
      <c r="BX963" s="615"/>
    </row>
    <row r="964" spans="1:76" x14ac:dyDescent="0.25">
      <c r="A964" s="586"/>
      <c r="B964" s="590"/>
      <c r="C964" s="591"/>
      <c r="D964" s="605"/>
      <c r="E964" s="517"/>
      <c r="F964" s="518"/>
      <c r="G964" s="523"/>
      <c r="H964" s="524"/>
      <c r="I964" s="529"/>
      <c r="J964" s="530"/>
      <c r="K964" s="513"/>
      <c r="L964" s="534"/>
      <c r="M964" s="537"/>
      <c r="N964" s="541"/>
      <c r="O964" s="542"/>
      <c r="P964" s="483"/>
      <c r="Q964" s="484"/>
      <c r="R964" s="517"/>
      <c r="S964" s="518"/>
      <c r="T964" s="487"/>
      <c r="U964" s="488"/>
      <c r="V964" s="492"/>
      <c r="W964" s="483"/>
      <c r="X964" s="495"/>
      <c r="Y964" s="484"/>
      <c r="Z964" s="498"/>
      <c r="AA964" s="502"/>
      <c r="AB964" s="503"/>
      <c r="AC964" s="508"/>
      <c r="AD964" s="509"/>
      <c r="AE964" s="509"/>
      <c r="AF964" s="511"/>
      <c r="AG964" s="511"/>
      <c r="AH964" s="511"/>
      <c r="AI964" s="511"/>
      <c r="AJ964" s="511"/>
      <c r="AK964" s="511"/>
      <c r="AL964" s="511"/>
      <c r="AM964" s="511"/>
      <c r="AN964" s="511"/>
      <c r="AO964" s="511"/>
      <c r="AP964" s="511"/>
      <c r="AQ964" s="466"/>
      <c r="AR964" s="468"/>
      <c r="AS964" s="122" t="s">
        <v>259</v>
      </c>
      <c r="AT964" s="123"/>
      <c r="AU964" s="123"/>
      <c r="AV964" s="123"/>
      <c r="AW964" s="124"/>
      <c r="AX964" s="126">
        <f t="shared" si="1832"/>
        <v>0</v>
      </c>
      <c r="AY964" s="142" t="s">
        <v>259</v>
      </c>
      <c r="AZ964" s="138"/>
      <c r="BA964" s="138"/>
      <c r="BB964" s="135">
        <f t="shared" si="1833"/>
        <v>0</v>
      </c>
      <c r="BC964" s="474" t="s">
        <v>260</v>
      </c>
      <c r="BD964" s="475"/>
      <c r="BE964" s="14"/>
      <c r="BF964" s="17"/>
      <c r="BG964" s="14"/>
      <c r="BH964" s="17"/>
      <c r="BI964" s="14"/>
      <c r="BJ964" s="17"/>
      <c r="BK964" s="14"/>
      <c r="BL964" s="17"/>
      <c r="BM964" s="14"/>
      <c r="BN964" s="17"/>
      <c r="BO964" s="14"/>
      <c r="BP964" s="17"/>
      <c r="BQ964" s="107">
        <f t="shared" si="1761"/>
        <v>0</v>
      </c>
      <c r="BR964" s="567"/>
      <c r="BS964" s="571"/>
      <c r="BT964" s="572"/>
      <c r="BU964" s="558"/>
      <c r="BV964" s="561"/>
      <c r="BW964" s="564"/>
      <c r="BX964" s="616"/>
    </row>
    <row r="965" spans="1:76" ht="15.75" thickBot="1" x14ac:dyDescent="0.3">
      <c r="A965" s="586"/>
      <c r="B965" s="590"/>
      <c r="C965" s="591"/>
      <c r="D965" s="605"/>
      <c r="E965" s="517"/>
      <c r="F965" s="518"/>
      <c r="G965" s="523"/>
      <c r="H965" s="524"/>
      <c r="I965" s="529"/>
      <c r="J965" s="530"/>
      <c r="K965" s="513"/>
      <c r="L965" s="534"/>
      <c r="M965" s="537"/>
      <c r="N965" s="541"/>
      <c r="O965" s="542"/>
      <c r="P965" s="483"/>
      <c r="Q965" s="484"/>
      <c r="R965" s="517"/>
      <c r="S965" s="518"/>
      <c r="T965" s="487"/>
      <c r="U965" s="488"/>
      <c r="V965" s="492"/>
      <c r="W965" s="483"/>
      <c r="X965" s="495"/>
      <c r="Y965" s="484"/>
      <c r="Z965" s="498"/>
      <c r="AA965" s="502"/>
      <c r="AB965" s="503"/>
      <c r="AC965" s="471" t="s">
        <v>259</v>
      </c>
      <c r="AD965" s="472"/>
      <c r="AE965" s="473"/>
      <c r="AF965" s="100"/>
      <c r="AG965" s="100"/>
      <c r="AH965" s="100"/>
      <c r="AI965" s="100"/>
      <c r="AJ965" s="100"/>
      <c r="AK965" s="100"/>
      <c r="AL965" s="100"/>
      <c r="AM965" s="100"/>
      <c r="AN965" s="100"/>
      <c r="AO965" s="100"/>
      <c r="AP965" s="100"/>
      <c r="AQ965" s="101"/>
      <c r="AR965" s="104">
        <f t="shared" ref="AR965:AR966" si="1834">SUM(AF965:AQ965)</f>
        <v>0</v>
      </c>
      <c r="AS965" s="128" t="s">
        <v>261</v>
      </c>
      <c r="AT965" s="129"/>
      <c r="AU965" s="129"/>
      <c r="AV965" s="129"/>
      <c r="AW965" s="130"/>
      <c r="AX965" s="126">
        <f t="shared" si="1832"/>
        <v>0</v>
      </c>
      <c r="AY965" s="143" t="s">
        <v>261</v>
      </c>
      <c r="AZ965" s="139"/>
      <c r="BA965" s="139"/>
      <c r="BB965" s="136">
        <f t="shared" si="1833"/>
        <v>0</v>
      </c>
      <c r="BC965" s="474" t="s">
        <v>262</v>
      </c>
      <c r="BD965" s="475"/>
      <c r="BE965" s="14"/>
      <c r="BF965" s="17"/>
      <c r="BG965" s="14"/>
      <c r="BH965" s="17"/>
      <c r="BI965" s="14"/>
      <c r="BJ965" s="17"/>
      <c r="BK965" s="14"/>
      <c r="BL965" s="17"/>
      <c r="BM965" s="14"/>
      <c r="BN965" s="17"/>
      <c r="BO965" s="14"/>
      <c r="BP965" s="17"/>
      <c r="BQ965" s="108">
        <f t="shared" si="1761"/>
        <v>0</v>
      </c>
      <c r="BR965" s="567"/>
      <c r="BS965" s="571"/>
      <c r="BT965" s="572"/>
      <c r="BU965" s="558"/>
      <c r="BV965" s="561"/>
      <c r="BW965" s="564"/>
      <c r="BX965" s="616"/>
    </row>
    <row r="966" spans="1:76" ht="15.75" thickBot="1" x14ac:dyDescent="0.3">
      <c r="A966" s="587"/>
      <c r="B966" s="592"/>
      <c r="C966" s="593"/>
      <c r="D966" s="606"/>
      <c r="E966" s="519"/>
      <c r="F966" s="520"/>
      <c r="G966" s="525"/>
      <c r="H966" s="526"/>
      <c r="I966" s="531"/>
      <c r="J966" s="532"/>
      <c r="K966" s="514"/>
      <c r="L966" s="535"/>
      <c r="M966" s="538"/>
      <c r="N966" s="543"/>
      <c r="O966" s="544"/>
      <c r="P966" s="485"/>
      <c r="Q966" s="486"/>
      <c r="R966" s="519"/>
      <c r="S966" s="520"/>
      <c r="T966" s="489"/>
      <c r="U966" s="490"/>
      <c r="V966" s="493"/>
      <c r="W966" s="485"/>
      <c r="X966" s="496"/>
      <c r="Y966" s="486"/>
      <c r="Z966" s="499"/>
      <c r="AA966" s="504"/>
      <c r="AB966" s="505"/>
      <c r="AC966" s="476" t="s">
        <v>261</v>
      </c>
      <c r="AD966" s="477"/>
      <c r="AE966" s="478"/>
      <c r="AF966" s="102"/>
      <c r="AG966" s="102"/>
      <c r="AH966" s="102"/>
      <c r="AI966" s="102"/>
      <c r="AJ966" s="102"/>
      <c r="AK966" s="102"/>
      <c r="AL966" s="102"/>
      <c r="AM966" s="102"/>
      <c r="AN966" s="102"/>
      <c r="AO966" s="102"/>
      <c r="AP966" s="102"/>
      <c r="AQ966" s="103"/>
      <c r="AR966" s="105">
        <f t="shared" si="1834"/>
        <v>0</v>
      </c>
      <c r="AS966" s="131" t="s">
        <v>161</v>
      </c>
      <c r="AT966" s="132">
        <f t="shared" ref="AT966:AX966" si="1835">SUM(AT963:AT965)</f>
        <v>0</v>
      </c>
      <c r="AU966" s="132">
        <f t="shared" si="1835"/>
        <v>0</v>
      </c>
      <c r="AV966" s="132">
        <f t="shared" si="1835"/>
        <v>0</v>
      </c>
      <c r="AW966" s="133">
        <f t="shared" si="1835"/>
        <v>0</v>
      </c>
      <c r="AX966" s="127">
        <f t="shared" si="1835"/>
        <v>0</v>
      </c>
      <c r="AY966" s="144" t="s">
        <v>161</v>
      </c>
      <c r="AZ966" s="140">
        <f t="shared" ref="AZ966:BB966" si="1836">SUM(AZ963:AZ965)</f>
        <v>0</v>
      </c>
      <c r="BA966" s="140">
        <f t="shared" si="1836"/>
        <v>0</v>
      </c>
      <c r="BB966" s="140">
        <f t="shared" si="1836"/>
        <v>0</v>
      </c>
      <c r="BC966" s="479" t="s">
        <v>263</v>
      </c>
      <c r="BD966" s="480"/>
      <c r="BE966" s="15"/>
      <c r="BF966" s="18"/>
      <c r="BG966" s="15"/>
      <c r="BH966" s="18"/>
      <c r="BI966" s="15"/>
      <c r="BJ966" s="18"/>
      <c r="BK966" s="15"/>
      <c r="BL966" s="18"/>
      <c r="BM966" s="15"/>
      <c r="BN966" s="18"/>
      <c r="BO966" s="15"/>
      <c r="BP966" s="18"/>
      <c r="BQ966" s="109">
        <f t="shared" si="1761"/>
        <v>0</v>
      </c>
      <c r="BR966" s="568"/>
      <c r="BS966" s="573"/>
      <c r="BT966" s="574"/>
      <c r="BU966" s="559"/>
      <c r="BV966" s="562"/>
      <c r="BW966" s="565"/>
      <c r="BX966" s="617"/>
    </row>
    <row r="967" spans="1:76" ht="15.75" thickTop="1" x14ac:dyDescent="0.25">
      <c r="A967" s="585">
        <v>240</v>
      </c>
      <c r="B967" s="588"/>
      <c r="C967" s="589"/>
      <c r="D967" s="604"/>
      <c r="E967" s="515"/>
      <c r="F967" s="516"/>
      <c r="G967" s="521"/>
      <c r="H967" s="522"/>
      <c r="I967" s="527"/>
      <c r="J967" s="528"/>
      <c r="K967" s="512" t="e">
        <f t="shared" ref="K967" si="1837">INT(YEARFRAC(I967,AA967))</f>
        <v>#VALUE!</v>
      </c>
      <c r="L967" s="533">
        <f t="shared" ref="L967" ca="1" si="1838">INT(YEARFRAC(I967,TODAY()))</f>
        <v>121</v>
      </c>
      <c r="M967" s="536"/>
      <c r="N967" s="539"/>
      <c r="O967" s="540"/>
      <c r="P967" s="481"/>
      <c r="Q967" s="482"/>
      <c r="R967" s="515"/>
      <c r="S967" s="516"/>
      <c r="T967" s="487"/>
      <c r="U967" s="488"/>
      <c r="V967" s="491"/>
      <c r="W967" s="481"/>
      <c r="X967" s="494"/>
      <c r="Y967" s="482"/>
      <c r="Z967" s="497"/>
      <c r="AA967" s="500" t="s">
        <v>481</v>
      </c>
      <c r="AB967" s="501"/>
      <c r="AC967" s="506" t="s">
        <v>257</v>
      </c>
      <c r="AD967" s="507"/>
      <c r="AE967" s="507"/>
      <c r="AF967" s="510"/>
      <c r="AG967" s="510"/>
      <c r="AH967" s="510"/>
      <c r="AI967" s="510"/>
      <c r="AJ967" s="510"/>
      <c r="AK967" s="510"/>
      <c r="AL967" s="510"/>
      <c r="AM967" s="510"/>
      <c r="AN967" s="510"/>
      <c r="AO967" s="510"/>
      <c r="AP967" s="510"/>
      <c r="AQ967" s="465"/>
      <c r="AR967" s="467">
        <f t="shared" ref="AR967" si="1839">SUM(AF967:AQ968)</f>
        <v>0</v>
      </c>
      <c r="AS967" s="119" t="s">
        <v>257</v>
      </c>
      <c r="AT967" s="120"/>
      <c r="AU967" s="120"/>
      <c r="AV967" s="120"/>
      <c r="AW967" s="121"/>
      <c r="AX967" s="125">
        <f t="shared" ref="AX967:AX969" si="1840">SUM(AT967:AW967)</f>
        <v>0</v>
      </c>
      <c r="AY967" s="141" t="s">
        <v>257</v>
      </c>
      <c r="AZ967" s="137"/>
      <c r="BA967" s="137"/>
      <c r="BB967" s="134">
        <f t="shared" ref="BB967:BB969" si="1841">AZ967-BA967</f>
        <v>0</v>
      </c>
      <c r="BC967" s="469" t="s">
        <v>258</v>
      </c>
      <c r="BD967" s="470"/>
      <c r="BE967" s="13"/>
      <c r="BF967" s="16"/>
      <c r="BG967" s="13"/>
      <c r="BH967" s="16"/>
      <c r="BI967" s="13"/>
      <c r="BJ967" s="16"/>
      <c r="BK967" s="13"/>
      <c r="BL967" s="16"/>
      <c r="BM967" s="13"/>
      <c r="BN967" s="16"/>
      <c r="BO967" s="13"/>
      <c r="BP967" s="16"/>
      <c r="BQ967" s="106">
        <f t="shared" si="1761"/>
        <v>0</v>
      </c>
      <c r="BR967" s="566"/>
      <c r="BS967" s="569"/>
      <c r="BT967" s="570"/>
      <c r="BU967" s="557"/>
      <c r="BV967" s="560"/>
      <c r="BW967" s="563"/>
      <c r="BX967" s="615"/>
    </row>
    <row r="968" spans="1:76" x14ac:dyDescent="0.25">
      <c r="A968" s="586"/>
      <c r="B968" s="590"/>
      <c r="C968" s="591"/>
      <c r="D968" s="605"/>
      <c r="E968" s="517"/>
      <c r="F968" s="518"/>
      <c r="G968" s="523"/>
      <c r="H968" s="524"/>
      <c r="I968" s="529"/>
      <c r="J968" s="530"/>
      <c r="K968" s="513"/>
      <c r="L968" s="534"/>
      <c r="M968" s="537"/>
      <c r="N968" s="541"/>
      <c r="O968" s="542"/>
      <c r="P968" s="483"/>
      <c r="Q968" s="484"/>
      <c r="R968" s="517"/>
      <c r="S968" s="518"/>
      <c r="T968" s="487"/>
      <c r="U968" s="488"/>
      <c r="V968" s="492"/>
      <c r="W968" s="483"/>
      <c r="X968" s="495"/>
      <c r="Y968" s="484"/>
      <c r="Z968" s="498"/>
      <c r="AA968" s="502"/>
      <c r="AB968" s="503"/>
      <c r="AC968" s="508"/>
      <c r="AD968" s="509"/>
      <c r="AE968" s="509"/>
      <c r="AF968" s="511"/>
      <c r="AG968" s="511"/>
      <c r="AH968" s="511"/>
      <c r="AI968" s="511"/>
      <c r="AJ968" s="511"/>
      <c r="AK968" s="511"/>
      <c r="AL968" s="511"/>
      <c r="AM968" s="511"/>
      <c r="AN968" s="511"/>
      <c r="AO968" s="511"/>
      <c r="AP968" s="511"/>
      <c r="AQ968" s="466"/>
      <c r="AR968" s="468"/>
      <c r="AS968" s="122" t="s">
        <v>259</v>
      </c>
      <c r="AT968" s="123"/>
      <c r="AU968" s="123"/>
      <c r="AV968" s="123"/>
      <c r="AW968" s="124"/>
      <c r="AX968" s="126">
        <f t="shared" si="1840"/>
        <v>0</v>
      </c>
      <c r="AY968" s="142" t="s">
        <v>259</v>
      </c>
      <c r="AZ968" s="138"/>
      <c r="BA968" s="138"/>
      <c r="BB968" s="135">
        <f t="shared" si="1841"/>
        <v>0</v>
      </c>
      <c r="BC968" s="474" t="s">
        <v>260</v>
      </c>
      <c r="BD968" s="475"/>
      <c r="BE968" s="14"/>
      <c r="BF968" s="17"/>
      <c r="BG968" s="14"/>
      <c r="BH968" s="17"/>
      <c r="BI968" s="14"/>
      <c r="BJ968" s="17"/>
      <c r="BK968" s="14"/>
      <c r="BL968" s="17"/>
      <c r="BM968" s="14"/>
      <c r="BN968" s="17"/>
      <c r="BO968" s="14"/>
      <c r="BP968" s="17"/>
      <c r="BQ968" s="107">
        <f t="shared" si="1761"/>
        <v>0</v>
      </c>
      <c r="BR968" s="567"/>
      <c r="BS968" s="571"/>
      <c r="BT968" s="572"/>
      <c r="BU968" s="558"/>
      <c r="BV968" s="561"/>
      <c r="BW968" s="564"/>
      <c r="BX968" s="616"/>
    </row>
    <row r="969" spans="1:76" ht="15.75" thickBot="1" x14ac:dyDescent="0.3">
      <c r="A969" s="586"/>
      <c r="B969" s="590"/>
      <c r="C969" s="591"/>
      <c r="D969" s="605"/>
      <c r="E969" s="517"/>
      <c r="F969" s="518"/>
      <c r="G969" s="523"/>
      <c r="H969" s="524"/>
      <c r="I969" s="529"/>
      <c r="J969" s="530"/>
      <c r="K969" s="513"/>
      <c r="L969" s="534"/>
      <c r="M969" s="537"/>
      <c r="N969" s="541"/>
      <c r="O969" s="542"/>
      <c r="P969" s="483"/>
      <c r="Q969" s="484"/>
      <c r="R969" s="517"/>
      <c r="S969" s="518"/>
      <c r="T969" s="487"/>
      <c r="U969" s="488"/>
      <c r="V969" s="492"/>
      <c r="W969" s="483"/>
      <c r="X969" s="495"/>
      <c r="Y969" s="484"/>
      <c r="Z969" s="498"/>
      <c r="AA969" s="502"/>
      <c r="AB969" s="503"/>
      <c r="AC969" s="471" t="s">
        <v>259</v>
      </c>
      <c r="AD969" s="472"/>
      <c r="AE969" s="473"/>
      <c r="AF969" s="100"/>
      <c r="AG969" s="100"/>
      <c r="AH969" s="100"/>
      <c r="AI969" s="100"/>
      <c r="AJ969" s="100"/>
      <c r="AK969" s="100"/>
      <c r="AL969" s="100"/>
      <c r="AM969" s="100"/>
      <c r="AN969" s="100"/>
      <c r="AO969" s="100"/>
      <c r="AP969" s="100"/>
      <c r="AQ969" s="101"/>
      <c r="AR969" s="104">
        <f t="shared" ref="AR969:AR970" si="1842">SUM(AF969:AQ969)</f>
        <v>0</v>
      </c>
      <c r="AS969" s="128" t="s">
        <v>261</v>
      </c>
      <c r="AT969" s="129"/>
      <c r="AU969" s="129"/>
      <c r="AV969" s="129"/>
      <c r="AW969" s="130"/>
      <c r="AX969" s="126">
        <f t="shared" si="1840"/>
        <v>0</v>
      </c>
      <c r="AY969" s="143" t="s">
        <v>261</v>
      </c>
      <c r="AZ969" s="139"/>
      <c r="BA969" s="139"/>
      <c r="BB969" s="136">
        <f t="shared" si="1841"/>
        <v>0</v>
      </c>
      <c r="BC969" s="474" t="s">
        <v>262</v>
      </c>
      <c r="BD969" s="475"/>
      <c r="BE969" s="14"/>
      <c r="BF969" s="17"/>
      <c r="BG969" s="14"/>
      <c r="BH969" s="17"/>
      <c r="BI969" s="14"/>
      <c r="BJ969" s="17"/>
      <c r="BK969" s="14"/>
      <c r="BL969" s="17"/>
      <c r="BM969" s="14"/>
      <c r="BN969" s="17"/>
      <c r="BO969" s="14"/>
      <c r="BP969" s="17"/>
      <c r="BQ969" s="108">
        <f t="shared" si="1761"/>
        <v>0</v>
      </c>
      <c r="BR969" s="567"/>
      <c r="BS969" s="571"/>
      <c r="BT969" s="572"/>
      <c r="BU969" s="558"/>
      <c r="BV969" s="561"/>
      <c r="BW969" s="564"/>
      <c r="BX969" s="616"/>
    </row>
    <row r="970" spans="1:76" ht="15.75" thickBot="1" x14ac:dyDescent="0.3">
      <c r="A970" s="587"/>
      <c r="B970" s="592"/>
      <c r="C970" s="593"/>
      <c r="D970" s="606"/>
      <c r="E970" s="519"/>
      <c r="F970" s="520"/>
      <c r="G970" s="525"/>
      <c r="H970" s="526"/>
      <c r="I970" s="531"/>
      <c r="J970" s="532"/>
      <c r="K970" s="514"/>
      <c r="L970" s="535"/>
      <c r="M970" s="538"/>
      <c r="N970" s="543"/>
      <c r="O970" s="544"/>
      <c r="P970" s="485"/>
      <c r="Q970" s="486"/>
      <c r="R970" s="519"/>
      <c r="S970" s="520"/>
      <c r="T970" s="489"/>
      <c r="U970" s="490"/>
      <c r="V970" s="493"/>
      <c r="W970" s="485"/>
      <c r="X970" s="496"/>
      <c r="Y970" s="486"/>
      <c r="Z970" s="499"/>
      <c r="AA970" s="504"/>
      <c r="AB970" s="505"/>
      <c r="AC970" s="476" t="s">
        <v>261</v>
      </c>
      <c r="AD970" s="477"/>
      <c r="AE970" s="478"/>
      <c r="AF970" s="102"/>
      <c r="AG970" s="102"/>
      <c r="AH970" s="102"/>
      <c r="AI970" s="102"/>
      <c r="AJ970" s="102"/>
      <c r="AK970" s="102"/>
      <c r="AL970" s="102"/>
      <c r="AM970" s="102"/>
      <c r="AN970" s="102"/>
      <c r="AO970" s="102"/>
      <c r="AP970" s="102"/>
      <c r="AQ970" s="103"/>
      <c r="AR970" s="105">
        <f t="shared" si="1842"/>
        <v>0</v>
      </c>
      <c r="AS970" s="131" t="s">
        <v>161</v>
      </c>
      <c r="AT970" s="132">
        <f t="shared" ref="AT970:AX970" si="1843">SUM(AT967:AT969)</f>
        <v>0</v>
      </c>
      <c r="AU970" s="132">
        <f t="shared" si="1843"/>
        <v>0</v>
      </c>
      <c r="AV970" s="132">
        <f t="shared" si="1843"/>
        <v>0</v>
      </c>
      <c r="AW970" s="133">
        <f t="shared" si="1843"/>
        <v>0</v>
      </c>
      <c r="AX970" s="127">
        <f t="shared" si="1843"/>
        <v>0</v>
      </c>
      <c r="AY970" s="144" t="s">
        <v>161</v>
      </c>
      <c r="AZ970" s="140">
        <f t="shared" ref="AZ970:BB970" si="1844">SUM(AZ967:AZ969)</f>
        <v>0</v>
      </c>
      <c r="BA970" s="140">
        <f t="shared" si="1844"/>
        <v>0</v>
      </c>
      <c r="BB970" s="140">
        <f t="shared" si="1844"/>
        <v>0</v>
      </c>
      <c r="BC970" s="479" t="s">
        <v>263</v>
      </c>
      <c r="BD970" s="480"/>
      <c r="BE970" s="15"/>
      <c r="BF970" s="18"/>
      <c r="BG970" s="15"/>
      <c r="BH970" s="18"/>
      <c r="BI970" s="15"/>
      <c r="BJ970" s="18"/>
      <c r="BK970" s="15"/>
      <c r="BL970" s="18"/>
      <c r="BM970" s="15"/>
      <c r="BN970" s="18"/>
      <c r="BO970" s="15"/>
      <c r="BP970" s="18"/>
      <c r="BQ970" s="109">
        <f t="shared" si="1761"/>
        <v>0</v>
      </c>
      <c r="BR970" s="568"/>
      <c r="BS970" s="573"/>
      <c r="BT970" s="574"/>
      <c r="BU970" s="559"/>
      <c r="BV970" s="562"/>
      <c r="BW970" s="565"/>
      <c r="BX970" s="617"/>
    </row>
    <row r="971" spans="1:76" ht="15.75" thickTop="1" x14ac:dyDescent="0.25">
      <c r="A971" s="585">
        <v>241</v>
      </c>
      <c r="B971" s="588"/>
      <c r="C971" s="589"/>
      <c r="D971" s="604"/>
      <c r="E971" s="515"/>
      <c r="F971" s="516"/>
      <c r="G971" s="521"/>
      <c r="H971" s="522"/>
      <c r="I971" s="527"/>
      <c r="J971" s="528"/>
      <c r="K971" s="512" t="e">
        <f t="shared" ref="K971" si="1845">INT(YEARFRAC(I971,AA971))</f>
        <v>#VALUE!</v>
      </c>
      <c r="L971" s="533">
        <f t="shared" ref="L971" ca="1" si="1846">INT(YEARFRAC(I971,TODAY()))</f>
        <v>121</v>
      </c>
      <c r="M971" s="536"/>
      <c r="N971" s="539"/>
      <c r="O971" s="540"/>
      <c r="P971" s="481"/>
      <c r="Q971" s="482"/>
      <c r="R971" s="515"/>
      <c r="S971" s="516"/>
      <c r="T971" s="487"/>
      <c r="U971" s="488"/>
      <c r="V971" s="491"/>
      <c r="W971" s="481"/>
      <c r="X971" s="494"/>
      <c r="Y971" s="482"/>
      <c r="Z971" s="497"/>
      <c r="AA971" s="500" t="s">
        <v>482</v>
      </c>
      <c r="AB971" s="501"/>
      <c r="AC971" s="506" t="s">
        <v>257</v>
      </c>
      <c r="AD971" s="507"/>
      <c r="AE971" s="507"/>
      <c r="AF971" s="510"/>
      <c r="AG971" s="510"/>
      <c r="AH971" s="510"/>
      <c r="AI971" s="510"/>
      <c r="AJ971" s="510"/>
      <c r="AK971" s="510"/>
      <c r="AL971" s="510"/>
      <c r="AM971" s="510"/>
      <c r="AN971" s="510"/>
      <c r="AO971" s="510"/>
      <c r="AP971" s="510"/>
      <c r="AQ971" s="465"/>
      <c r="AR971" s="467">
        <f t="shared" ref="AR971" si="1847">SUM(AF971:AQ972)</f>
        <v>0</v>
      </c>
      <c r="AS971" s="119" t="s">
        <v>257</v>
      </c>
      <c r="AT971" s="120"/>
      <c r="AU971" s="120"/>
      <c r="AV971" s="120"/>
      <c r="AW971" s="121"/>
      <c r="AX971" s="125">
        <f t="shared" ref="AX971:AX973" si="1848">SUM(AT971:AW971)</f>
        <v>0</v>
      </c>
      <c r="AY971" s="141" t="s">
        <v>257</v>
      </c>
      <c r="AZ971" s="137"/>
      <c r="BA971" s="137"/>
      <c r="BB971" s="134">
        <f t="shared" ref="BB971:BB973" si="1849">AZ971-BA971</f>
        <v>0</v>
      </c>
      <c r="BC971" s="469" t="s">
        <v>258</v>
      </c>
      <c r="BD971" s="470"/>
      <c r="BE971" s="13"/>
      <c r="BF971" s="16"/>
      <c r="BG971" s="13"/>
      <c r="BH971" s="16"/>
      <c r="BI971" s="13"/>
      <c r="BJ971" s="16"/>
      <c r="BK971" s="13"/>
      <c r="BL971" s="16"/>
      <c r="BM971" s="13"/>
      <c r="BN971" s="16"/>
      <c r="BO971" s="13"/>
      <c r="BP971" s="16"/>
      <c r="BQ971" s="106">
        <f t="shared" si="1761"/>
        <v>0</v>
      </c>
      <c r="BR971" s="566"/>
      <c r="BS971" s="569"/>
      <c r="BT971" s="570"/>
      <c r="BU971" s="557"/>
      <c r="BV971" s="560"/>
      <c r="BW971" s="563"/>
      <c r="BX971" s="615"/>
    </row>
    <row r="972" spans="1:76" x14ac:dyDescent="0.25">
      <c r="A972" s="586"/>
      <c r="B972" s="590"/>
      <c r="C972" s="591"/>
      <c r="D972" s="605"/>
      <c r="E972" s="517"/>
      <c r="F972" s="518"/>
      <c r="G972" s="523"/>
      <c r="H972" s="524"/>
      <c r="I972" s="529"/>
      <c r="J972" s="530"/>
      <c r="K972" s="513"/>
      <c r="L972" s="534"/>
      <c r="M972" s="537"/>
      <c r="N972" s="541"/>
      <c r="O972" s="542"/>
      <c r="P972" s="483"/>
      <c r="Q972" s="484"/>
      <c r="R972" s="517"/>
      <c r="S972" s="518"/>
      <c r="T972" s="487"/>
      <c r="U972" s="488"/>
      <c r="V972" s="492"/>
      <c r="W972" s="483"/>
      <c r="X972" s="495"/>
      <c r="Y972" s="484"/>
      <c r="Z972" s="498"/>
      <c r="AA972" s="502"/>
      <c r="AB972" s="503"/>
      <c r="AC972" s="508"/>
      <c r="AD972" s="509"/>
      <c r="AE972" s="509"/>
      <c r="AF972" s="511"/>
      <c r="AG972" s="511"/>
      <c r="AH972" s="511"/>
      <c r="AI972" s="511"/>
      <c r="AJ972" s="511"/>
      <c r="AK972" s="511"/>
      <c r="AL972" s="511"/>
      <c r="AM972" s="511"/>
      <c r="AN972" s="511"/>
      <c r="AO972" s="511"/>
      <c r="AP972" s="511"/>
      <c r="AQ972" s="466"/>
      <c r="AR972" s="468"/>
      <c r="AS972" s="122" t="s">
        <v>259</v>
      </c>
      <c r="AT972" s="123"/>
      <c r="AU972" s="123"/>
      <c r="AV972" s="123"/>
      <c r="AW972" s="124"/>
      <c r="AX972" s="126">
        <f t="shared" si="1848"/>
        <v>0</v>
      </c>
      <c r="AY972" s="142" t="s">
        <v>259</v>
      </c>
      <c r="AZ972" s="138"/>
      <c r="BA972" s="138"/>
      <c r="BB972" s="135">
        <f t="shared" si="1849"/>
        <v>0</v>
      </c>
      <c r="BC972" s="474" t="s">
        <v>260</v>
      </c>
      <c r="BD972" s="475"/>
      <c r="BE972" s="14"/>
      <c r="BF972" s="17"/>
      <c r="BG972" s="14"/>
      <c r="BH972" s="17"/>
      <c r="BI972" s="14"/>
      <c r="BJ972" s="17"/>
      <c r="BK972" s="14"/>
      <c r="BL972" s="17"/>
      <c r="BM972" s="14"/>
      <c r="BN972" s="17"/>
      <c r="BO972" s="14"/>
      <c r="BP972" s="17"/>
      <c r="BQ972" s="107">
        <f t="shared" si="1761"/>
        <v>0</v>
      </c>
      <c r="BR972" s="567"/>
      <c r="BS972" s="571"/>
      <c r="BT972" s="572"/>
      <c r="BU972" s="558"/>
      <c r="BV972" s="561"/>
      <c r="BW972" s="564"/>
      <c r="BX972" s="616"/>
    </row>
    <row r="973" spans="1:76" ht="15.75" thickBot="1" x14ac:dyDescent="0.3">
      <c r="A973" s="586"/>
      <c r="B973" s="590"/>
      <c r="C973" s="591"/>
      <c r="D973" s="605"/>
      <c r="E973" s="517"/>
      <c r="F973" s="518"/>
      <c r="G973" s="523"/>
      <c r="H973" s="524"/>
      <c r="I973" s="529"/>
      <c r="J973" s="530"/>
      <c r="K973" s="513"/>
      <c r="L973" s="534"/>
      <c r="M973" s="537"/>
      <c r="N973" s="541"/>
      <c r="O973" s="542"/>
      <c r="P973" s="483"/>
      <c r="Q973" s="484"/>
      <c r="R973" s="517"/>
      <c r="S973" s="518"/>
      <c r="T973" s="487"/>
      <c r="U973" s="488"/>
      <c r="V973" s="492"/>
      <c r="W973" s="483"/>
      <c r="X973" s="495"/>
      <c r="Y973" s="484"/>
      <c r="Z973" s="498"/>
      <c r="AA973" s="502"/>
      <c r="AB973" s="503"/>
      <c r="AC973" s="471" t="s">
        <v>259</v>
      </c>
      <c r="AD973" s="472"/>
      <c r="AE973" s="473"/>
      <c r="AF973" s="100"/>
      <c r="AG973" s="100"/>
      <c r="AH973" s="100"/>
      <c r="AI973" s="100"/>
      <c r="AJ973" s="100"/>
      <c r="AK973" s="100"/>
      <c r="AL973" s="100"/>
      <c r="AM973" s="100"/>
      <c r="AN973" s="100"/>
      <c r="AO973" s="100"/>
      <c r="AP973" s="100"/>
      <c r="AQ973" s="101"/>
      <c r="AR973" s="104">
        <f t="shared" ref="AR973:AR974" si="1850">SUM(AF973:AQ973)</f>
        <v>0</v>
      </c>
      <c r="AS973" s="128" t="s">
        <v>261</v>
      </c>
      <c r="AT973" s="129"/>
      <c r="AU973" s="129"/>
      <c r="AV973" s="129"/>
      <c r="AW973" s="130"/>
      <c r="AX973" s="126">
        <f t="shared" si="1848"/>
        <v>0</v>
      </c>
      <c r="AY973" s="143" t="s">
        <v>261</v>
      </c>
      <c r="AZ973" s="139"/>
      <c r="BA973" s="139"/>
      <c r="BB973" s="136">
        <f t="shared" si="1849"/>
        <v>0</v>
      </c>
      <c r="BC973" s="474" t="s">
        <v>262</v>
      </c>
      <c r="BD973" s="475"/>
      <c r="BE973" s="14"/>
      <c r="BF973" s="17"/>
      <c r="BG973" s="14"/>
      <c r="BH973" s="17"/>
      <c r="BI973" s="14"/>
      <c r="BJ973" s="17"/>
      <c r="BK973" s="14"/>
      <c r="BL973" s="17"/>
      <c r="BM973" s="14"/>
      <c r="BN973" s="17"/>
      <c r="BO973" s="14"/>
      <c r="BP973" s="17"/>
      <c r="BQ973" s="108">
        <f t="shared" si="1761"/>
        <v>0</v>
      </c>
      <c r="BR973" s="567"/>
      <c r="BS973" s="571"/>
      <c r="BT973" s="572"/>
      <c r="BU973" s="558"/>
      <c r="BV973" s="561"/>
      <c r="BW973" s="564"/>
      <c r="BX973" s="616"/>
    </row>
    <row r="974" spans="1:76" ht="15.75" thickBot="1" x14ac:dyDescent="0.3">
      <c r="A974" s="587"/>
      <c r="B974" s="592"/>
      <c r="C974" s="593"/>
      <c r="D974" s="606"/>
      <c r="E974" s="519"/>
      <c r="F974" s="520"/>
      <c r="G974" s="525"/>
      <c r="H974" s="526"/>
      <c r="I974" s="531"/>
      <c r="J974" s="532"/>
      <c r="K974" s="514"/>
      <c r="L974" s="535"/>
      <c r="M974" s="538"/>
      <c r="N974" s="543"/>
      <c r="O974" s="544"/>
      <c r="P974" s="485"/>
      <c r="Q974" s="486"/>
      <c r="R974" s="519"/>
      <c r="S974" s="520"/>
      <c r="T974" s="489"/>
      <c r="U974" s="490"/>
      <c r="V974" s="493"/>
      <c r="W974" s="485"/>
      <c r="X974" s="496"/>
      <c r="Y974" s="486"/>
      <c r="Z974" s="499"/>
      <c r="AA974" s="504"/>
      <c r="AB974" s="505"/>
      <c r="AC974" s="476" t="s">
        <v>261</v>
      </c>
      <c r="AD974" s="477"/>
      <c r="AE974" s="478"/>
      <c r="AF974" s="102"/>
      <c r="AG974" s="102"/>
      <c r="AH974" s="102"/>
      <c r="AI974" s="102"/>
      <c r="AJ974" s="102"/>
      <c r="AK974" s="102"/>
      <c r="AL974" s="102"/>
      <c r="AM974" s="102"/>
      <c r="AN974" s="102"/>
      <c r="AO974" s="102"/>
      <c r="AP974" s="102"/>
      <c r="AQ974" s="103"/>
      <c r="AR974" s="105">
        <f t="shared" si="1850"/>
        <v>0</v>
      </c>
      <c r="AS974" s="131" t="s">
        <v>161</v>
      </c>
      <c r="AT974" s="132">
        <f t="shared" ref="AT974:AX974" si="1851">SUM(AT971:AT973)</f>
        <v>0</v>
      </c>
      <c r="AU974" s="132">
        <f t="shared" si="1851"/>
        <v>0</v>
      </c>
      <c r="AV974" s="132">
        <f t="shared" si="1851"/>
        <v>0</v>
      </c>
      <c r="AW974" s="133">
        <f t="shared" si="1851"/>
        <v>0</v>
      </c>
      <c r="AX974" s="127">
        <f t="shared" si="1851"/>
        <v>0</v>
      </c>
      <c r="AY974" s="144" t="s">
        <v>161</v>
      </c>
      <c r="AZ974" s="140">
        <f t="shared" ref="AZ974:BB974" si="1852">SUM(AZ971:AZ973)</f>
        <v>0</v>
      </c>
      <c r="BA974" s="140">
        <f t="shared" si="1852"/>
        <v>0</v>
      </c>
      <c r="BB974" s="140">
        <f t="shared" si="1852"/>
        <v>0</v>
      </c>
      <c r="BC974" s="479" t="s">
        <v>263</v>
      </c>
      <c r="BD974" s="480"/>
      <c r="BE974" s="15"/>
      <c r="BF974" s="18"/>
      <c r="BG974" s="15"/>
      <c r="BH974" s="18"/>
      <c r="BI974" s="15"/>
      <c r="BJ974" s="18"/>
      <c r="BK974" s="15"/>
      <c r="BL974" s="18"/>
      <c r="BM974" s="15"/>
      <c r="BN974" s="18"/>
      <c r="BO974" s="15"/>
      <c r="BP974" s="18"/>
      <c r="BQ974" s="109">
        <f t="shared" si="1761"/>
        <v>0</v>
      </c>
      <c r="BR974" s="568"/>
      <c r="BS974" s="573"/>
      <c r="BT974" s="574"/>
      <c r="BU974" s="559"/>
      <c r="BV974" s="562"/>
      <c r="BW974" s="565"/>
      <c r="BX974" s="617"/>
    </row>
    <row r="975" spans="1:76" ht="15.75" thickTop="1" x14ac:dyDescent="0.25">
      <c r="A975" s="585">
        <v>242</v>
      </c>
      <c r="B975" s="588"/>
      <c r="C975" s="589"/>
      <c r="D975" s="604"/>
      <c r="E975" s="515"/>
      <c r="F975" s="516"/>
      <c r="G975" s="521"/>
      <c r="H975" s="522"/>
      <c r="I975" s="527"/>
      <c r="J975" s="528"/>
      <c r="K975" s="512" t="e">
        <f t="shared" ref="K975" si="1853">INT(YEARFRAC(I975,AA975))</f>
        <v>#VALUE!</v>
      </c>
      <c r="L975" s="533">
        <f t="shared" ref="L975" ca="1" si="1854">INT(YEARFRAC(I975,TODAY()))</f>
        <v>121</v>
      </c>
      <c r="M975" s="536"/>
      <c r="N975" s="539"/>
      <c r="O975" s="540"/>
      <c r="P975" s="481"/>
      <c r="Q975" s="482"/>
      <c r="R975" s="515"/>
      <c r="S975" s="516"/>
      <c r="T975" s="487"/>
      <c r="U975" s="488"/>
      <c r="V975" s="491"/>
      <c r="W975" s="481"/>
      <c r="X975" s="494"/>
      <c r="Y975" s="482"/>
      <c r="Z975" s="497"/>
      <c r="AA975" s="500" t="s">
        <v>483</v>
      </c>
      <c r="AB975" s="501"/>
      <c r="AC975" s="506" t="s">
        <v>257</v>
      </c>
      <c r="AD975" s="507"/>
      <c r="AE975" s="507"/>
      <c r="AF975" s="510"/>
      <c r="AG975" s="510"/>
      <c r="AH975" s="510"/>
      <c r="AI975" s="510"/>
      <c r="AJ975" s="510"/>
      <c r="AK975" s="510"/>
      <c r="AL975" s="510"/>
      <c r="AM975" s="510"/>
      <c r="AN975" s="510"/>
      <c r="AO975" s="510"/>
      <c r="AP975" s="510"/>
      <c r="AQ975" s="465"/>
      <c r="AR975" s="467">
        <f t="shared" ref="AR975" si="1855">SUM(AF975:AQ976)</f>
        <v>0</v>
      </c>
      <c r="AS975" s="119" t="s">
        <v>257</v>
      </c>
      <c r="AT975" s="120"/>
      <c r="AU975" s="120"/>
      <c r="AV975" s="120"/>
      <c r="AW975" s="121"/>
      <c r="AX975" s="125">
        <f t="shared" ref="AX975:AX977" si="1856">SUM(AT975:AW975)</f>
        <v>0</v>
      </c>
      <c r="AY975" s="141" t="s">
        <v>257</v>
      </c>
      <c r="AZ975" s="137"/>
      <c r="BA975" s="137"/>
      <c r="BB975" s="134">
        <f t="shared" ref="BB975:BB977" si="1857">AZ975-BA975</f>
        <v>0</v>
      </c>
      <c r="BC975" s="469" t="s">
        <v>258</v>
      </c>
      <c r="BD975" s="470"/>
      <c r="BE975" s="13"/>
      <c r="BF975" s="16"/>
      <c r="BG975" s="13"/>
      <c r="BH975" s="16"/>
      <c r="BI975" s="13"/>
      <c r="BJ975" s="16"/>
      <c r="BK975" s="13"/>
      <c r="BL975" s="16"/>
      <c r="BM975" s="13"/>
      <c r="BN975" s="16"/>
      <c r="BO975" s="13"/>
      <c r="BP975" s="16"/>
      <c r="BQ975" s="106">
        <f t="shared" si="1761"/>
        <v>0</v>
      </c>
      <c r="BR975" s="566"/>
      <c r="BS975" s="569"/>
      <c r="BT975" s="570"/>
      <c r="BU975" s="557"/>
      <c r="BV975" s="560"/>
      <c r="BW975" s="563"/>
      <c r="BX975" s="615"/>
    </row>
    <row r="976" spans="1:76" x14ac:dyDescent="0.25">
      <c r="A976" s="586"/>
      <c r="B976" s="590"/>
      <c r="C976" s="591"/>
      <c r="D976" s="605"/>
      <c r="E976" s="517"/>
      <c r="F976" s="518"/>
      <c r="G976" s="523"/>
      <c r="H976" s="524"/>
      <c r="I976" s="529"/>
      <c r="J976" s="530"/>
      <c r="K976" s="513"/>
      <c r="L976" s="534"/>
      <c r="M976" s="537"/>
      <c r="N976" s="541"/>
      <c r="O976" s="542"/>
      <c r="P976" s="483"/>
      <c r="Q976" s="484"/>
      <c r="R976" s="517"/>
      <c r="S976" s="518"/>
      <c r="T976" s="487"/>
      <c r="U976" s="488"/>
      <c r="V976" s="492"/>
      <c r="W976" s="483"/>
      <c r="X976" s="495"/>
      <c r="Y976" s="484"/>
      <c r="Z976" s="498"/>
      <c r="AA976" s="502"/>
      <c r="AB976" s="503"/>
      <c r="AC976" s="508"/>
      <c r="AD976" s="509"/>
      <c r="AE976" s="509"/>
      <c r="AF976" s="511"/>
      <c r="AG976" s="511"/>
      <c r="AH976" s="511"/>
      <c r="AI976" s="511"/>
      <c r="AJ976" s="511"/>
      <c r="AK976" s="511"/>
      <c r="AL976" s="511"/>
      <c r="AM976" s="511"/>
      <c r="AN976" s="511"/>
      <c r="AO976" s="511"/>
      <c r="AP976" s="511"/>
      <c r="AQ976" s="466"/>
      <c r="AR976" s="468"/>
      <c r="AS976" s="122" t="s">
        <v>259</v>
      </c>
      <c r="AT976" s="123"/>
      <c r="AU976" s="123"/>
      <c r="AV976" s="123"/>
      <c r="AW976" s="124"/>
      <c r="AX976" s="126">
        <f t="shared" si="1856"/>
        <v>0</v>
      </c>
      <c r="AY976" s="142" t="s">
        <v>259</v>
      </c>
      <c r="AZ976" s="138"/>
      <c r="BA976" s="138"/>
      <c r="BB976" s="135">
        <f t="shared" si="1857"/>
        <v>0</v>
      </c>
      <c r="BC976" s="474" t="s">
        <v>260</v>
      </c>
      <c r="BD976" s="475"/>
      <c r="BE976" s="14"/>
      <c r="BF976" s="17"/>
      <c r="BG976" s="14"/>
      <c r="BH976" s="17"/>
      <c r="BI976" s="14"/>
      <c r="BJ976" s="17"/>
      <c r="BK976" s="14"/>
      <c r="BL976" s="17"/>
      <c r="BM976" s="14"/>
      <c r="BN976" s="17"/>
      <c r="BO976" s="14"/>
      <c r="BP976" s="17"/>
      <c r="BQ976" s="107">
        <f t="shared" si="1761"/>
        <v>0</v>
      </c>
      <c r="BR976" s="567"/>
      <c r="BS976" s="571"/>
      <c r="BT976" s="572"/>
      <c r="BU976" s="558"/>
      <c r="BV976" s="561"/>
      <c r="BW976" s="564"/>
      <c r="BX976" s="616"/>
    </row>
    <row r="977" spans="1:76" ht="15.75" thickBot="1" x14ac:dyDescent="0.3">
      <c r="A977" s="586"/>
      <c r="B977" s="590"/>
      <c r="C977" s="591"/>
      <c r="D977" s="605"/>
      <c r="E977" s="517"/>
      <c r="F977" s="518"/>
      <c r="G977" s="523"/>
      <c r="H977" s="524"/>
      <c r="I977" s="529"/>
      <c r="J977" s="530"/>
      <c r="K977" s="513"/>
      <c r="L977" s="534"/>
      <c r="M977" s="537"/>
      <c r="N977" s="541"/>
      <c r="O977" s="542"/>
      <c r="P977" s="483"/>
      <c r="Q977" s="484"/>
      <c r="R977" s="517"/>
      <c r="S977" s="518"/>
      <c r="T977" s="487"/>
      <c r="U977" s="488"/>
      <c r="V977" s="492"/>
      <c r="W977" s="483"/>
      <c r="X977" s="495"/>
      <c r="Y977" s="484"/>
      <c r="Z977" s="498"/>
      <c r="AA977" s="502"/>
      <c r="AB977" s="503"/>
      <c r="AC977" s="471" t="s">
        <v>259</v>
      </c>
      <c r="AD977" s="472"/>
      <c r="AE977" s="473"/>
      <c r="AF977" s="100"/>
      <c r="AG977" s="100"/>
      <c r="AH977" s="100"/>
      <c r="AI977" s="100"/>
      <c r="AJ977" s="100"/>
      <c r="AK977" s="100"/>
      <c r="AL977" s="100"/>
      <c r="AM977" s="100"/>
      <c r="AN977" s="100"/>
      <c r="AO977" s="100"/>
      <c r="AP977" s="100"/>
      <c r="AQ977" s="101"/>
      <c r="AR977" s="104">
        <f t="shared" ref="AR977:AR978" si="1858">SUM(AF977:AQ977)</f>
        <v>0</v>
      </c>
      <c r="AS977" s="128" t="s">
        <v>261</v>
      </c>
      <c r="AT977" s="129"/>
      <c r="AU977" s="129"/>
      <c r="AV977" s="129"/>
      <c r="AW977" s="130"/>
      <c r="AX977" s="126">
        <f t="shared" si="1856"/>
        <v>0</v>
      </c>
      <c r="AY977" s="143" t="s">
        <v>261</v>
      </c>
      <c r="AZ977" s="139"/>
      <c r="BA977" s="139"/>
      <c r="BB977" s="136">
        <f t="shared" si="1857"/>
        <v>0</v>
      </c>
      <c r="BC977" s="474" t="s">
        <v>262</v>
      </c>
      <c r="BD977" s="475"/>
      <c r="BE977" s="14"/>
      <c r="BF977" s="17"/>
      <c r="BG977" s="14"/>
      <c r="BH977" s="17"/>
      <c r="BI977" s="14"/>
      <c r="BJ977" s="17"/>
      <c r="BK977" s="14"/>
      <c r="BL977" s="17"/>
      <c r="BM977" s="14"/>
      <c r="BN977" s="17"/>
      <c r="BO977" s="14"/>
      <c r="BP977" s="17"/>
      <c r="BQ977" s="108">
        <f t="shared" si="1761"/>
        <v>0</v>
      </c>
      <c r="BR977" s="567"/>
      <c r="BS977" s="571"/>
      <c r="BT977" s="572"/>
      <c r="BU977" s="558"/>
      <c r="BV977" s="561"/>
      <c r="BW977" s="564"/>
      <c r="BX977" s="616"/>
    </row>
    <row r="978" spans="1:76" ht="15.75" thickBot="1" x14ac:dyDescent="0.3">
      <c r="A978" s="587"/>
      <c r="B978" s="592"/>
      <c r="C978" s="593"/>
      <c r="D978" s="606"/>
      <c r="E978" s="519"/>
      <c r="F978" s="520"/>
      <c r="G978" s="525"/>
      <c r="H978" s="526"/>
      <c r="I978" s="531"/>
      <c r="J978" s="532"/>
      <c r="K978" s="514"/>
      <c r="L978" s="535"/>
      <c r="M978" s="538"/>
      <c r="N978" s="543"/>
      <c r="O978" s="544"/>
      <c r="P978" s="485"/>
      <c r="Q978" s="486"/>
      <c r="R978" s="519"/>
      <c r="S978" s="520"/>
      <c r="T978" s="489"/>
      <c r="U978" s="490"/>
      <c r="V978" s="493"/>
      <c r="W978" s="485"/>
      <c r="X978" s="496"/>
      <c r="Y978" s="486"/>
      <c r="Z978" s="499"/>
      <c r="AA978" s="504"/>
      <c r="AB978" s="505"/>
      <c r="AC978" s="476" t="s">
        <v>261</v>
      </c>
      <c r="AD978" s="477"/>
      <c r="AE978" s="478"/>
      <c r="AF978" s="102"/>
      <c r="AG978" s="102"/>
      <c r="AH978" s="102"/>
      <c r="AI978" s="102"/>
      <c r="AJ978" s="102"/>
      <c r="AK978" s="102"/>
      <c r="AL978" s="102"/>
      <c r="AM978" s="102"/>
      <c r="AN978" s="102"/>
      <c r="AO978" s="102"/>
      <c r="AP978" s="102"/>
      <c r="AQ978" s="103"/>
      <c r="AR978" s="105">
        <f t="shared" si="1858"/>
        <v>0</v>
      </c>
      <c r="AS978" s="131" t="s">
        <v>161</v>
      </c>
      <c r="AT978" s="132">
        <f t="shared" ref="AT978:AX978" si="1859">SUM(AT975:AT977)</f>
        <v>0</v>
      </c>
      <c r="AU978" s="132">
        <f t="shared" si="1859"/>
        <v>0</v>
      </c>
      <c r="AV978" s="132">
        <f t="shared" si="1859"/>
        <v>0</v>
      </c>
      <c r="AW978" s="133">
        <f t="shared" si="1859"/>
        <v>0</v>
      </c>
      <c r="AX978" s="127">
        <f t="shared" si="1859"/>
        <v>0</v>
      </c>
      <c r="AY978" s="144" t="s">
        <v>161</v>
      </c>
      <c r="AZ978" s="140">
        <f t="shared" ref="AZ978:BB978" si="1860">SUM(AZ975:AZ977)</f>
        <v>0</v>
      </c>
      <c r="BA978" s="140">
        <f t="shared" si="1860"/>
        <v>0</v>
      </c>
      <c r="BB978" s="140">
        <f t="shared" si="1860"/>
        <v>0</v>
      </c>
      <c r="BC978" s="479" t="s">
        <v>263</v>
      </c>
      <c r="BD978" s="480"/>
      <c r="BE978" s="15"/>
      <c r="BF978" s="18"/>
      <c r="BG978" s="15"/>
      <c r="BH978" s="18"/>
      <c r="BI978" s="15"/>
      <c r="BJ978" s="18"/>
      <c r="BK978" s="15"/>
      <c r="BL978" s="18"/>
      <c r="BM978" s="15"/>
      <c r="BN978" s="18"/>
      <c r="BO978" s="15"/>
      <c r="BP978" s="18"/>
      <c r="BQ978" s="109">
        <f t="shared" si="1761"/>
        <v>0</v>
      </c>
      <c r="BR978" s="568"/>
      <c r="BS978" s="573"/>
      <c r="BT978" s="574"/>
      <c r="BU978" s="559"/>
      <c r="BV978" s="562"/>
      <c r="BW978" s="565"/>
      <c r="BX978" s="617"/>
    </row>
    <row r="979" spans="1:76" ht="15.75" thickTop="1" x14ac:dyDescent="0.25">
      <c r="A979" s="585">
        <v>243</v>
      </c>
      <c r="B979" s="588"/>
      <c r="C979" s="589"/>
      <c r="D979" s="604"/>
      <c r="E979" s="515"/>
      <c r="F979" s="516"/>
      <c r="G979" s="521"/>
      <c r="H979" s="522"/>
      <c r="I979" s="527"/>
      <c r="J979" s="528"/>
      <c r="K979" s="512" t="e">
        <f t="shared" ref="K979" si="1861">INT(YEARFRAC(I979,AA979))</f>
        <v>#VALUE!</v>
      </c>
      <c r="L979" s="533">
        <f t="shared" ref="L979" ca="1" si="1862">INT(YEARFRAC(I979,TODAY()))</f>
        <v>121</v>
      </c>
      <c r="M979" s="536"/>
      <c r="N979" s="539"/>
      <c r="O979" s="540"/>
      <c r="P979" s="481"/>
      <c r="Q979" s="482"/>
      <c r="R979" s="515"/>
      <c r="S979" s="516"/>
      <c r="T979" s="487"/>
      <c r="U979" s="488"/>
      <c r="V979" s="491"/>
      <c r="W979" s="481"/>
      <c r="X979" s="494"/>
      <c r="Y979" s="482"/>
      <c r="Z979" s="497"/>
      <c r="AA979" s="500" t="s">
        <v>484</v>
      </c>
      <c r="AB979" s="501"/>
      <c r="AC979" s="506" t="s">
        <v>257</v>
      </c>
      <c r="AD979" s="507"/>
      <c r="AE979" s="507"/>
      <c r="AF979" s="510"/>
      <c r="AG979" s="510"/>
      <c r="AH979" s="510"/>
      <c r="AI979" s="510"/>
      <c r="AJ979" s="510"/>
      <c r="AK979" s="510"/>
      <c r="AL979" s="510"/>
      <c r="AM979" s="510"/>
      <c r="AN979" s="510"/>
      <c r="AO979" s="510"/>
      <c r="AP979" s="510"/>
      <c r="AQ979" s="465"/>
      <c r="AR979" s="467">
        <f t="shared" ref="AR979" si="1863">SUM(AF979:AQ980)</f>
        <v>0</v>
      </c>
      <c r="AS979" s="119" t="s">
        <v>257</v>
      </c>
      <c r="AT979" s="120"/>
      <c r="AU979" s="120"/>
      <c r="AV979" s="120"/>
      <c r="AW979" s="121"/>
      <c r="AX979" s="125">
        <f t="shared" ref="AX979:AX981" si="1864">SUM(AT979:AW979)</f>
        <v>0</v>
      </c>
      <c r="AY979" s="141" t="s">
        <v>257</v>
      </c>
      <c r="AZ979" s="137"/>
      <c r="BA979" s="137"/>
      <c r="BB979" s="134">
        <f t="shared" ref="BB979:BB981" si="1865">AZ979-BA979</f>
        <v>0</v>
      </c>
      <c r="BC979" s="469" t="s">
        <v>258</v>
      </c>
      <c r="BD979" s="470"/>
      <c r="BE979" s="13"/>
      <c r="BF979" s="16"/>
      <c r="BG979" s="13"/>
      <c r="BH979" s="16"/>
      <c r="BI979" s="13"/>
      <c r="BJ979" s="16"/>
      <c r="BK979" s="13"/>
      <c r="BL979" s="16"/>
      <c r="BM979" s="13"/>
      <c r="BN979" s="16"/>
      <c r="BO979" s="13"/>
      <c r="BP979" s="16"/>
      <c r="BQ979" s="106">
        <f t="shared" si="1761"/>
        <v>0</v>
      </c>
      <c r="BR979" s="566"/>
      <c r="BS979" s="569"/>
      <c r="BT979" s="570"/>
      <c r="BU979" s="557"/>
      <c r="BV979" s="560"/>
      <c r="BW979" s="563"/>
      <c r="BX979" s="615"/>
    </row>
    <row r="980" spans="1:76" x14ac:dyDescent="0.25">
      <c r="A980" s="586"/>
      <c r="B980" s="590"/>
      <c r="C980" s="591"/>
      <c r="D980" s="605"/>
      <c r="E980" s="517"/>
      <c r="F980" s="518"/>
      <c r="G980" s="523"/>
      <c r="H980" s="524"/>
      <c r="I980" s="529"/>
      <c r="J980" s="530"/>
      <c r="K980" s="513"/>
      <c r="L980" s="534"/>
      <c r="M980" s="537"/>
      <c r="N980" s="541"/>
      <c r="O980" s="542"/>
      <c r="P980" s="483"/>
      <c r="Q980" s="484"/>
      <c r="R980" s="517"/>
      <c r="S980" s="518"/>
      <c r="T980" s="487"/>
      <c r="U980" s="488"/>
      <c r="V980" s="492"/>
      <c r="W980" s="483"/>
      <c r="X980" s="495"/>
      <c r="Y980" s="484"/>
      <c r="Z980" s="498"/>
      <c r="AA980" s="502"/>
      <c r="AB980" s="503"/>
      <c r="AC980" s="508"/>
      <c r="AD980" s="509"/>
      <c r="AE980" s="509"/>
      <c r="AF980" s="511"/>
      <c r="AG980" s="511"/>
      <c r="AH980" s="511"/>
      <c r="AI980" s="511"/>
      <c r="AJ980" s="511"/>
      <c r="AK980" s="511"/>
      <c r="AL980" s="511"/>
      <c r="AM980" s="511"/>
      <c r="AN980" s="511"/>
      <c r="AO980" s="511"/>
      <c r="AP980" s="511"/>
      <c r="AQ980" s="466"/>
      <c r="AR980" s="468"/>
      <c r="AS980" s="122" t="s">
        <v>259</v>
      </c>
      <c r="AT980" s="123"/>
      <c r="AU980" s="123"/>
      <c r="AV980" s="123"/>
      <c r="AW980" s="124"/>
      <c r="AX980" s="126">
        <f t="shared" si="1864"/>
        <v>0</v>
      </c>
      <c r="AY980" s="142" t="s">
        <v>259</v>
      </c>
      <c r="AZ980" s="138"/>
      <c r="BA980" s="138"/>
      <c r="BB980" s="135">
        <f t="shared" si="1865"/>
        <v>0</v>
      </c>
      <c r="BC980" s="474" t="s">
        <v>260</v>
      </c>
      <c r="BD980" s="475"/>
      <c r="BE980" s="14"/>
      <c r="BF980" s="17"/>
      <c r="BG980" s="14"/>
      <c r="BH980" s="17"/>
      <c r="BI980" s="14"/>
      <c r="BJ980" s="17"/>
      <c r="BK980" s="14"/>
      <c r="BL980" s="17"/>
      <c r="BM980" s="14"/>
      <c r="BN980" s="17"/>
      <c r="BO980" s="14"/>
      <c r="BP980" s="17"/>
      <c r="BQ980" s="107">
        <f t="shared" si="1761"/>
        <v>0</v>
      </c>
      <c r="BR980" s="567"/>
      <c r="BS980" s="571"/>
      <c r="BT980" s="572"/>
      <c r="BU980" s="558"/>
      <c r="BV980" s="561"/>
      <c r="BW980" s="564"/>
      <c r="BX980" s="616"/>
    </row>
    <row r="981" spans="1:76" ht="15.75" thickBot="1" x14ac:dyDescent="0.3">
      <c r="A981" s="586"/>
      <c r="B981" s="590"/>
      <c r="C981" s="591"/>
      <c r="D981" s="605"/>
      <c r="E981" s="517"/>
      <c r="F981" s="518"/>
      <c r="G981" s="523"/>
      <c r="H981" s="524"/>
      <c r="I981" s="529"/>
      <c r="J981" s="530"/>
      <c r="K981" s="513"/>
      <c r="L981" s="534"/>
      <c r="M981" s="537"/>
      <c r="N981" s="541"/>
      <c r="O981" s="542"/>
      <c r="P981" s="483"/>
      <c r="Q981" s="484"/>
      <c r="R981" s="517"/>
      <c r="S981" s="518"/>
      <c r="T981" s="487"/>
      <c r="U981" s="488"/>
      <c r="V981" s="492"/>
      <c r="W981" s="483"/>
      <c r="X981" s="495"/>
      <c r="Y981" s="484"/>
      <c r="Z981" s="498"/>
      <c r="AA981" s="502"/>
      <c r="AB981" s="503"/>
      <c r="AC981" s="471" t="s">
        <v>259</v>
      </c>
      <c r="AD981" s="472"/>
      <c r="AE981" s="473"/>
      <c r="AF981" s="100"/>
      <c r="AG981" s="100"/>
      <c r="AH981" s="100"/>
      <c r="AI981" s="100"/>
      <c r="AJ981" s="100"/>
      <c r="AK981" s="100"/>
      <c r="AL981" s="100"/>
      <c r="AM981" s="100"/>
      <c r="AN981" s="100"/>
      <c r="AO981" s="100"/>
      <c r="AP981" s="100"/>
      <c r="AQ981" s="101"/>
      <c r="AR981" s="104">
        <f t="shared" ref="AR981:AR982" si="1866">SUM(AF981:AQ981)</f>
        <v>0</v>
      </c>
      <c r="AS981" s="128" t="s">
        <v>261</v>
      </c>
      <c r="AT981" s="129"/>
      <c r="AU981" s="129"/>
      <c r="AV981" s="129"/>
      <c r="AW981" s="130"/>
      <c r="AX981" s="126">
        <f t="shared" si="1864"/>
        <v>0</v>
      </c>
      <c r="AY981" s="143" t="s">
        <v>261</v>
      </c>
      <c r="AZ981" s="139"/>
      <c r="BA981" s="139"/>
      <c r="BB981" s="136">
        <f t="shared" si="1865"/>
        <v>0</v>
      </c>
      <c r="BC981" s="474" t="s">
        <v>262</v>
      </c>
      <c r="BD981" s="475"/>
      <c r="BE981" s="14"/>
      <c r="BF981" s="17"/>
      <c r="BG981" s="14"/>
      <c r="BH981" s="17"/>
      <c r="BI981" s="14"/>
      <c r="BJ981" s="17"/>
      <c r="BK981" s="14"/>
      <c r="BL981" s="17"/>
      <c r="BM981" s="14"/>
      <c r="BN981" s="17"/>
      <c r="BO981" s="14"/>
      <c r="BP981" s="17"/>
      <c r="BQ981" s="108">
        <f t="shared" si="1761"/>
        <v>0</v>
      </c>
      <c r="BR981" s="567"/>
      <c r="BS981" s="571"/>
      <c r="BT981" s="572"/>
      <c r="BU981" s="558"/>
      <c r="BV981" s="561"/>
      <c r="BW981" s="564"/>
      <c r="BX981" s="616"/>
    </row>
    <row r="982" spans="1:76" ht="15.75" thickBot="1" x14ac:dyDescent="0.3">
      <c r="A982" s="587"/>
      <c r="B982" s="592"/>
      <c r="C982" s="593"/>
      <c r="D982" s="606"/>
      <c r="E982" s="519"/>
      <c r="F982" s="520"/>
      <c r="G982" s="525"/>
      <c r="H982" s="526"/>
      <c r="I982" s="531"/>
      <c r="J982" s="532"/>
      <c r="K982" s="514"/>
      <c r="L982" s="535"/>
      <c r="M982" s="538"/>
      <c r="N982" s="543"/>
      <c r="O982" s="544"/>
      <c r="P982" s="485"/>
      <c r="Q982" s="486"/>
      <c r="R982" s="519"/>
      <c r="S982" s="520"/>
      <c r="T982" s="489"/>
      <c r="U982" s="490"/>
      <c r="V982" s="493"/>
      <c r="W982" s="485"/>
      <c r="X982" s="496"/>
      <c r="Y982" s="486"/>
      <c r="Z982" s="499"/>
      <c r="AA982" s="504"/>
      <c r="AB982" s="505"/>
      <c r="AC982" s="476" t="s">
        <v>261</v>
      </c>
      <c r="AD982" s="477"/>
      <c r="AE982" s="478"/>
      <c r="AF982" s="102"/>
      <c r="AG982" s="102"/>
      <c r="AH982" s="102"/>
      <c r="AI982" s="102"/>
      <c r="AJ982" s="102"/>
      <c r="AK982" s="102"/>
      <c r="AL982" s="102"/>
      <c r="AM982" s="102"/>
      <c r="AN982" s="102"/>
      <c r="AO982" s="102"/>
      <c r="AP982" s="102"/>
      <c r="AQ982" s="103"/>
      <c r="AR982" s="105">
        <f t="shared" si="1866"/>
        <v>0</v>
      </c>
      <c r="AS982" s="131" t="s">
        <v>161</v>
      </c>
      <c r="AT982" s="132">
        <f t="shared" ref="AT982:AX982" si="1867">SUM(AT979:AT981)</f>
        <v>0</v>
      </c>
      <c r="AU982" s="132">
        <f t="shared" si="1867"/>
        <v>0</v>
      </c>
      <c r="AV982" s="132">
        <f t="shared" si="1867"/>
        <v>0</v>
      </c>
      <c r="AW982" s="133">
        <f t="shared" si="1867"/>
        <v>0</v>
      </c>
      <c r="AX982" s="127">
        <f t="shared" si="1867"/>
        <v>0</v>
      </c>
      <c r="AY982" s="144" t="s">
        <v>161</v>
      </c>
      <c r="AZ982" s="140">
        <f t="shared" ref="AZ982:BB982" si="1868">SUM(AZ979:AZ981)</f>
        <v>0</v>
      </c>
      <c r="BA982" s="140">
        <f t="shared" si="1868"/>
        <v>0</v>
      </c>
      <c r="BB982" s="140">
        <f t="shared" si="1868"/>
        <v>0</v>
      </c>
      <c r="BC982" s="479" t="s">
        <v>263</v>
      </c>
      <c r="BD982" s="480"/>
      <c r="BE982" s="15"/>
      <c r="BF982" s="18"/>
      <c r="BG982" s="15"/>
      <c r="BH982" s="18"/>
      <c r="BI982" s="15"/>
      <c r="BJ982" s="18"/>
      <c r="BK982" s="15"/>
      <c r="BL982" s="18"/>
      <c r="BM982" s="15"/>
      <c r="BN982" s="18"/>
      <c r="BO982" s="15"/>
      <c r="BP982" s="18"/>
      <c r="BQ982" s="109">
        <f t="shared" si="1761"/>
        <v>0</v>
      </c>
      <c r="BR982" s="568"/>
      <c r="BS982" s="573"/>
      <c r="BT982" s="574"/>
      <c r="BU982" s="559"/>
      <c r="BV982" s="562"/>
      <c r="BW982" s="565"/>
      <c r="BX982" s="617"/>
    </row>
    <row r="983" spans="1:76" ht="15.75" thickTop="1" x14ac:dyDescent="0.25">
      <c r="A983" s="585">
        <v>244</v>
      </c>
      <c r="B983" s="588"/>
      <c r="C983" s="589"/>
      <c r="D983" s="604"/>
      <c r="E983" s="515"/>
      <c r="F983" s="516"/>
      <c r="G983" s="521"/>
      <c r="H983" s="522"/>
      <c r="I983" s="527"/>
      <c r="J983" s="528"/>
      <c r="K983" s="512" t="e">
        <f t="shared" ref="K983" si="1869">INT(YEARFRAC(I983,AA983))</f>
        <v>#VALUE!</v>
      </c>
      <c r="L983" s="533">
        <f t="shared" ref="L983" ca="1" si="1870">INT(YEARFRAC(I983,TODAY()))</f>
        <v>121</v>
      </c>
      <c r="M983" s="536"/>
      <c r="N983" s="539"/>
      <c r="O983" s="540"/>
      <c r="P983" s="481"/>
      <c r="Q983" s="482"/>
      <c r="R983" s="515"/>
      <c r="S983" s="516"/>
      <c r="T983" s="487"/>
      <c r="U983" s="488"/>
      <c r="V983" s="491"/>
      <c r="W983" s="481"/>
      <c r="X983" s="494"/>
      <c r="Y983" s="482"/>
      <c r="Z983" s="497"/>
      <c r="AA983" s="500" t="s">
        <v>485</v>
      </c>
      <c r="AB983" s="501"/>
      <c r="AC983" s="506" t="s">
        <v>257</v>
      </c>
      <c r="AD983" s="507"/>
      <c r="AE983" s="507"/>
      <c r="AF983" s="510"/>
      <c r="AG983" s="510"/>
      <c r="AH983" s="510"/>
      <c r="AI983" s="510"/>
      <c r="AJ983" s="510"/>
      <c r="AK983" s="510"/>
      <c r="AL983" s="510"/>
      <c r="AM983" s="510"/>
      <c r="AN983" s="510"/>
      <c r="AO983" s="510"/>
      <c r="AP983" s="510"/>
      <c r="AQ983" s="465"/>
      <c r="AR983" s="467">
        <f t="shared" ref="AR983" si="1871">SUM(AF983:AQ984)</f>
        <v>0</v>
      </c>
      <c r="AS983" s="119" t="s">
        <v>257</v>
      </c>
      <c r="AT983" s="120"/>
      <c r="AU983" s="120"/>
      <c r="AV983" s="120"/>
      <c r="AW983" s="121"/>
      <c r="AX983" s="125">
        <f t="shared" ref="AX983:AX985" si="1872">SUM(AT983:AW983)</f>
        <v>0</v>
      </c>
      <c r="AY983" s="141" t="s">
        <v>257</v>
      </c>
      <c r="AZ983" s="137"/>
      <c r="BA983" s="137"/>
      <c r="BB983" s="134">
        <f t="shared" ref="BB983:BB985" si="1873">AZ983-BA983</f>
        <v>0</v>
      </c>
      <c r="BC983" s="469" t="s">
        <v>258</v>
      </c>
      <c r="BD983" s="470"/>
      <c r="BE983" s="13"/>
      <c r="BF983" s="16"/>
      <c r="BG983" s="13"/>
      <c r="BH983" s="16"/>
      <c r="BI983" s="13"/>
      <c r="BJ983" s="16"/>
      <c r="BK983" s="13"/>
      <c r="BL983" s="16"/>
      <c r="BM983" s="13"/>
      <c r="BN983" s="16"/>
      <c r="BO983" s="13"/>
      <c r="BP983" s="16"/>
      <c r="BQ983" s="106">
        <f t="shared" si="1761"/>
        <v>0</v>
      </c>
      <c r="BR983" s="566"/>
      <c r="BS983" s="569"/>
      <c r="BT983" s="570"/>
      <c r="BU983" s="557"/>
      <c r="BV983" s="560"/>
      <c r="BW983" s="563"/>
      <c r="BX983" s="615"/>
    </row>
    <row r="984" spans="1:76" x14ac:dyDescent="0.25">
      <c r="A984" s="586"/>
      <c r="B984" s="590"/>
      <c r="C984" s="591"/>
      <c r="D984" s="605"/>
      <c r="E984" s="517"/>
      <c r="F984" s="518"/>
      <c r="G984" s="523"/>
      <c r="H984" s="524"/>
      <c r="I984" s="529"/>
      <c r="J984" s="530"/>
      <c r="K984" s="513"/>
      <c r="L984" s="534"/>
      <c r="M984" s="537"/>
      <c r="N984" s="541"/>
      <c r="O984" s="542"/>
      <c r="P984" s="483"/>
      <c r="Q984" s="484"/>
      <c r="R984" s="517"/>
      <c r="S984" s="518"/>
      <c r="T984" s="487"/>
      <c r="U984" s="488"/>
      <c r="V984" s="492"/>
      <c r="W984" s="483"/>
      <c r="X984" s="495"/>
      <c r="Y984" s="484"/>
      <c r="Z984" s="498"/>
      <c r="AA984" s="502"/>
      <c r="AB984" s="503"/>
      <c r="AC984" s="508"/>
      <c r="AD984" s="509"/>
      <c r="AE984" s="509"/>
      <c r="AF984" s="511"/>
      <c r="AG984" s="511"/>
      <c r="AH984" s="511"/>
      <c r="AI984" s="511"/>
      <c r="AJ984" s="511"/>
      <c r="AK984" s="511"/>
      <c r="AL984" s="511"/>
      <c r="AM984" s="511"/>
      <c r="AN984" s="511"/>
      <c r="AO984" s="511"/>
      <c r="AP984" s="511"/>
      <c r="AQ984" s="466"/>
      <c r="AR984" s="468"/>
      <c r="AS984" s="122" t="s">
        <v>259</v>
      </c>
      <c r="AT984" s="123"/>
      <c r="AU984" s="123"/>
      <c r="AV984" s="123"/>
      <c r="AW984" s="124"/>
      <c r="AX984" s="126">
        <f t="shared" si="1872"/>
        <v>0</v>
      </c>
      <c r="AY984" s="142" t="s">
        <v>259</v>
      </c>
      <c r="AZ984" s="138"/>
      <c r="BA984" s="138"/>
      <c r="BB984" s="135">
        <f t="shared" si="1873"/>
        <v>0</v>
      </c>
      <c r="BC984" s="474" t="s">
        <v>260</v>
      </c>
      <c r="BD984" s="475"/>
      <c r="BE984" s="14"/>
      <c r="BF984" s="17"/>
      <c r="BG984" s="14"/>
      <c r="BH984" s="17"/>
      <c r="BI984" s="14"/>
      <c r="BJ984" s="17"/>
      <c r="BK984" s="14"/>
      <c r="BL984" s="17"/>
      <c r="BM984" s="14"/>
      <c r="BN984" s="17"/>
      <c r="BO984" s="14"/>
      <c r="BP984" s="17"/>
      <c r="BQ984" s="107">
        <f t="shared" si="1761"/>
        <v>0</v>
      </c>
      <c r="BR984" s="567"/>
      <c r="BS984" s="571"/>
      <c r="BT984" s="572"/>
      <c r="BU984" s="558"/>
      <c r="BV984" s="561"/>
      <c r="BW984" s="564"/>
      <c r="BX984" s="616"/>
    </row>
    <row r="985" spans="1:76" ht="15.75" thickBot="1" x14ac:dyDescent="0.3">
      <c r="A985" s="586"/>
      <c r="B985" s="590"/>
      <c r="C985" s="591"/>
      <c r="D985" s="605"/>
      <c r="E985" s="517"/>
      <c r="F985" s="518"/>
      <c r="G985" s="523"/>
      <c r="H985" s="524"/>
      <c r="I985" s="529"/>
      <c r="J985" s="530"/>
      <c r="K985" s="513"/>
      <c r="L985" s="534"/>
      <c r="M985" s="537"/>
      <c r="N985" s="541"/>
      <c r="O985" s="542"/>
      <c r="P985" s="483"/>
      <c r="Q985" s="484"/>
      <c r="R985" s="517"/>
      <c r="S985" s="518"/>
      <c r="T985" s="487"/>
      <c r="U985" s="488"/>
      <c r="V985" s="492"/>
      <c r="W985" s="483"/>
      <c r="X985" s="495"/>
      <c r="Y985" s="484"/>
      <c r="Z985" s="498"/>
      <c r="AA985" s="502"/>
      <c r="AB985" s="503"/>
      <c r="AC985" s="471" t="s">
        <v>259</v>
      </c>
      <c r="AD985" s="472"/>
      <c r="AE985" s="473"/>
      <c r="AF985" s="100"/>
      <c r="AG985" s="100"/>
      <c r="AH985" s="100"/>
      <c r="AI985" s="100"/>
      <c r="AJ985" s="100"/>
      <c r="AK985" s="100"/>
      <c r="AL985" s="100"/>
      <c r="AM985" s="100"/>
      <c r="AN985" s="100"/>
      <c r="AO985" s="100"/>
      <c r="AP985" s="100"/>
      <c r="AQ985" s="101"/>
      <c r="AR985" s="104">
        <f t="shared" ref="AR985:AR986" si="1874">SUM(AF985:AQ985)</f>
        <v>0</v>
      </c>
      <c r="AS985" s="128" t="s">
        <v>261</v>
      </c>
      <c r="AT985" s="129"/>
      <c r="AU985" s="129"/>
      <c r="AV985" s="129"/>
      <c r="AW985" s="130"/>
      <c r="AX985" s="126">
        <f t="shared" si="1872"/>
        <v>0</v>
      </c>
      <c r="AY985" s="143" t="s">
        <v>261</v>
      </c>
      <c r="AZ985" s="139"/>
      <c r="BA985" s="139"/>
      <c r="BB985" s="136">
        <f t="shared" si="1873"/>
        <v>0</v>
      </c>
      <c r="BC985" s="474" t="s">
        <v>262</v>
      </c>
      <c r="BD985" s="475"/>
      <c r="BE985" s="14"/>
      <c r="BF985" s="17"/>
      <c r="BG985" s="14"/>
      <c r="BH985" s="17"/>
      <c r="BI985" s="14"/>
      <c r="BJ985" s="17"/>
      <c r="BK985" s="14"/>
      <c r="BL985" s="17"/>
      <c r="BM985" s="14"/>
      <c r="BN985" s="17"/>
      <c r="BO985" s="14"/>
      <c r="BP985" s="17"/>
      <c r="BQ985" s="108">
        <f t="shared" si="1761"/>
        <v>0</v>
      </c>
      <c r="BR985" s="567"/>
      <c r="BS985" s="571"/>
      <c r="BT985" s="572"/>
      <c r="BU985" s="558"/>
      <c r="BV985" s="561"/>
      <c r="BW985" s="564"/>
      <c r="BX985" s="616"/>
    </row>
    <row r="986" spans="1:76" ht="15.75" thickBot="1" x14ac:dyDescent="0.3">
      <c r="A986" s="587"/>
      <c r="B986" s="592"/>
      <c r="C986" s="593"/>
      <c r="D986" s="606"/>
      <c r="E986" s="519"/>
      <c r="F986" s="520"/>
      <c r="G986" s="525"/>
      <c r="H986" s="526"/>
      <c r="I986" s="531"/>
      <c r="J986" s="532"/>
      <c r="K986" s="514"/>
      <c r="L986" s="535"/>
      <c r="M986" s="538"/>
      <c r="N986" s="543"/>
      <c r="O986" s="544"/>
      <c r="P986" s="485"/>
      <c r="Q986" s="486"/>
      <c r="R986" s="519"/>
      <c r="S986" s="520"/>
      <c r="T986" s="489"/>
      <c r="U986" s="490"/>
      <c r="V986" s="493"/>
      <c r="W986" s="485"/>
      <c r="X986" s="496"/>
      <c r="Y986" s="486"/>
      <c r="Z986" s="499"/>
      <c r="AA986" s="504"/>
      <c r="AB986" s="505"/>
      <c r="AC986" s="476" t="s">
        <v>261</v>
      </c>
      <c r="AD986" s="477"/>
      <c r="AE986" s="478"/>
      <c r="AF986" s="102"/>
      <c r="AG986" s="102"/>
      <c r="AH986" s="102"/>
      <c r="AI986" s="102"/>
      <c r="AJ986" s="102"/>
      <c r="AK986" s="102"/>
      <c r="AL986" s="102"/>
      <c r="AM986" s="102"/>
      <c r="AN986" s="102"/>
      <c r="AO986" s="102"/>
      <c r="AP986" s="102"/>
      <c r="AQ986" s="103"/>
      <c r="AR986" s="105">
        <f t="shared" si="1874"/>
        <v>0</v>
      </c>
      <c r="AS986" s="131" t="s">
        <v>161</v>
      </c>
      <c r="AT986" s="132">
        <f t="shared" ref="AT986:AX986" si="1875">SUM(AT983:AT985)</f>
        <v>0</v>
      </c>
      <c r="AU986" s="132">
        <f t="shared" si="1875"/>
        <v>0</v>
      </c>
      <c r="AV986" s="132">
        <f t="shared" si="1875"/>
        <v>0</v>
      </c>
      <c r="AW986" s="133">
        <f t="shared" si="1875"/>
        <v>0</v>
      </c>
      <c r="AX986" s="127">
        <f t="shared" si="1875"/>
        <v>0</v>
      </c>
      <c r="AY986" s="144" t="s">
        <v>161</v>
      </c>
      <c r="AZ986" s="140">
        <f t="shared" ref="AZ986:BB986" si="1876">SUM(AZ983:AZ985)</f>
        <v>0</v>
      </c>
      <c r="BA986" s="140">
        <f t="shared" si="1876"/>
        <v>0</v>
      </c>
      <c r="BB986" s="140">
        <f t="shared" si="1876"/>
        <v>0</v>
      </c>
      <c r="BC986" s="479" t="s">
        <v>263</v>
      </c>
      <c r="BD986" s="480"/>
      <c r="BE986" s="15"/>
      <c r="BF986" s="18"/>
      <c r="BG986" s="15"/>
      <c r="BH986" s="18"/>
      <c r="BI986" s="15"/>
      <c r="BJ986" s="18"/>
      <c r="BK986" s="15"/>
      <c r="BL986" s="18"/>
      <c r="BM986" s="15"/>
      <c r="BN986" s="18"/>
      <c r="BO986" s="15"/>
      <c r="BP986" s="18"/>
      <c r="BQ986" s="109">
        <f t="shared" si="1761"/>
        <v>0</v>
      </c>
      <c r="BR986" s="568"/>
      <c r="BS986" s="573"/>
      <c r="BT986" s="574"/>
      <c r="BU986" s="559"/>
      <c r="BV986" s="562"/>
      <c r="BW986" s="565"/>
      <c r="BX986" s="617"/>
    </row>
    <row r="987" spans="1:76" ht="15.75" thickTop="1" x14ac:dyDescent="0.25">
      <c r="A987" s="585">
        <v>245</v>
      </c>
      <c r="B987" s="588"/>
      <c r="C987" s="589"/>
      <c r="D987" s="604"/>
      <c r="E987" s="515"/>
      <c r="F987" s="516"/>
      <c r="G987" s="521"/>
      <c r="H987" s="522"/>
      <c r="I987" s="527"/>
      <c r="J987" s="528"/>
      <c r="K987" s="512" t="e">
        <f t="shared" ref="K987" si="1877">INT(YEARFRAC(I987,AA987))</f>
        <v>#VALUE!</v>
      </c>
      <c r="L987" s="533">
        <f t="shared" ref="L987" ca="1" si="1878">INT(YEARFRAC(I987,TODAY()))</f>
        <v>121</v>
      </c>
      <c r="M987" s="536"/>
      <c r="N987" s="539"/>
      <c r="O987" s="540"/>
      <c r="P987" s="481"/>
      <c r="Q987" s="482"/>
      <c r="R987" s="515"/>
      <c r="S987" s="516"/>
      <c r="T987" s="487"/>
      <c r="U987" s="488"/>
      <c r="V987" s="491"/>
      <c r="W987" s="481"/>
      <c r="X987" s="494"/>
      <c r="Y987" s="482"/>
      <c r="Z987" s="497"/>
      <c r="AA987" s="500" t="s">
        <v>486</v>
      </c>
      <c r="AB987" s="501"/>
      <c r="AC987" s="506" t="s">
        <v>257</v>
      </c>
      <c r="AD987" s="507"/>
      <c r="AE987" s="507"/>
      <c r="AF987" s="510"/>
      <c r="AG987" s="510"/>
      <c r="AH987" s="510"/>
      <c r="AI987" s="510"/>
      <c r="AJ987" s="510"/>
      <c r="AK987" s="510"/>
      <c r="AL987" s="510"/>
      <c r="AM987" s="510"/>
      <c r="AN987" s="510"/>
      <c r="AO987" s="510"/>
      <c r="AP987" s="510"/>
      <c r="AQ987" s="465"/>
      <c r="AR987" s="467">
        <f t="shared" ref="AR987" si="1879">SUM(AF987:AQ988)</f>
        <v>0</v>
      </c>
      <c r="AS987" s="119" t="s">
        <v>257</v>
      </c>
      <c r="AT987" s="120"/>
      <c r="AU987" s="120"/>
      <c r="AV987" s="120"/>
      <c r="AW987" s="121"/>
      <c r="AX987" s="125">
        <f t="shared" ref="AX987:AX989" si="1880">SUM(AT987:AW987)</f>
        <v>0</v>
      </c>
      <c r="AY987" s="141" t="s">
        <v>257</v>
      </c>
      <c r="AZ987" s="137"/>
      <c r="BA987" s="137"/>
      <c r="BB987" s="134">
        <f t="shared" ref="BB987:BB989" si="1881">AZ987-BA987</f>
        <v>0</v>
      </c>
      <c r="BC987" s="469" t="s">
        <v>258</v>
      </c>
      <c r="BD987" s="470"/>
      <c r="BE987" s="13"/>
      <c r="BF987" s="16"/>
      <c r="BG987" s="13"/>
      <c r="BH987" s="16"/>
      <c r="BI987" s="13"/>
      <c r="BJ987" s="16"/>
      <c r="BK987" s="13"/>
      <c r="BL987" s="16"/>
      <c r="BM987" s="13"/>
      <c r="BN987" s="16"/>
      <c r="BO987" s="13"/>
      <c r="BP987" s="16"/>
      <c r="BQ987" s="106">
        <f t="shared" si="1761"/>
        <v>0</v>
      </c>
      <c r="BR987" s="566"/>
      <c r="BS987" s="569"/>
      <c r="BT987" s="570"/>
      <c r="BU987" s="557"/>
      <c r="BV987" s="560"/>
      <c r="BW987" s="563"/>
      <c r="BX987" s="615"/>
    </row>
    <row r="988" spans="1:76" x14ac:dyDescent="0.25">
      <c r="A988" s="586"/>
      <c r="B988" s="590"/>
      <c r="C988" s="591"/>
      <c r="D988" s="605"/>
      <c r="E988" s="517"/>
      <c r="F988" s="518"/>
      <c r="G988" s="523"/>
      <c r="H988" s="524"/>
      <c r="I988" s="529"/>
      <c r="J988" s="530"/>
      <c r="K988" s="513"/>
      <c r="L988" s="534"/>
      <c r="M988" s="537"/>
      <c r="N988" s="541"/>
      <c r="O988" s="542"/>
      <c r="P988" s="483"/>
      <c r="Q988" s="484"/>
      <c r="R988" s="517"/>
      <c r="S988" s="518"/>
      <c r="T988" s="487"/>
      <c r="U988" s="488"/>
      <c r="V988" s="492"/>
      <c r="W988" s="483"/>
      <c r="X988" s="495"/>
      <c r="Y988" s="484"/>
      <c r="Z988" s="498"/>
      <c r="AA988" s="502"/>
      <c r="AB988" s="503"/>
      <c r="AC988" s="508"/>
      <c r="AD988" s="509"/>
      <c r="AE988" s="509"/>
      <c r="AF988" s="511"/>
      <c r="AG988" s="511"/>
      <c r="AH988" s="511"/>
      <c r="AI988" s="511"/>
      <c r="AJ988" s="511"/>
      <c r="AK988" s="511"/>
      <c r="AL988" s="511"/>
      <c r="AM988" s="511"/>
      <c r="AN988" s="511"/>
      <c r="AO988" s="511"/>
      <c r="AP988" s="511"/>
      <c r="AQ988" s="466"/>
      <c r="AR988" s="468"/>
      <c r="AS988" s="122" t="s">
        <v>259</v>
      </c>
      <c r="AT988" s="123"/>
      <c r="AU988" s="123"/>
      <c r="AV988" s="123"/>
      <c r="AW988" s="124"/>
      <c r="AX988" s="126">
        <f t="shared" si="1880"/>
        <v>0</v>
      </c>
      <c r="AY988" s="142" t="s">
        <v>259</v>
      </c>
      <c r="AZ988" s="138"/>
      <c r="BA988" s="138"/>
      <c r="BB988" s="135">
        <f t="shared" si="1881"/>
        <v>0</v>
      </c>
      <c r="BC988" s="474" t="s">
        <v>260</v>
      </c>
      <c r="BD988" s="475"/>
      <c r="BE988" s="14"/>
      <c r="BF988" s="17"/>
      <c r="BG988" s="14"/>
      <c r="BH988" s="17"/>
      <c r="BI988" s="14"/>
      <c r="BJ988" s="17"/>
      <c r="BK988" s="14"/>
      <c r="BL988" s="17"/>
      <c r="BM988" s="14"/>
      <c r="BN988" s="17"/>
      <c r="BO988" s="14"/>
      <c r="BP988" s="17"/>
      <c r="BQ988" s="107">
        <f t="shared" si="1761"/>
        <v>0</v>
      </c>
      <c r="BR988" s="567"/>
      <c r="BS988" s="571"/>
      <c r="BT988" s="572"/>
      <c r="BU988" s="558"/>
      <c r="BV988" s="561"/>
      <c r="BW988" s="564"/>
      <c r="BX988" s="616"/>
    </row>
    <row r="989" spans="1:76" ht="15.75" thickBot="1" x14ac:dyDescent="0.3">
      <c r="A989" s="586"/>
      <c r="B989" s="590"/>
      <c r="C989" s="591"/>
      <c r="D989" s="605"/>
      <c r="E989" s="517"/>
      <c r="F989" s="518"/>
      <c r="G989" s="523"/>
      <c r="H989" s="524"/>
      <c r="I989" s="529"/>
      <c r="J989" s="530"/>
      <c r="K989" s="513"/>
      <c r="L989" s="534"/>
      <c r="M989" s="537"/>
      <c r="N989" s="541"/>
      <c r="O989" s="542"/>
      <c r="P989" s="483"/>
      <c r="Q989" s="484"/>
      <c r="R989" s="517"/>
      <c r="S989" s="518"/>
      <c r="T989" s="487"/>
      <c r="U989" s="488"/>
      <c r="V989" s="492"/>
      <c r="W989" s="483"/>
      <c r="X989" s="495"/>
      <c r="Y989" s="484"/>
      <c r="Z989" s="498"/>
      <c r="AA989" s="502"/>
      <c r="AB989" s="503"/>
      <c r="AC989" s="471" t="s">
        <v>259</v>
      </c>
      <c r="AD989" s="472"/>
      <c r="AE989" s="473"/>
      <c r="AF989" s="100"/>
      <c r="AG989" s="100"/>
      <c r="AH989" s="100"/>
      <c r="AI989" s="100"/>
      <c r="AJ989" s="100"/>
      <c r="AK989" s="100"/>
      <c r="AL989" s="100"/>
      <c r="AM989" s="100"/>
      <c r="AN989" s="100"/>
      <c r="AO989" s="100"/>
      <c r="AP989" s="100"/>
      <c r="AQ989" s="101"/>
      <c r="AR989" s="104">
        <f t="shared" ref="AR989:AR990" si="1882">SUM(AF989:AQ989)</f>
        <v>0</v>
      </c>
      <c r="AS989" s="128" t="s">
        <v>261</v>
      </c>
      <c r="AT989" s="129"/>
      <c r="AU989" s="129"/>
      <c r="AV989" s="129"/>
      <c r="AW989" s="130"/>
      <c r="AX989" s="126">
        <f t="shared" si="1880"/>
        <v>0</v>
      </c>
      <c r="AY989" s="143" t="s">
        <v>261</v>
      </c>
      <c r="AZ989" s="139"/>
      <c r="BA989" s="139"/>
      <c r="BB989" s="136">
        <f t="shared" si="1881"/>
        <v>0</v>
      </c>
      <c r="BC989" s="474" t="s">
        <v>262</v>
      </c>
      <c r="BD989" s="475"/>
      <c r="BE989" s="14"/>
      <c r="BF989" s="17"/>
      <c r="BG989" s="14"/>
      <c r="BH989" s="17"/>
      <c r="BI989" s="14"/>
      <c r="BJ989" s="17"/>
      <c r="BK989" s="14"/>
      <c r="BL989" s="17"/>
      <c r="BM989" s="14"/>
      <c r="BN989" s="17"/>
      <c r="BO989" s="14"/>
      <c r="BP989" s="17"/>
      <c r="BQ989" s="108">
        <f t="shared" si="1761"/>
        <v>0</v>
      </c>
      <c r="BR989" s="567"/>
      <c r="BS989" s="571"/>
      <c r="BT989" s="572"/>
      <c r="BU989" s="558"/>
      <c r="BV989" s="561"/>
      <c r="BW989" s="564"/>
      <c r="BX989" s="616"/>
    </row>
    <row r="990" spans="1:76" ht="15.75" thickBot="1" x14ac:dyDescent="0.3">
      <c r="A990" s="587"/>
      <c r="B990" s="592"/>
      <c r="C990" s="593"/>
      <c r="D990" s="606"/>
      <c r="E990" s="519"/>
      <c r="F990" s="520"/>
      <c r="G990" s="525"/>
      <c r="H990" s="526"/>
      <c r="I990" s="531"/>
      <c r="J990" s="532"/>
      <c r="K990" s="514"/>
      <c r="L990" s="535"/>
      <c r="M990" s="538"/>
      <c r="N990" s="543"/>
      <c r="O990" s="544"/>
      <c r="P990" s="485"/>
      <c r="Q990" s="486"/>
      <c r="R990" s="519"/>
      <c r="S990" s="520"/>
      <c r="T990" s="489"/>
      <c r="U990" s="490"/>
      <c r="V990" s="493"/>
      <c r="W990" s="485"/>
      <c r="X990" s="496"/>
      <c r="Y990" s="486"/>
      <c r="Z990" s="499"/>
      <c r="AA990" s="504"/>
      <c r="AB990" s="505"/>
      <c r="AC990" s="476" t="s">
        <v>261</v>
      </c>
      <c r="AD990" s="477"/>
      <c r="AE990" s="478"/>
      <c r="AF990" s="102"/>
      <c r="AG990" s="102"/>
      <c r="AH990" s="102"/>
      <c r="AI990" s="102"/>
      <c r="AJ990" s="102"/>
      <c r="AK990" s="102"/>
      <c r="AL990" s="102"/>
      <c r="AM990" s="102"/>
      <c r="AN990" s="102"/>
      <c r="AO990" s="102"/>
      <c r="AP990" s="102"/>
      <c r="AQ990" s="103"/>
      <c r="AR990" s="105">
        <f t="shared" si="1882"/>
        <v>0</v>
      </c>
      <c r="AS990" s="131" t="s">
        <v>161</v>
      </c>
      <c r="AT990" s="132">
        <f t="shared" ref="AT990:AX990" si="1883">SUM(AT987:AT989)</f>
        <v>0</v>
      </c>
      <c r="AU990" s="132">
        <f t="shared" si="1883"/>
        <v>0</v>
      </c>
      <c r="AV990" s="132">
        <f t="shared" si="1883"/>
        <v>0</v>
      </c>
      <c r="AW990" s="133">
        <f t="shared" si="1883"/>
        <v>0</v>
      </c>
      <c r="AX990" s="127">
        <f t="shared" si="1883"/>
        <v>0</v>
      </c>
      <c r="AY990" s="144" t="s">
        <v>161</v>
      </c>
      <c r="AZ990" s="140">
        <f t="shared" ref="AZ990:BB990" si="1884">SUM(AZ987:AZ989)</f>
        <v>0</v>
      </c>
      <c r="BA990" s="140">
        <f t="shared" si="1884"/>
        <v>0</v>
      </c>
      <c r="BB990" s="140">
        <f t="shared" si="1884"/>
        <v>0</v>
      </c>
      <c r="BC990" s="479" t="s">
        <v>263</v>
      </c>
      <c r="BD990" s="480"/>
      <c r="BE990" s="15"/>
      <c r="BF990" s="18"/>
      <c r="BG990" s="15"/>
      <c r="BH990" s="18"/>
      <c r="BI990" s="15"/>
      <c r="BJ990" s="18"/>
      <c r="BK990" s="15"/>
      <c r="BL990" s="18"/>
      <c r="BM990" s="15"/>
      <c r="BN990" s="18"/>
      <c r="BO990" s="15"/>
      <c r="BP990" s="18"/>
      <c r="BQ990" s="109">
        <f t="shared" si="1761"/>
        <v>0</v>
      </c>
      <c r="BR990" s="568"/>
      <c r="BS990" s="573"/>
      <c r="BT990" s="574"/>
      <c r="BU990" s="559"/>
      <c r="BV990" s="562"/>
      <c r="BW990" s="565"/>
      <c r="BX990" s="617"/>
    </row>
    <row r="991" spans="1:76" ht="15.75" thickTop="1" x14ac:dyDescent="0.25">
      <c r="A991" s="585">
        <v>246</v>
      </c>
      <c r="B991" s="588"/>
      <c r="C991" s="589"/>
      <c r="D991" s="604"/>
      <c r="E991" s="515"/>
      <c r="F991" s="516"/>
      <c r="G991" s="521"/>
      <c r="H991" s="522"/>
      <c r="I991" s="527"/>
      <c r="J991" s="528"/>
      <c r="K991" s="512" t="e">
        <f t="shared" ref="K991" si="1885">INT(YEARFRAC(I991,AA991))</f>
        <v>#VALUE!</v>
      </c>
      <c r="L991" s="533">
        <f t="shared" ref="L991" ca="1" si="1886">INT(YEARFRAC(I991,TODAY()))</f>
        <v>121</v>
      </c>
      <c r="M991" s="536"/>
      <c r="N991" s="539"/>
      <c r="O991" s="540"/>
      <c r="P991" s="481"/>
      <c r="Q991" s="482"/>
      <c r="R991" s="515"/>
      <c r="S991" s="516"/>
      <c r="T991" s="487"/>
      <c r="U991" s="488"/>
      <c r="V991" s="491"/>
      <c r="W991" s="481"/>
      <c r="X991" s="494"/>
      <c r="Y991" s="482"/>
      <c r="Z991" s="497"/>
      <c r="AA991" s="500" t="s">
        <v>487</v>
      </c>
      <c r="AB991" s="501"/>
      <c r="AC991" s="506" t="s">
        <v>257</v>
      </c>
      <c r="AD991" s="507"/>
      <c r="AE991" s="507"/>
      <c r="AF991" s="510"/>
      <c r="AG991" s="510"/>
      <c r="AH991" s="510"/>
      <c r="AI991" s="510"/>
      <c r="AJ991" s="510"/>
      <c r="AK991" s="510"/>
      <c r="AL991" s="510"/>
      <c r="AM991" s="510"/>
      <c r="AN991" s="510"/>
      <c r="AO991" s="510"/>
      <c r="AP991" s="510"/>
      <c r="AQ991" s="465"/>
      <c r="AR991" s="467">
        <f t="shared" ref="AR991" si="1887">SUM(AF991:AQ992)</f>
        <v>0</v>
      </c>
      <c r="AS991" s="119" t="s">
        <v>257</v>
      </c>
      <c r="AT991" s="120"/>
      <c r="AU991" s="120"/>
      <c r="AV991" s="120"/>
      <c r="AW991" s="121"/>
      <c r="AX991" s="125">
        <f t="shared" ref="AX991:AX993" si="1888">SUM(AT991:AW991)</f>
        <v>0</v>
      </c>
      <c r="AY991" s="141" t="s">
        <v>257</v>
      </c>
      <c r="AZ991" s="137"/>
      <c r="BA991" s="137"/>
      <c r="BB991" s="134">
        <f t="shared" ref="BB991:BB993" si="1889">AZ991-BA991</f>
        <v>0</v>
      </c>
      <c r="BC991" s="469" t="s">
        <v>258</v>
      </c>
      <c r="BD991" s="470"/>
      <c r="BE991" s="13"/>
      <c r="BF991" s="16"/>
      <c r="BG991" s="13"/>
      <c r="BH991" s="16"/>
      <c r="BI991" s="13"/>
      <c r="BJ991" s="16"/>
      <c r="BK991" s="13"/>
      <c r="BL991" s="16"/>
      <c r="BM991" s="13"/>
      <c r="BN991" s="16"/>
      <c r="BO991" s="13"/>
      <c r="BP991" s="16"/>
      <c r="BQ991" s="106">
        <f t="shared" ref="BQ991:BQ1054" si="1890">SUM(BE991:BP991)</f>
        <v>0</v>
      </c>
      <c r="BR991" s="566"/>
      <c r="BS991" s="569"/>
      <c r="BT991" s="570"/>
      <c r="BU991" s="557"/>
      <c r="BV991" s="560"/>
      <c r="BW991" s="563"/>
      <c r="BX991" s="615"/>
    </row>
    <row r="992" spans="1:76" x14ac:dyDescent="0.25">
      <c r="A992" s="586"/>
      <c r="B992" s="590"/>
      <c r="C992" s="591"/>
      <c r="D992" s="605"/>
      <c r="E992" s="517"/>
      <c r="F992" s="518"/>
      <c r="G992" s="523"/>
      <c r="H992" s="524"/>
      <c r="I992" s="529"/>
      <c r="J992" s="530"/>
      <c r="K992" s="513"/>
      <c r="L992" s="534"/>
      <c r="M992" s="537"/>
      <c r="N992" s="541"/>
      <c r="O992" s="542"/>
      <c r="P992" s="483"/>
      <c r="Q992" s="484"/>
      <c r="R992" s="517"/>
      <c r="S992" s="518"/>
      <c r="T992" s="487"/>
      <c r="U992" s="488"/>
      <c r="V992" s="492"/>
      <c r="W992" s="483"/>
      <c r="X992" s="495"/>
      <c r="Y992" s="484"/>
      <c r="Z992" s="498"/>
      <c r="AA992" s="502"/>
      <c r="AB992" s="503"/>
      <c r="AC992" s="508"/>
      <c r="AD992" s="509"/>
      <c r="AE992" s="509"/>
      <c r="AF992" s="511"/>
      <c r="AG992" s="511"/>
      <c r="AH992" s="511"/>
      <c r="AI992" s="511"/>
      <c r="AJ992" s="511"/>
      <c r="AK992" s="511"/>
      <c r="AL992" s="511"/>
      <c r="AM992" s="511"/>
      <c r="AN992" s="511"/>
      <c r="AO992" s="511"/>
      <c r="AP992" s="511"/>
      <c r="AQ992" s="466"/>
      <c r="AR992" s="468"/>
      <c r="AS992" s="122" t="s">
        <v>259</v>
      </c>
      <c r="AT992" s="123"/>
      <c r="AU992" s="123"/>
      <c r="AV992" s="123"/>
      <c r="AW992" s="124"/>
      <c r="AX992" s="126">
        <f t="shared" si="1888"/>
        <v>0</v>
      </c>
      <c r="AY992" s="142" t="s">
        <v>259</v>
      </c>
      <c r="AZ992" s="138"/>
      <c r="BA992" s="138"/>
      <c r="BB992" s="135">
        <f t="shared" si="1889"/>
        <v>0</v>
      </c>
      <c r="BC992" s="474" t="s">
        <v>260</v>
      </c>
      <c r="BD992" s="475"/>
      <c r="BE992" s="14"/>
      <c r="BF992" s="17"/>
      <c r="BG992" s="14"/>
      <c r="BH992" s="17"/>
      <c r="BI992" s="14"/>
      <c r="BJ992" s="17"/>
      <c r="BK992" s="14"/>
      <c r="BL992" s="17"/>
      <c r="BM992" s="14"/>
      <c r="BN992" s="17"/>
      <c r="BO992" s="14"/>
      <c r="BP992" s="17"/>
      <c r="BQ992" s="107">
        <f t="shared" si="1890"/>
        <v>0</v>
      </c>
      <c r="BR992" s="567"/>
      <c r="BS992" s="571"/>
      <c r="BT992" s="572"/>
      <c r="BU992" s="558"/>
      <c r="BV992" s="561"/>
      <c r="BW992" s="564"/>
      <c r="BX992" s="616"/>
    </row>
    <row r="993" spans="1:76" ht="15.75" thickBot="1" x14ac:dyDescent="0.3">
      <c r="A993" s="586"/>
      <c r="B993" s="590"/>
      <c r="C993" s="591"/>
      <c r="D993" s="605"/>
      <c r="E993" s="517"/>
      <c r="F993" s="518"/>
      <c r="G993" s="523"/>
      <c r="H993" s="524"/>
      <c r="I993" s="529"/>
      <c r="J993" s="530"/>
      <c r="K993" s="513"/>
      <c r="L993" s="534"/>
      <c r="M993" s="537"/>
      <c r="N993" s="541"/>
      <c r="O993" s="542"/>
      <c r="P993" s="483"/>
      <c r="Q993" s="484"/>
      <c r="R993" s="517"/>
      <c r="S993" s="518"/>
      <c r="T993" s="487"/>
      <c r="U993" s="488"/>
      <c r="V993" s="492"/>
      <c r="W993" s="483"/>
      <c r="X993" s="495"/>
      <c r="Y993" s="484"/>
      <c r="Z993" s="498"/>
      <c r="AA993" s="502"/>
      <c r="AB993" s="503"/>
      <c r="AC993" s="471" t="s">
        <v>259</v>
      </c>
      <c r="AD993" s="472"/>
      <c r="AE993" s="473"/>
      <c r="AF993" s="100"/>
      <c r="AG993" s="100"/>
      <c r="AH993" s="100"/>
      <c r="AI993" s="100"/>
      <c r="AJ993" s="100"/>
      <c r="AK993" s="100"/>
      <c r="AL993" s="100"/>
      <c r="AM993" s="100"/>
      <c r="AN993" s="100"/>
      <c r="AO993" s="100"/>
      <c r="AP993" s="100"/>
      <c r="AQ993" s="101"/>
      <c r="AR993" s="104">
        <f t="shared" ref="AR993:AR994" si="1891">SUM(AF993:AQ993)</f>
        <v>0</v>
      </c>
      <c r="AS993" s="128" t="s">
        <v>261</v>
      </c>
      <c r="AT993" s="129"/>
      <c r="AU993" s="129"/>
      <c r="AV993" s="129"/>
      <c r="AW993" s="130"/>
      <c r="AX993" s="126">
        <f t="shared" si="1888"/>
        <v>0</v>
      </c>
      <c r="AY993" s="143" t="s">
        <v>261</v>
      </c>
      <c r="AZ993" s="139"/>
      <c r="BA993" s="139"/>
      <c r="BB993" s="136">
        <f t="shared" si="1889"/>
        <v>0</v>
      </c>
      <c r="BC993" s="474" t="s">
        <v>262</v>
      </c>
      <c r="BD993" s="475"/>
      <c r="BE993" s="14"/>
      <c r="BF993" s="17"/>
      <c r="BG993" s="14"/>
      <c r="BH993" s="17"/>
      <c r="BI993" s="14"/>
      <c r="BJ993" s="17"/>
      <c r="BK993" s="14"/>
      <c r="BL993" s="17"/>
      <c r="BM993" s="14"/>
      <c r="BN993" s="17"/>
      <c r="BO993" s="14"/>
      <c r="BP993" s="17"/>
      <c r="BQ993" s="108">
        <f t="shared" si="1890"/>
        <v>0</v>
      </c>
      <c r="BR993" s="567"/>
      <c r="BS993" s="571"/>
      <c r="BT993" s="572"/>
      <c r="BU993" s="558"/>
      <c r="BV993" s="561"/>
      <c r="BW993" s="564"/>
      <c r="BX993" s="616"/>
    </row>
    <row r="994" spans="1:76" ht="15.75" thickBot="1" x14ac:dyDescent="0.3">
      <c r="A994" s="587"/>
      <c r="B994" s="592"/>
      <c r="C994" s="593"/>
      <c r="D994" s="606"/>
      <c r="E994" s="519"/>
      <c r="F994" s="520"/>
      <c r="G994" s="525"/>
      <c r="H994" s="526"/>
      <c r="I994" s="531"/>
      <c r="J994" s="532"/>
      <c r="K994" s="514"/>
      <c r="L994" s="535"/>
      <c r="M994" s="538"/>
      <c r="N994" s="543"/>
      <c r="O994" s="544"/>
      <c r="P994" s="485"/>
      <c r="Q994" s="486"/>
      <c r="R994" s="519"/>
      <c r="S994" s="520"/>
      <c r="T994" s="489"/>
      <c r="U994" s="490"/>
      <c r="V994" s="493"/>
      <c r="W994" s="485"/>
      <c r="X994" s="496"/>
      <c r="Y994" s="486"/>
      <c r="Z994" s="499"/>
      <c r="AA994" s="504"/>
      <c r="AB994" s="505"/>
      <c r="AC994" s="476" t="s">
        <v>261</v>
      </c>
      <c r="AD994" s="477"/>
      <c r="AE994" s="478"/>
      <c r="AF994" s="102"/>
      <c r="AG994" s="102"/>
      <c r="AH994" s="102"/>
      <c r="AI994" s="102"/>
      <c r="AJ994" s="102"/>
      <c r="AK994" s="102"/>
      <c r="AL994" s="102"/>
      <c r="AM994" s="102"/>
      <c r="AN994" s="102"/>
      <c r="AO994" s="102"/>
      <c r="AP994" s="102"/>
      <c r="AQ994" s="103"/>
      <c r="AR994" s="105">
        <f t="shared" si="1891"/>
        <v>0</v>
      </c>
      <c r="AS994" s="131" t="s">
        <v>161</v>
      </c>
      <c r="AT994" s="132">
        <f t="shared" ref="AT994:AX994" si="1892">SUM(AT991:AT993)</f>
        <v>0</v>
      </c>
      <c r="AU994" s="132">
        <f t="shared" si="1892"/>
        <v>0</v>
      </c>
      <c r="AV994" s="132">
        <f t="shared" si="1892"/>
        <v>0</v>
      </c>
      <c r="AW994" s="133">
        <f t="shared" si="1892"/>
        <v>0</v>
      </c>
      <c r="AX994" s="127">
        <f t="shared" si="1892"/>
        <v>0</v>
      </c>
      <c r="AY994" s="144" t="s">
        <v>161</v>
      </c>
      <c r="AZ994" s="140">
        <f t="shared" ref="AZ994:BB994" si="1893">SUM(AZ991:AZ993)</f>
        <v>0</v>
      </c>
      <c r="BA994" s="140">
        <f t="shared" si="1893"/>
        <v>0</v>
      </c>
      <c r="BB994" s="140">
        <f t="shared" si="1893"/>
        <v>0</v>
      </c>
      <c r="BC994" s="479" t="s">
        <v>263</v>
      </c>
      <c r="BD994" s="480"/>
      <c r="BE994" s="15"/>
      <c r="BF994" s="18"/>
      <c r="BG994" s="15"/>
      <c r="BH994" s="18"/>
      <c r="BI994" s="15"/>
      <c r="BJ994" s="18"/>
      <c r="BK994" s="15"/>
      <c r="BL994" s="18"/>
      <c r="BM994" s="15"/>
      <c r="BN994" s="18"/>
      <c r="BO994" s="15"/>
      <c r="BP994" s="18"/>
      <c r="BQ994" s="109">
        <f t="shared" si="1890"/>
        <v>0</v>
      </c>
      <c r="BR994" s="568"/>
      <c r="BS994" s="573"/>
      <c r="BT994" s="574"/>
      <c r="BU994" s="559"/>
      <c r="BV994" s="562"/>
      <c r="BW994" s="565"/>
      <c r="BX994" s="617"/>
    </row>
    <row r="995" spans="1:76" ht="15.75" thickTop="1" x14ac:dyDescent="0.25">
      <c r="A995" s="585">
        <v>247</v>
      </c>
      <c r="B995" s="588"/>
      <c r="C995" s="589"/>
      <c r="D995" s="604"/>
      <c r="E995" s="515"/>
      <c r="F995" s="516"/>
      <c r="G995" s="521"/>
      <c r="H995" s="522"/>
      <c r="I995" s="527"/>
      <c r="J995" s="528"/>
      <c r="K995" s="512" t="e">
        <f t="shared" ref="K995" si="1894">INT(YEARFRAC(I995,AA995))</f>
        <v>#VALUE!</v>
      </c>
      <c r="L995" s="533">
        <f t="shared" ref="L995" ca="1" si="1895">INT(YEARFRAC(I995,TODAY()))</f>
        <v>121</v>
      </c>
      <c r="M995" s="536"/>
      <c r="N995" s="539"/>
      <c r="O995" s="540"/>
      <c r="P995" s="481"/>
      <c r="Q995" s="482"/>
      <c r="R995" s="515"/>
      <c r="S995" s="516"/>
      <c r="T995" s="487"/>
      <c r="U995" s="488"/>
      <c r="V995" s="491"/>
      <c r="W995" s="481"/>
      <c r="X995" s="494"/>
      <c r="Y995" s="482"/>
      <c r="Z995" s="497"/>
      <c r="AA995" s="500" t="s">
        <v>488</v>
      </c>
      <c r="AB995" s="501"/>
      <c r="AC995" s="506" t="s">
        <v>257</v>
      </c>
      <c r="AD995" s="507"/>
      <c r="AE995" s="507"/>
      <c r="AF995" s="510"/>
      <c r="AG995" s="510"/>
      <c r="AH995" s="510"/>
      <c r="AI995" s="510"/>
      <c r="AJ995" s="510"/>
      <c r="AK995" s="510"/>
      <c r="AL995" s="510"/>
      <c r="AM995" s="510"/>
      <c r="AN995" s="510"/>
      <c r="AO995" s="510"/>
      <c r="AP995" s="510"/>
      <c r="AQ995" s="465"/>
      <c r="AR995" s="467">
        <f t="shared" ref="AR995" si="1896">SUM(AF995:AQ996)</f>
        <v>0</v>
      </c>
      <c r="AS995" s="119" t="s">
        <v>257</v>
      </c>
      <c r="AT995" s="120"/>
      <c r="AU995" s="120"/>
      <c r="AV995" s="120"/>
      <c r="AW995" s="121"/>
      <c r="AX995" s="125">
        <f t="shared" ref="AX995:AX997" si="1897">SUM(AT995:AW995)</f>
        <v>0</v>
      </c>
      <c r="AY995" s="141" t="s">
        <v>257</v>
      </c>
      <c r="AZ995" s="137"/>
      <c r="BA995" s="137"/>
      <c r="BB995" s="134">
        <f t="shared" ref="BB995:BB997" si="1898">AZ995-BA995</f>
        <v>0</v>
      </c>
      <c r="BC995" s="469" t="s">
        <v>258</v>
      </c>
      <c r="BD995" s="470"/>
      <c r="BE995" s="13"/>
      <c r="BF995" s="16"/>
      <c r="BG995" s="13"/>
      <c r="BH995" s="16"/>
      <c r="BI995" s="13"/>
      <c r="BJ995" s="16"/>
      <c r="BK995" s="13"/>
      <c r="BL995" s="16"/>
      <c r="BM995" s="13"/>
      <c r="BN995" s="16"/>
      <c r="BO995" s="13"/>
      <c r="BP995" s="16"/>
      <c r="BQ995" s="106">
        <f t="shared" si="1890"/>
        <v>0</v>
      </c>
      <c r="BR995" s="566"/>
      <c r="BS995" s="569"/>
      <c r="BT995" s="570"/>
      <c r="BU995" s="557"/>
      <c r="BV995" s="560"/>
      <c r="BW995" s="563"/>
      <c r="BX995" s="615"/>
    </row>
    <row r="996" spans="1:76" x14ac:dyDescent="0.25">
      <c r="A996" s="586"/>
      <c r="B996" s="590"/>
      <c r="C996" s="591"/>
      <c r="D996" s="605"/>
      <c r="E996" s="517"/>
      <c r="F996" s="518"/>
      <c r="G996" s="523"/>
      <c r="H996" s="524"/>
      <c r="I996" s="529"/>
      <c r="J996" s="530"/>
      <c r="K996" s="513"/>
      <c r="L996" s="534"/>
      <c r="M996" s="537"/>
      <c r="N996" s="541"/>
      <c r="O996" s="542"/>
      <c r="P996" s="483"/>
      <c r="Q996" s="484"/>
      <c r="R996" s="517"/>
      <c r="S996" s="518"/>
      <c r="T996" s="487"/>
      <c r="U996" s="488"/>
      <c r="V996" s="492"/>
      <c r="W996" s="483"/>
      <c r="X996" s="495"/>
      <c r="Y996" s="484"/>
      <c r="Z996" s="498"/>
      <c r="AA996" s="502"/>
      <c r="AB996" s="503"/>
      <c r="AC996" s="508"/>
      <c r="AD996" s="509"/>
      <c r="AE996" s="509"/>
      <c r="AF996" s="511"/>
      <c r="AG996" s="511"/>
      <c r="AH996" s="511"/>
      <c r="AI996" s="511"/>
      <c r="AJ996" s="511"/>
      <c r="AK996" s="511"/>
      <c r="AL996" s="511"/>
      <c r="AM996" s="511"/>
      <c r="AN996" s="511"/>
      <c r="AO996" s="511"/>
      <c r="AP996" s="511"/>
      <c r="AQ996" s="466"/>
      <c r="AR996" s="468"/>
      <c r="AS996" s="122" t="s">
        <v>259</v>
      </c>
      <c r="AT996" s="123"/>
      <c r="AU996" s="123"/>
      <c r="AV996" s="123"/>
      <c r="AW996" s="124"/>
      <c r="AX996" s="126">
        <f t="shared" si="1897"/>
        <v>0</v>
      </c>
      <c r="AY996" s="142" t="s">
        <v>259</v>
      </c>
      <c r="AZ996" s="138"/>
      <c r="BA996" s="138"/>
      <c r="BB996" s="135">
        <f t="shared" si="1898"/>
        <v>0</v>
      </c>
      <c r="BC996" s="474" t="s">
        <v>260</v>
      </c>
      <c r="BD996" s="475"/>
      <c r="BE996" s="14"/>
      <c r="BF996" s="17"/>
      <c r="BG996" s="14"/>
      <c r="BH996" s="17"/>
      <c r="BI996" s="14"/>
      <c r="BJ996" s="17"/>
      <c r="BK996" s="14"/>
      <c r="BL996" s="17"/>
      <c r="BM996" s="14"/>
      <c r="BN996" s="17"/>
      <c r="BO996" s="14"/>
      <c r="BP996" s="17"/>
      <c r="BQ996" s="107">
        <f t="shared" si="1890"/>
        <v>0</v>
      </c>
      <c r="BR996" s="567"/>
      <c r="BS996" s="571"/>
      <c r="BT996" s="572"/>
      <c r="BU996" s="558"/>
      <c r="BV996" s="561"/>
      <c r="BW996" s="564"/>
      <c r="BX996" s="616"/>
    </row>
    <row r="997" spans="1:76" ht="15.75" thickBot="1" x14ac:dyDescent="0.3">
      <c r="A997" s="586"/>
      <c r="B997" s="590"/>
      <c r="C997" s="591"/>
      <c r="D997" s="605"/>
      <c r="E997" s="517"/>
      <c r="F997" s="518"/>
      <c r="G997" s="523"/>
      <c r="H997" s="524"/>
      <c r="I997" s="529"/>
      <c r="J997" s="530"/>
      <c r="K997" s="513"/>
      <c r="L997" s="534"/>
      <c r="M997" s="537"/>
      <c r="N997" s="541"/>
      <c r="O997" s="542"/>
      <c r="P997" s="483"/>
      <c r="Q997" s="484"/>
      <c r="R997" s="517"/>
      <c r="S997" s="518"/>
      <c r="T997" s="487"/>
      <c r="U997" s="488"/>
      <c r="V997" s="492"/>
      <c r="W997" s="483"/>
      <c r="X997" s="495"/>
      <c r="Y997" s="484"/>
      <c r="Z997" s="498"/>
      <c r="AA997" s="502"/>
      <c r="AB997" s="503"/>
      <c r="AC997" s="471" t="s">
        <v>259</v>
      </c>
      <c r="AD997" s="472"/>
      <c r="AE997" s="473"/>
      <c r="AF997" s="100"/>
      <c r="AG997" s="100"/>
      <c r="AH997" s="100"/>
      <c r="AI997" s="100"/>
      <c r="AJ997" s="100"/>
      <c r="AK997" s="100"/>
      <c r="AL997" s="100"/>
      <c r="AM997" s="100"/>
      <c r="AN997" s="100"/>
      <c r="AO997" s="100"/>
      <c r="AP997" s="100"/>
      <c r="AQ997" s="101"/>
      <c r="AR997" s="104">
        <f t="shared" ref="AR997:AR998" si="1899">SUM(AF997:AQ997)</f>
        <v>0</v>
      </c>
      <c r="AS997" s="128" t="s">
        <v>261</v>
      </c>
      <c r="AT997" s="129"/>
      <c r="AU997" s="129"/>
      <c r="AV997" s="129"/>
      <c r="AW997" s="130"/>
      <c r="AX997" s="126">
        <f t="shared" si="1897"/>
        <v>0</v>
      </c>
      <c r="AY997" s="143" t="s">
        <v>261</v>
      </c>
      <c r="AZ997" s="139"/>
      <c r="BA997" s="139"/>
      <c r="BB997" s="136">
        <f t="shared" si="1898"/>
        <v>0</v>
      </c>
      <c r="BC997" s="474" t="s">
        <v>262</v>
      </c>
      <c r="BD997" s="475"/>
      <c r="BE997" s="14"/>
      <c r="BF997" s="17"/>
      <c r="BG997" s="14"/>
      <c r="BH997" s="17"/>
      <c r="BI997" s="14"/>
      <c r="BJ997" s="17"/>
      <c r="BK997" s="14"/>
      <c r="BL997" s="17"/>
      <c r="BM997" s="14"/>
      <c r="BN997" s="17"/>
      <c r="BO997" s="14"/>
      <c r="BP997" s="17"/>
      <c r="BQ997" s="108">
        <f t="shared" si="1890"/>
        <v>0</v>
      </c>
      <c r="BR997" s="567"/>
      <c r="BS997" s="571"/>
      <c r="BT997" s="572"/>
      <c r="BU997" s="558"/>
      <c r="BV997" s="561"/>
      <c r="BW997" s="564"/>
      <c r="BX997" s="616"/>
    </row>
    <row r="998" spans="1:76" ht="15.75" thickBot="1" x14ac:dyDescent="0.3">
      <c r="A998" s="587"/>
      <c r="B998" s="592"/>
      <c r="C998" s="593"/>
      <c r="D998" s="606"/>
      <c r="E998" s="519"/>
      <c r="F998" s="520"/>
      <c r="G998" s="525"/>
      <c r="H998" s="526"/>
      <c r="I998" s="531"/>
      <c r="J998" s="532"/>
      <c r="K998" s="514"/>
      <c r="L998" s="535"/>
      <c r="M998" s="538"/>
      <c r="N998" s="543"/>
      <c r="O998" s="544"/>
      <c r="P998" s="485"/>
      <c r="Q998" s="486"/>
      <c r="R998" s="519"/>
      <c r="S998" s="520"/>
      <c r="T998" s="489"/>
      <c r="U998" s="490"/>
      <c r="V998" s="493"/>
      <c r="W998" s="485"/>
      <c r="X998" s="496"/>
      <c r="Y998" s="486"/>
      <c r="Z998" s="499"/>
      <c r="AA998" s="504"/>
      <c r="AB998" s="505"/>
      <c r="AC998" s="476" t="s">
        <v>261</v>
      </c>
      <c r="AD998" s="477"/>
      <c r="AE998" s="478"/>
      <c r="AF998" s="102"/>
      <c r="AG998" s="102"/>
      <c r="AH998" s="102"/>
      <c r="AI998" s="102"/>
      <c r="AJ998" s="102"/>
      <c r="AK998" s="102"/>
      <c r="AL998" s="102"/>
      <c r="AM998" s="102"/>
      <c r="AN998" s="102"/>
      <c r="AO998" s="102"/>
      <c r="AP998" s="102"/>
      <c r="AQ998" s="103"/>
      <c r="AR998" s="105">
        <f t="shared" si="1899"/>
        <v>0</v>
      </c>
      <c r="AS998" s="131" t="s">
        <v>161</v>
      </c>
      <c r="AT998" s="132">
        <f t="shared" ref="AT998:AX998" si="1900">SUM(AT995:AT997)</f>
        <v>0</v>
      </c>
      <c r="AU998" s="132">
        <f t="shared" si="1900"/>
        <v>0</v>
      </c>
      <c r="AV998" s="132">
        <f t="shared" si="1900"/>
        <v>0</v>
      </c>
      <c r="AW998" s="133">
        <f t="shared" si="1900"/>
        <v>0</v>
      </c>
      <c r="AX998" s="127">
        <f t="shared" si="1900"/>
        <v>0</v>
      </c>
      <c r="AY998" s="144" t="s">
        <v>161</v>
      </c>
      <c r="AZ998" s="140">
        <f t="shared" ref="AZ998:BB998" si="1901">SUM(AZ995:AZ997)</f>
        <v>0</v>
      </c>
      <c r="BA998" s="140">
        <f t="shared" si="1901"/>
        <v>0</v>
      </c>
      <c r="BB998" s="140">
        <f t="shared" si="1901"/>
        <v>0</v>
      </c>
      <c r="BC998" s="479" t="s">
        <v>263</v>
      </c>
      <c r="BD998" s="480"/>
      <c r="BE998" s="15"/>
      <c r="BF998" s="18"/>
      <c r="BG998" s="15"/>
      <c r="BH998" s="18"/>
      <c r="BI998" s="15"/>
      <c r="BJ998" s="18"/>
      <c r="BK998" s="15"/>
      <c r="BL998" s="18"/>
      <c r="BM998" s="15"/>
      <c r="BN998" s="18"/>
      <c r="BO998" s="15"/>
      <c r="BP998" s="18"/>
      <c r="BQ998" s="109">
        <f t="shared" si="1890"/>
        <v>0</v>
      </c>
      <c r="BR998" s="568"/>
      <c r="BS998" s="573"/>
      <c r="BT998" s="574"/>
      <c r="BU998" s="559"/>
      <c r="BV998" s="562"/>
      <c r="BW998" s="565"/>
      <c r="BX998" s="617"/>
    </row>
    <row r="999" spans="1:76" ht="15.75" thickTop="1" x14ac:dyDescent="0.25">
      <c r="A999" s="585">
        <v>248</v>
      </c>
      <c r="B999" s="588"/>
      <c r="C999" s="589"/>
      <c r="D999" s="604"/>
      <c r="E999" s="515"/>
      <c r="F999" s="516"/>
      <c r="G999" s="521"/>
      <c r="H999" s="522"/>
      <c r="I999" s="527"/>
      <c r="J999" s="528"/>
      <c r="K999" s="512" t="e">
        <f t="shared" ref="K999" si="1902">INT(YEARFRAC(I999,AA999))</f>
        <v>#VALUE!</v>
      </c>
      <c r="L999" s="533">
        <f t="shared" ref="L999" ca="1" si="1903">INT(YEARFRAC(I999,TODAY()))</f>
        <v>121</v>
      </c>
      <c r="M999" s="536"/>
      <c r="N999" s="539"/>
      <c r="O999" s="540"/>
      <c r="P999" s="481"/>
      <c r="Q999" s="482"/>
      <c r="R999" s="515"/>
      <c r="S999" s="516"/>
      <c r="T999" s="487"/>
      <c r="U999" s="488"/>
      <c r="V999" s="491"/>
      <c r="W999" s="481"/>
      <c r="X999" s="494"/>
      <c r="Y999" s="482"/>
      <c r="Z999" s="497"/>
      <c r="AA999" s="500" t="s">
        <v>489</v>
      </c>
      <c r="AB999" s="501"/>
      <c r="AC999" s="506" t="s">
        <v>257</v>
      </c>
      <c r="AD999" s="507"/>
      <c r="AE999" s="507"/>
      <c r="AF999" s="510"/>
      <c r="AG999" s="510"/>
      <c r="AH999" s="510"/>
      <c r="AI999" s="510"/>
      <c r="AJ999" s="510"/>
      <c r="AK999" s="510"/>
      <c r="AL999" s="510"/>
      <c r="AM999" s="510"/>
      <c r="AN999" s="510"/>
      <c r="AO999" s="510"/>
      <c r="AP999" s="510"/>
      <c r="AQ999" s="465"/>
      <c r="AR999" s="467">
        <f t="shared" ref="AR999" si="1904">SUM(AF999:AQ1000)</f>
        <v>0</v>
      </c>
      <c r="AS999" s="119" t="s">
        <v>257</v>
      </c>
      <c r="AT999" s="120"/>
      <c r="AU999" s="120"/>
      <c r="AV999" s="120"/>
      <c r="AW999" s="121"/>
      <c r="AX999" s="125">
        <f t="shared" ref="AX999:AX1001" si="1905">SUM(AT999:AW999)</f>
        <v>0</v>
      </c>
      <c r="AY999" s="141" t="s">
        <v>257</v>
      </c>
      <c r="AZ999" s="137"/>
      <c r="BA999" s="137"/>
      <c r="BB999" s="134">
        <f t="shared" ref="BB999:BB1001" si="1906">AZ999-BA999</f>
        <v>0</v>
      </c>
      <c r="BC999" s="469" t="s">
        <v>258</v>
      </c>
      <c r="BD999" s="470"/>
      <c r="BE999" s="13"/>
      <c r="BF999" s="16"/>
      <c r="BG999" s="13"/>
      <c r="BH999" s="16"/>
      <c r="BI999" s="13"/>
      <c r="BJ999" s="16"/>
      <c r="BK999" s="13"/>
      <c r="BL999" s="16"/>
      <c r="BM999" s="13"/>
      <c r="BN999" s="16"/>
      <c r="BO999" s="13"/>
      <c r="BP999" s="16"/>
      <c r="BQ999" s="106">
        <f t="shared" si="1890"/>
        <v>0</v>
      </c>
      <c r="BR999" s="566"/>
      <c r="BS999" s="569"/>
      <c r="BT999" s="570"/>
      <c r="BU999" s="557"/>
      <c r="BV999" s="560"/>
      <c r="BW999" s="563"/>
      <c r="BX999" s="615"/>
    </row>
    <row r="1000" spans="1:76" x14ac:dyDescent="0.25">
      <c r="A1000" s="586"/>
      <c r="B1000" s="590"/>
      <c r="C1000" s="591"/>
      <c r="D1000" s="605"/>
      <c r="E1000" s="517"/>
      <c r="F1000" s="518"/>
      <c r="G1000" s="523"/>
      <c r="H1000" s="524"/>
      <c r="I1000" s="529"/>
      <c r="J1000" s="530"/>
      <c r="K1000" s="513"/>
      <c r="L1000" s="534"/>
      <c r="M1000" s="537"/>
      <c r="N1000" s="541"/>
      <c r="O1000" s="542"/>
      <c r="P1000" s="483"/>
      <c r="Q1000" s="484"/>
      <c r="R1000" s="517"/>
      <c r="S1000" s="518"/>
      <c r="T1000" s="487"/>
      <c r="U1000" s="488"/>
      <c r="V1000" s="492"/>
      <c r="W1000" s="483"/>
      <c r="X1000" s="495"/>
      <c r="Y1000" s="484"/>
      <c r="Z1000" s="498"/>
      <c r="AA1000" s="502"/>
      <c r="AB1000" s="503"/>
      <c r="AC1000" s="508"/>
      <c r="AD1000" s="509"/>
      <c r="AE1000" s="509"/>
      <c r="AF1000" s="511"/>
      <c r="AG1000" s="511"/>
      <c r="AH1000" s="511"/>
      <c r="AI1000" s="511"/>
      <c r="AJ1000" s="511"/>
      <c r="AK1000" s="511"/>
      <c r="AL1000" s="511"/>
      <c r="AM1000" s="511"/>
      <c r="AN1000" s="511"/>
      <c r="AO1000" s="511"/>
      <c r="AP1000" s="511"/>
      <c r="AQ1000" s="466"/>
      <c r="AR1000" s="468"/>
      <c r="AS1000" s="122" t="s">
        <v>259</v>
      </c>
      <c r="AT1000" s="123"/>
      <c r="AU1000" s="123"/>
      <c r="AV1000" s="123"/>
      <c r="AW1000" s="124"/>
      <c r="AX1000" s="126">
        <f t="shared" si="1905"/>
        <v>0</v>
      </c>
      <c r="AY1000" s="142" t="s">
        <v>259</v>
      </c>
      <c r="AZ1000" s="138"/>
      <c r="BA1000" s="138"/>
      <c r="BB1000" s="135">
        <f t="shared" si="1906"/>
        <v>0</v>
      </c>
      <c r="BC1000" s="474" t="s">
        <v>260</v>
      </c>
      <c r="BD1000" s="475"/>
      <c r="BE1000" s="14"/>
      <c r="BF1000" s="17"/>
      <c r="BG1000" s="14"/>
      <c r="BH1000" s="17"/>
      <c r="BI1000" s="14"/>
      <c r="BJ1000" s="17"/>
      <c r="BK1000" s="14"/>
      <c r="BL1000" s="17"/>
      <c r="BM1000" s="14"/>
      <c r="BN1000" s="17"/>
      <c r="BO1000" s="14"/>
      <c r="BP1000" s="17"/>
      <c r="BQ1000" s="107">
        <f t="shared" si="1890"/>
        <v>0</v>
      </c>
      <c r="BR1000" s="567"/>
      <c r="BS1000" s="571"/>
      <c r="BT1000" s="572"/>
      <c r="BU1000" s="558"/>
      <c r="BV1000" s="561"/>
      <c r="BW1000" s="564"/>
      <c r="BX1000" s="616"/>
    </row>
    <row r="1001" spans="1:76" ht="15.75" thickBot="1" x14ac:dyDescent="0.3">
      <c r="A1001" s="586"/>
      <c r="B1001" s="590"/>
      <c r="C1001" s="591"/>
      <c r="D1001" s="605"/>
      <c r="E1001" s="517"/>
      <c r="F1001" s="518"/>
      <c r="G1001" s="523"/>
      <c r="H1001" s="524"/>
      <c r="I1001" s="529"/>
      <c r="J1001" s="530"/>
      <c r="K1001" s="513"/>
      <c r="L1001" s="534"/>
      <c r="M1001" s="537"/>
      <c r="N1001" s="541"/>
      <c r="O1001" s="542"/>
      <c r="P1001" s="483"/>
      <c r="Q1001" s="484"/>
      <c r="R1001" s="517"/>
      <c r="S1001" s="518"/>
      <c r="T1001" s="487"/>
      <c r="U1001" s="488"/>
      <c r="V1001" s="492"/>
      <c r="W1001" s="483"/>
      <c r="X1001" s="495"/>
      <c r="Y1001" s="484"/>
      <c r="Z1001" s="498"/>
      <c r="AA1001" s="502"/>
      <c r="AB1001" s="503"/>
      <c r="AC1001" s="471" t="s">
        <v>259</v>
      </c>
      <c r="AD1001" s="472"/>
      <c r="AE1001" s="473"/>
      <c r="AF1001" s="100"/>
      <c r="AG1001" s="100"/>
      <c r="AH1001" s="100"/>
      <c r="AI1001" s="100"/>
      <c r="AJ1001" s="100"/>
      <c r="AK1001" s="100"/>
      <c r="AL1001" s="100"/>
      <c r="AM1001" s="100"/>
      <c r="AN1001" s="100"/>
      <c r="AO1001" s="100"/>
      <c r="AP1001" s="100"/>
      <c r="AQ1001" s="101"/>
      <c r="AR1001" s="104">
        <f t="shared" ref="AR1001:AR1002" si="1907">SUM(AF1001:AQ1001)</f>
        <v>0</v>
      </c>
      <c r="AS1001" s="128" t="s">
        <v>261</v>
      </c>
      <c r="AT1001" s="129"/>
      <c r="AU1001" s="129"/>
      <c r="AV1001" s="129"/>
      <c r="AW1001" s="130"/>
      <c r="AX1001" s="126">
        <f t="shared" si="1905"/>
        <v>0</v>
      </c>
      <c r="AY1001" s="143" t="s">
        <v>261</v>
      </c>
      <c r="AZ1001" s="139"/>
      <c r="BA1001" s="139"/>
      <c r="BB1001" s="136">
        <f t="shared" si="1906"/>
        <v>0</v>
      </c>
      <c r="BC1001" s="474" t="s">
        <v>262</v>
      </c>
      <c r="BD1001" s="475"/>
      <c r="BE1001" s="14"/>
      <c r="BF1001" s="17"/>
      <c r="BG1001" s="14"/>
      <c r="BH1001" s="17"/>
      <c r="BI1001" s="14"/>
      <c r="BJ1001" s="17"/>
      <c r="BK1001" s="14"/>
      <c r="BL1001" s="17"/>
      <c r="BM1001" s="14"/>
      <c r="BN1001" s="17"/>
      <c r="BO1001" s="14"/>
      <c r="BP1001" s="17"/>
      <c r="BQ1001" s="108">
        <f t="shared" si="1890"/>
        <v>0</v>
      </c>
      <c r="BR1001" s="567"/>
      <c r="BS1001" s="571"/>
      <c r="BT1001" s="572"/>
      <c r="BU1001" s="558"/>
      <c r="BV1001" s="561"/>
      <c r="BW1001" s="564"/>
      <c r="BX1001" s="616"/>
    </row>
    <row r="1002" spans="1:76" ht="15.75" thickBot="1" x14ac:dyDescent="0.3">
      <c r="A1002" s="587"/>
      <c r="B1002" s="592"/>
      <c r="C1002" s="593"/>
      <c r="D1002" s="606"/>
      <c r="E1002" s="519"/>
      <c r="F1002" s="520"/>
      <c r="G1002" s="525"/>
      <c r="H1002" s="526"/>
      <c r="I1002" s="531"/>
      <c r="J1002" s="532"/>
      <c r="K1002" s="514"/>
      <c r="L1002" s="535"/>
      <c r="M1002" s="538"/>
      <c r="N1002" s="543"/>
      <c r="O1002" s="544"/>
      <c r="P1002" s="485"/>
      <c r="Q1002" s="486"/>
      <c r="R1002" s="519"/>
      <c r="S1002" s="520"/>
      <c r="T1002" s="489"/>
      <c r="U1002" s="490"/>
      <c r="V1002" s="493"/>
      <c r="W1002" s="485"/>
      <c r="X1002" s="496"/>
      <c r="Y1002" s="486"/>
      <c r="Z1002" s="499"/>
      <c r="AA1002" s="504"/>
      <c r="AB1002" s="505"/>
      <c r="AC1002" s="476" t="s">
        <v>261</v>
      </c>
      <c r="AD1002" s="477"/>
      <c r="AE1002" s="478"/>
      <c r="AF1002" s="102"/>
      <c r="AG1002" s="102"/>
      <c r="AH1002" s="102"/>
      <c r="AI1002" s="102"/>
      <c r="AJ1002" s="102"/>
      <c r="AK1002" s="102"/>
      <c r="AL1002" s="102"/>
      <c r="AM1002" s="102"/>
      <c r="AN1002" s="102"/>
      <c r="AO1002" s="102"/>
      <c r="AP1002" s="102"/>
      <c r="AQ1002" s="103"/>
      <c r="AR1002" s="105">
        <f t="shared" si="1907"/>
        <v>0</v>
      </c>
      <c r="AS1002" s="131" t="s">
        <v>161</v>
      </c>
      <c r="AT1002" s="132">
        <f t="shared" ref="AT1002:AX1002" si="1908">SUM(AT999:AT1001)</f>
        <v>0</v>
      </c>
      <c r="AU1002" s="132">
        <f t="shared" si="1908"/>
        <v>0</v>
      </c>
      <c r="AV1002" s="132">
        <f t="shared" si="1908"/>
        <v>0</v>
      </c>
      <c r="AW1002" s="133">
        <f t="shared" si="1908"/>
        <v>0</v>
      </c>
      <c r="AX1002" s="127">
        <f t="shared" si="1908"/>
        <v>0</v>
      </c>
      <c r="AY1002" s="144" t="s">
        <v>161</v>
      </c>
      <c r="AZ1002" s="140">
        <f t="shared" ref="AZ1002:BB1002" si="1909">SUM(AZ999:AZ1001)</f>
        <v>0</v>
      </c>
      <c r="BA1002" s="140">
        <f t="shared" si="1909"/>
        <v>0</v>
      </c>
      <c r="BB1002" s="140">
        <f t="shared" si="1909"/>
        <v>0</v>
      </c>
      <c r="BC1002" s="479" t="s">
        <v>263</v>
      </c>
      <c r="BD1002" s="480"/>
      <c r="BE1002" s="15"/>
      <c r="BF1002" s="18"/>
      <c r="BG1002" s="15"/>
      <c r="BH1002" s="18"/>
      <c r="BI1002" s="15"/>
      <c r="BJ1002" s="18"/>
      <c r="BK1002" s="15"/>
      <c r="BL1002" s="18"/>
      <c r="BM1002" s="15"/>
      <c r="BN1002" s="18"/>
      <c r="BO1002" s="15"/>
      <c r="BP1002" s="18"/>
      <c r="BQ1002" s="109">
        <f t="shared" si="1890"/>
        <v>0</v>
      </c>
      <c r="BR1002" s="568"/>
      <c r="BS1002" s="573"/>
      <c r="BT1002" s="574"/>
      <c r="BU1002" s="559"/>
      <c r="BV1002" s="562"/>
      <c r="BW1002" s="565"/>
      <c r="BX1002" s="617"/>
    </row>
    <row r="1003" spans="1:76" ht="15.75" thickTop="1" x14ac:dyDescent="0.25">
      <c r="A1003" s="585">
        <v>249</v>
      </c>
      <c r="B1003" s="588"/>
      <c r="C1003" s="589"/>
      <c r="D1003" s="604"/>
      <c r="E1003" s="515"/>
      <c r="F1003" s="516"/>
      <c r="G1003" s="521"/>
      <c r="H1003" s="522"/>
      <c r="I1003" s="527"/>
      <c r="J1003" s="528"/>
      <c r="K1003" s="512" t="e">
        <f t="shared" ref="K1003" si="1910">INT(YEARFRAC(I1003,AA1003))</f>
        <v>#VALUE!</v>
      </c>
      <c r="L1003" s="533">
        <f t="shared" ref="L1003" ca="1" si="1911">INT(YEARFRAC(I1003,TODAY()))</f>
        <v>121</v>
      </c>
      <c r="M1003" s="536"/>
      <c r="N1003" s="539"/>
      <c r="O1003" s="540"/>
      <c r="P1003" s="481"/>
      <c r="Q1003" s="482"/>
      <c r="R1003" s="515"/>
      <c r="S1003" s="516"/>
      <c r="T1003" s="487"/>
      <c r="U1003" s="488"/>
      <c r="V1003" s="491"/>
      <c r="W1003" s="481"/>
      <c r="X1003" s="494"/>
      <c r="Y1003" s="482"/>
      <c r="Z1003" s="497"/>
      <c r="AA1003" s="500" t="s">
        <v>490</v>
      </c>
      <c r="AB1003" s="501"/>
      <c r="AC1003" s="506" t="s">
        <v>257</v>
      </c>
      <c r="AD1003" s="507"/>
      <c r="AE1003" s="507"/>
      <c r="AF1003" s="510"/>
      <c r="AG1003" s="510"/>
      <c r="AH1003" s="510"/>
      <c r="AI1003" s="510"/>
      <c r="AJ1003" s="510"/>
      <c r="AK1003" s="510"/>
      <c r="AL1003" s="510"/>
      <c r="AM1003" s="510"/>
      <c r="AN1003" s="510"/>
      <c r="AO1003" s="510"/>
      <c r="AP1003" s="510"/>
      <c r="AQ1003" s="465"/>
      <c r="AR1003" s="467">
        <f t="shared" ref="AR1003" si="1912">SUM(AF1003:AQ1004)</f>
        <v>0</v>
      </c>
      <c r="AS1003" s="119" t="s">
        <v>257</v>
      </c>
      <c r="AT1003" s="120"/>
      <c r="AU1003" s="120"/>
      <c r="AV1003" s="120"/>
      <c r="AW1003" s="121"/>
      <c r="AX1003" s="125">
        <f t="shared" ref="AX1003:AX1005" si="1913">SUM(AT1003:AW1003)</f>
        <v>0</v>
      </c>
      <c r="AY1003" s="141" t="s">
        <v>257</v>
      </c>
      <c r="AZ1003" s="137"/>
      <c r="BA1003" s="137"/>
      <c r="BB1003" s="134">
        <f t="shared" ref="BB1003:BB1005" si="1914">AZ1003-BA1003</f>
        <v>0</v>
      </c>
      <c r="BC1003" s="469" t="s">
        <v>258</v>
      </c>
      <c r="BD1003" s="470"/>
      <c r="BE1003" s="13"/>
      <c r="BF1003" s="16"/>
      <c r="BG1003" s="13"/>
      <c r="BH1003" s="16"/>
      <c r="BI1003" s="13"/>
      <c r="BJ1003" s="16"/>
      <c r="BK1003" s="13"/>
      <c r="BL1003" s="16"/>
      <c r="BM1003" s="13"/>
      <c r="BN1003" s="16"/>
      <c r="BO1003" s="13"/>
      <c r="BP1003" s="16"/>
      <c r="BQ1003" s="106">
        <f t="shared" si="1890"/>
        <v>0</v>
      </c>
      <c r="BR1003" s="566"/>
      <c r="BS1003" s="569"/>
      <c r="BT1003" s="570"/>
      <c r="BU1003" s="557"/>
      <c r="BV1003" s="560"/>
      <c r="BW1003" s="563"/>
      <c r="BX1003" s="615"/>
    </row>
    <row r="1004" spans="1:76" x14ac:dyDescent="0.25">
      <c r="A1004" s="586"/>
      <c r="B1004" s="590"/>
      <c r="C1004" s="591"/>
      <c r="D1004" s="605"/>
      <c r="E1004" s="517"/>
      <c r="F1004" s="518"/>
      <c r="G1004" s="523"/>
      <c r="H1004" s="524"/>
      <c r="I1004" s="529"/>
      <c r="J1004" s="530"/>
      <c r="K1004" s="513"/>
      <c r="L1004" s="534"/>
      <c r="M1004" s="537"/>
      <c r="N1004" s="541"/>
      <c r="O1004" s="542"/>
      <c r="P1004" s="483"/>
      <c r="Q1004" s="484"/>
      <c r="R1004" s="517"/>
      <c r="S1004" s="518"/>
      <c r="T1004" s="487"/>
      <c r="U1004" s="488"/>
      <c r="V1004" s="492"/>
      <c r="W1004" s="483"/>
      <c r="X1004" s="495"/>
      <c r="Y1004" s="484"/>
      <c r="Z1004" s="498"/>
      <c r="AA1004" s="502"/>
      <c r="AB1004" s="503"/>
      <c r="AC1004" s="508"/>
      <c r="AD1004" s="509"/>
      <c r="AE1004" s="509"/>
      <c r="AF1004" s="511"/>
      <c r="AG1004" s="511"/>
      <c r="AH1004" s="511"/>
      <c r="AI1004" s="511"/>
      <c r="AJ1004" s="511"/>
      <c r="AK1004" s="511"/>
      <c r="AL1004" s="511"/>
      <c r="AM1004" s="511"/>
      <c r="AN1004" s="511"/>
      <c r="AO1004" s="511"/>
      <c r="AP1004" s="511"/>
      <c r="AQ1004" s="466"/>
      <c r="AR1004" s="468"/>
      <c r="AS1004" s="122" t="s">
        <v>259</v>
      </c>
      <c r="AT1004" s="123"/>
      <c r="AU1004" s="123"/>
      <c r="AV1004" s="123"/>
      <c r="AW1004" s="124"/>
      <c r="AX1004" s="126">
        <f t="shared" si="1913"/>
        <v>0</v>
      </c>
      <c r="AY1004" s="142" t="s">
        <v>259</v>
      </c>
      <c r="AZ1004" s="138"/>
      <c r="BA1004" s="138"/>
      <c r="BB1004" s="135">
        <f t="shared" si="1914"/>
        <v>0</v>
      </c>
      <c r="BC1004" s="474" t="s">
        <v>260</v>
      </c>
      <c r="BD1004" s="475"/>
      <c r="BE1004" s="14"/>
      <c r="BF1004" s="17"/>
      <c r="BG1004" s="14"/>
      <c r="BH1004" s="17"/>
      <c r="BI1004" s="14"/>
      <c r="BJ1004" s="17"/>
      <c r="BK1004" s="14"/>
      <c r="BL1004" s="17"/>
      <c r="BM1004" s="14"/>
      <c r="BN1004" s="17"/>
      <c r="BO1004" s="14"/>
      <c r="BP1004" s="17"/>
      <c r="BQ1004" s="107">
        <f t="shared" si="1890"/>
        <v>0</v>
      </c>
      <c r="BR1004" s="567"/>
      <c r="BS1004" s="571"/>
      <c r="BT1004" s="572"/>
      <c r="BU1004" s="558"/>
      <c r="BV1004" s="561"/>
      <c r="BW1004" s="564"/>
      <c r="BX1004" s="616"/>
    </row>
    <row r="1005" spans="1:76" ht="15.75" thickBot="1" x14ac:dyDescent="0.3">
      <c r="A1005" s="586"/>
      <c r="B1005" s="590"/>
      <c r="C1005" s="591"/>
      <c r="D1005" s="605"/>
      <c r="E1005" s="517"/>
      <c r="F1005" s="518"/>
      <c r="G1005" s="523"/>
      <c r="H1005" s="524"/>
      <c r="I1005" s="529"/>
      <c r="J1005" s="530"/>
      <c r="K1005" s="513"/>
      <c r="L1005" s="534"/>
      <c r="M1005" s="537"/>
      <c r="N1005" s="541"/>
      <c r="O1005" s="542"/>
      <c r="P1005" s="483"/>
      <c r="Q1005" s="484"/>
      <c r="R1005" s="517"/>
      <c r="S1005" s="518"/>
      <c r="T1005" s="487"/>
      <c r="U1005" s="488"/>
      <c r="V1005" s="492"/>
      <c r="W1005" s="483"/>
      <c r="X1005" s="495"/>
      <c r="Y1005" s="484"/>
      <c r="Z1005" s="498"/>
      <c r="AA1005" s="502"/>
      <c r="AB1005" s="503"/>
      <c r="AC1005" s="471" t="s">
        <v>259</v>
      </c>
      <c r="AD1005" s="472"/>
      <c r="AE1005" s="473"/>
      <c r="AF1005" s="100"/>
      <c r="AG1005" s="100"/>
      <c r="AH1005" s="100"/>
      <c r="AI1005" s="100"/>
      <c r="AJ1005" s="100"/>
      <c r="AK1005" s="100"/>
      <c r="AL1005" s="100"/>
      <c r="AM1005" s="100"/>
      <c r="AN1005" s="100"/>
      <c r="AO1005" s="100"/>
      <c r="AP1005" s="100"/>
      <c r="AQ1005" s="101"/>
      <c r="AR1005" s="104">
        <f t="shared" ref="AR1005:AR1006" si="1915">SUM(AF1005:AQ1005)</f>
        <v>0</v>
      </c>
      <c r="AS1005" s="128" t="s">
        <v>261</v>
      </c>
      <c r="AT1005" s="129"/>
      <c r="AU1005" s="129"/>
      <c r="AV1005" s="129"/>
      <c r="AW1005" s="130"/>
      <c r="AX1005" s="126">
        <f t="shared" si="1913"/>
        <v>0</v>
      </c>
      <c r="AY1005" s="143" t="s">
        <v>261</v>
      </c>
      <c r="AZ1005" s="139"/>
      <c r="BA1005" s="139"/>
      <c r="BB1005" s="136">
        <f t="shared" si="1914"/>
        <v>0</v>
      </c>
      <c r="BC1005" s="474" t="s">
        <v>262</v>
      </c>
      <c r="BD1005" s="475"/>
      <c r="BE1005" s="14"/>
      <c r="BF1005" s="17"/>
      <c r="BG1005" s="14"/>
      <c r="BH1005" s="17"/>
      <c r="BI1005" s="14"/>
      <c r="BJ1005" s="17"/>
      <c r="BK1005" s="14"/>
      <c r="BL1005" s="17"/>
      <c r="BM1005" s="14"/>
      <c r="BN1005" s="17"/>
      <c r="BO1005" s="14"/>
      <c r="BP1005" s="17"/>
      <c r="BQ1005" s="108">
        <f t="shared" si="1890"/>
        <v>0</v>
      </c>
      <c r="BR1005" s="567"/>
      <c r="BS1005" s="571"/>
      <c r="BT1005" s="572"/>
      <c r="BU1005" s="558"/>
      <c r="BV1005" s="561"/>
      <c r="BW1005" s="564"/>
      <c r="BX1005" s="616"/>
    </row>
    <row r="1006" spans="1:76" ht="15.75" thickBot="1" x14ac:dyDescent="0.3">
      <c r="A1006" s="587"/>
      <c r="B1006" s="592"/>
      <c r="C1006" s="593"/>
      <c r="D1006" s="606"/>
      <c r="E1006" s="519"/>
      <c r="F1006" s="520"/>
      <c r="G1006" s="525"/>
      <c r="H1006" s="526"/>
      <c r="I1006" s="531"/>
      <c r="J1006" s="532"/>
      <c r="K1006" s="514"/>
      <c r="L1006" s="535"/>
      <c r="M1006" s="538"/>
      <c r="N1006" s="543"/>
      <c r="O1006" s="544"/>
      <c r="P1006" s="485"/>
      <c r="Q1006" s="486"/>
      <c r="R1006" s="519"/>
      <c r="S1006" s="520"/>
      <c r="T1006" s="489"/>
      <c r="U1006" s="490"/>
      <c r="V1006" s="493"/>
      <c r="W1006" s="485"/>
      <c r="X1006" s="496"/>
      <c r="Y1006" s="486"/>
      <c r="Z1006" s="499"/>
      <c r="AA1006" s="504"/>
      <c r="AB1006" s="505"/>
      <c r="AC1006" s="476" t="s">
        <v>261</v>
      </c>
      <c r="AD1006" s="477"/>
      <c r="AE1006" s="478"/>
      <c r="AF1006" s="102"/>
      <c r="AG1006" s="102"/>
      <c r="AH1006" s="102"/>
      <c r="AI1006" s="102"/>
      <c r="AJ1006" s="102"/>
      <c r="AK1006" s="102"/>
      <c r="AL1006" s="102"/>
      <c r="AM1006" s="102"/>
      <c r="AN1006" s="102"/>
      <c r="AO1006" s="102"/>
      <c r="AP1006" s="102"/>
      <c r="AQ1006" s="103"/>
      <c r="AR1006" s="105">
        <f t="shared" si="1915"/>
        <v>0</v>
      </c>
      <c r="AS1006" s="131" t="s">
        <v>161</v>
      </c>
      <c r="AT1006" s="132">
        <f t="shared" ref="AT1006:AX1006" si="1916">SUM(AT1003:AT1005)</f>
        <v>0</v>
      </c>
      <c r="AU1006" s="132">
        <f t="shared" si="1916"/>
        <v>0</v>
      </c>
      <c r="AV1006" s="132">
        <f t="shared" si="1916"/>
        <v>0</v>
      </c>
      <c r="AW1006" s="133">
        <f t="shared" si="1916"/>
        <v>0</v>
      </c>
      <c r="AX1006" s="127">
        <f t="shared" si="1916"/>
        <v>0</v>
      </c>
      <c r="AY1006" s="144" t="s">
        <v>161</v>
      </c>
      <c r="AZ1006" s="140">
        <f t="shared" ref="AZ1006:BB1006" si="1917">SUM(AZ1003:AZ1005)</f>
        <v>0</v>
      </c>
      <c r="BA1006" s="140">
        <f t="shared" si="1917"/>
        <v>0</v>
      </c>
      <c r="BB1006" s="140">
        <f t="shared" si="1917"/>
        <v>0</v>
      </c>
      <c r="BC1006" s="479" t="s">
        <v>263</v>
      </c>
      <c r="BD1006" s="480"/>
      <c r="BE1006" s="15"/>
      <c r="BF1006" s="18"/>
      <c r="BG1006" s="15"/>
      <c r="BH1006" s="18"/>
      <c r="BI1006" s="15"/>
      <c r="BJ1006" s="18"/>
      <c r="BK1006" s="15"/>
      <c r="BL1006" s="18"/>
      <c r="BM1006" s="15"/>
      <c r="BN1006" s="18"/>
      <c r="BO1006" s="15"/>
      <c r="BP1006" s="18"/>
      <c r="BQ1006" s="109">
        <f t="shared" si="1890"/>
        <v>0</v>
      </c>
      <c r="BR1006" s="568"/>
      <c r="BS1006" s="573"/>
      <c r="BT1006" s="574"/>
      <c r="BU1006" s="559"/>
      <c r="BV1006" s="562"/>
      <c r="BW1006" s="565"/>
      <c r="BX1006" s="617"/>
    </row>
    <row r="1007" spans="1:76" ht="15.75" thickTop="1" x14ac:dyDescent="0.25">
      <c r="A1007" s="585">
        <v>250</v>
      </c>
      <c r="B1007" s="588"/>
      <c r="C1007" s="589"/>
      <c r="D1007" s="604"/>
      <c r="E1007" s="515"/>
      <c r="F1007" s="516"/>
      <c r="G1007" s="521"/>
      <c r="H1007" s="522"/>
      <c r="I1007" s="527"/>
      <c r="J1007" s="528"/>
      <c r="K1007" s="512" t="e">
        <f t="shared" ref="K1007" si="1918">INT(YEARFRAC(I1007,AA1007))</f>
        <v>#VALUE!</v>
      </c>
      <c r="L1007" s="533">
        <f t="shared" ref="L1007" ca="1" si="1919">INT(YEARFRAC(I1007,TODAY()))</f>
        <v>121</v>
      </c>
      <c r="M1007" s="536"/>
      <c r="N1007" s="539"/>
      <c r="O1007" s="540"/>
      <c r="P1007" s="481"/>
      <c r="Q1007" s="482"/>
      <c r="R1007" s="515"/>
      <c r="S1007" s="516"/>
      <c r="T1007" s="487"/>
      <c r="U1007" s="488"/>
      <c r="V1007" s="491"/>
      <c r="W1007" s="481"/>
      <c r="X1007" s="494"/>
      <c r="Y1007" s="482"/>
      <c r="Z1007" s="497"/>
      <c r="AA1007" s="500" t="s">
        <v>491</v>
      </c>
      <c r="AB1007" s="501"/>
      <c r="AC1007" s="506" t="s">
        <v>257</v>
      </c>
      <c r="AD1007" s="507"/>
      <c r="AE1007" s="507"/>
      <c r="AF1007" s="510"/>
      <c r="AG1007" s="510"/>
      <c r="AH1007" s="510"/>
      <c r="AI1007" s="510"/>
      <c r="AJ1007" s="510"/>
      <c r="AK1007" s="510"/>
      <c r="AL1007" s="510"/>
      <c r="AM1007" s="510"/>
      <c r="AN1007" s="510"/>
      <c r="AO1007" s="510"/>
      <c r="AP1007" s="510"/>
      <c r="AQ1007" s="465"/>
      <c r="AR1007" s="467">
        <f t="shared" ref="AR1007" si="1920">SUM(AF1007:AQ1008)</f>
        <v>0</v>
      </c>
      <c r="AS1007" s="119" t="s">
        <v>257</v>
      </c>
      <c r="AT1007" s="120"/>
      <c r="AU1007" s="120"/>
      <c r="AV1007" s="120"/>
      <c r="AW1007" s="121"/>
      <c r="AX1007" s="125">
        <f t="shared" ref="AX1007:AX1009" si="1921">SUM(AT1007:AW1007)</f>
        <v>0</v>
      </c>
      <c r="AY1007" s="141" t="s">
        <v>257</v>
      </c>
      <c r="AZ1007" s="137"/>
      <c r="BA1007" s="137"/>
      <c r="BB1007" s="134">
        <f t="shared" ref="BB1007:BB1009" si="1922">AZ1007-BA1007</f>
        <v>0</v>
      </c>
      <c r="BC1007" s="469" t="s">
        <v>258</v>
      </c>
      <c r="BD1007" s="470"/>
      <c r="BE1007" s="13"/>
      <c r="BF1007" s="16"/>
      <c r="BG1007" s="13"/>
      <c r="BH1007" s="16"/>
      <c r="BI1007" s="13"/>
      <c r="BJ1007" s="16"/>
      <c r="BK1007" s="13"/>
      <c r="BL1007" s="16"/>
      <c r="BM1007" s="13"/>
      <c r="BN1007" s="16"/>
      <c r="BO1007" s="13"/>
      <c r="BP1007" s="16"/>
      <c r="BQ1007" s="106">
        <f t="shared" si="1890"/>
        <v>0</v>
      </c>
      <c r="BR1007" s="566"/>
      <c r="BS1007" s="569"/>
      <c r="BT1007" s="570"/>
      <c r="BU1007" s="557"/>
      <c r="BV1007" s="560"/>
      <c r="BW1007" s="563"/>
      <c r="BX1007" s="615"/>
    </row>
    <row r="1008" spans="1:76" x14ac:dyDescent="0.25">
      <c r="A1008" s="586"/>
      <c r="B1008" s="590"/>
      <c r="C1008" s="591"/>
      <c r="D1008" s="605"/>
      <c r="E1008" s="517"/>
      <c r="F1008" s="518"/>
      <c r="G1008" s="523"/>
      <c r="H1008" s="524"/>
      <c r="I1008" s="529"/>
      <c r="J1008" s="530"/>
      <c r="K1008" s="513"/>
      <c r="L1008" s="534"/>
      <c r="M1008" s="537"/>
      <c r="N1008" s="541"/>
      <c r="O1008" s="542"/>
      <c r="P1008" s="483"/>
      <c r="Q1008" s="484"/>
      <c r="R1008" s="517"/>
      <c r="S1008" s="518"/>
      <c r="T1008" s="487"/>
      <c r="U1008" s="488"/>
      <c r="V1008" s="492"/>
      <c r="W1008" s="483"/>
      <c r="X1008" s="495"/>
      <c r="Y1008" s="484"/>
      <c r="Z1008" s="498"/>
      <c r="AA1008" s="502"/>
      <c r="AB1008" s="503"/>
      <c r="AC1008" s="508"/>
      <c r="AD1008" s="509"/>
      <c r="AE1008" s="509"/>
      <c r="AF1008" s="511"/>
      <c r="AG1008" s="511"/>
      <c r="AH1008" s="511"/>
      <c r="AI1008" s="511"/>
      <c r="AJ1008" s="511"/>
      <c r="AK1008" s="511"/>
      <c r="AL1008" s="511"/>
      <c r="AM1008" s="511"/>
      <c r="AN1008" s="511"/>
      <c r="AO1008" s="511"/>
      <c r="AP1008" s="511"/>
      <c r="AQ1008" s="466"/>
      <c r="AR1008" s="468"/>
      <c r="AS1008" s="122" t="s">
        <v>259</v>
      </c>
      <c r="AT1008" s="123"/>
      <c r="AU1008" s="123"/>
      <c r="AV1008" s="123"/>
      <c r="AW1008" s="124"/>
      <c r="AX1008" s="126">
        <f t="shared" si="1921"/>
        <v>0</v>
      </c>
      <c r="AY1008" s="142" t="s">
        <v>259</v>
      </c>
      <c r="AZ1008" s="138"/>
      <c r="BA1008" s="138"/>
      <c r="BB1008" s="135">
        <f t="shared" si="1922"/>
        <v>0</v>
      </c>
      <c r="BC1008" s="474" t="s">
        <v>260</v>
      </c>
      <c r="BD1008" s="475"/>
      <c r="BE1008" s="14"/>
      <c r="BF1008" s="17"/>
      <c r="BG1008" s="14"/>
      <c r="BH1008" s="17"/>
      <c r="BI1008" s="14"/>
      <c r="BJ1008" s="17"/>
      <c r="BK1008" s="14"/>
      <c r="BL1008" s="17"/>
      <c r="BM1008" s="14"/>
      <c r="BN1008" s="17"/>
      <c r="BO1008" s="14"/>
      <c r="BP1008" s="17"/>
      <c r="BQ1008" s="107">
        <f t="shared" si="1890"/>
        <v>0</v>
      </c>
      <c r="BR1008" s="567"/>
      <c r="BS1008" s="571"/>
      <c r="BT1008" s="572"/>
      <c r="BU1008" s="558"/>
      <c r="BV1008" s="561"/>
      <c r="BW1008" s="564"/>
      <c r="BX1008" s="616"/>
    </row>
    <row r="1009" spans="1:76" ht="15.75" thickBot="1" x14ac:dyDescent="0.3">
      <c r="A1009" s="586"/>
      <c r="B1009" s="590"/>
      <c r="C1009" s="591"/>
      <c r="D1009" s="605"/>
      <c r="E1009" s="517"/>
      <c r="F1009" s="518"/>
      <c r="G1009" s="523"/>
      <c r="H1009" s="524"/>
      <c r="I1009" s="529"/>
      <c r="J1009" s="530"/>
      <c r="K1009" s="513"/>
      <c r="L1009" s="534"/>
      <c r="M1009" s="537"/>
      <c r="N1009" s="541"/>
      <c r="O1009" s="542"/>
      <c r="P1009" s="483"/>
      <c r="Q1009" s="484"/>
      <c r="R1009" s="517"/>
      <c r="S1009" s="518"/>
      <c r="T1009" s="487"/>
      <c r="U1009" s="488"/>
      <c r="V1009" s="492"/>
      <c r="W1009" s="483"/>
      <c r="X1009" s="495"/>
      <c r="Y1009" s="484"/>
      <c r="Z1009" s="498"/>
      <c r="AA1009" s="502"/>
      <c r="AB1009" s="503"/>
      <c r="AC1009" s="471" t="s">
        <v>259</v>
      </c>
      <c r="AD1009" s="472"/>
      <c r="AE1009" s="473"/>
      <c r="AF1009" s="100"/>
      <c r="AG1009" s="100"/>
      <c r="AH1009" s="100"/>
      <c r="AI1009" s="100"/>
      <c r="AJ1009" s="100"/>
      <c r="AK1009" s="100"/>
      <c r="AL1009" s="100"/>
      <c r="AM1009" s="100"/>
      <c r="AN1009" s="100"/>
      <c r="AO1009" s="100"/>
      <c r="AP1009" s="100"/>
      <c r="AQ1009" s="101"/>
      <c r="AR1009" s="104">
        <f t="shared" ref="AR1009:AR1010" si="1923">SUM(AF1009:AQ1009)</f>
        <v>0</v>
      </c>
      <c r="AS1009" s="128" t="s">
        <v>261</v>
      </c>
      <c r="AT1009" s="129"/>
      <c r="AU1009" s="129"/>
      <c r="AV1009" s="129"/>
      <c r="AW1009" s="130"/>
      <c r="AX1009" s="126">
        <f t="shared" si="1921"/>
        <v>0</v>
      </c>
      <c r="AY1009" s="143" t="s">
        <v>261</v>
      </c>
      <c r="AZ1009" s="139"/>
      <c r="BA1009" s="139"/>
      <c r="BB1009" s="136">
        <f t="shared" si="1922"/>
        <v>0</v>
      </c>
      <c r="BC1009" s="474" t="s">
        <v>262</v>
      </c>
      <c r="BD1009" s="475"/>
      <c r="BE1009" s="14"/>
      <c r="BF1009" s="17"/>
      <c r="BG1009" s="14"/>
      <c r="BH1009" s="17"/>
      <c r="BI1009" s="14"/>
      <c r="BJ1009" s="17"/>
      <c r="BK1009" s="14"/>
      <c r="BL1009" s="17"/>
      <c r="BM1009" s="14"/>
      <c r="BN1009" s="17"/>
      <c r="BO1009" s="14"/>
      <c r="BP1009" s="17"/>
      <c r="BQ1009" s="108">
        <f t="shared" si="1890"/>
        <v>0</v>
      </c>
      <c r="BR1009" s="567"/>
      <c r="BS1009" s="571"/>
      <c r="BT1009" s="572"/>
      <c r="BU1009" s="558"/>
      <c r="BV1009" s="561"/>
      <c r="BW1009" s="564"/>
      <c r="BX1009" s="616"/>
    </row>
    <row r="1010" spans="1:76" ht="15.75" thickBot="1" x14ac:dyDescent="0.3">
      <c r="A1010" s="587"/>
      <c r="B1010" s="592"/>
      <c r="C1010" s="593"/>
      <c r="D1010" s="606"/>
      <c r="E1010" s="519"/>
      <c r="F1010" s="520"/>
      <c r="G1010" s="525"/>
      <c r="H1010" s="526"/>
      <c r="I1010" s="531"/>
      <c r="J1010" s="532"/>
      <c r="K1010" s="514"/>
      <c r="L1010" s="535"/>
      <c r="M1010" s="538"/>
      <c r="N1010" s="543"/>
      <c r="O1010" s="544"/>
      <c r="P1010" s="485"/>
      <c r="Q1010" s="486"/>
      <c r="R1010" s="519"/>
      <c r="S1010" s="520"/>
      <c r="T1010" s="489"/>
      <c r="U1010" s="490"/>
      <c r="V1010" s="493"/>
      <c r="W1010" s="485"/>
      <c r="X1010" s="496"/>
      <c r="Y1010" s="486"/>
      <c r="Z1010" s="499"/>
      <c r="AA1010" s="504"/>
      <c r="AB1010" s="505"/>
      <c r="AC1010" s="476" t="s">
        <v>261</v>
      </c>
      <c r="AD1010" s="477"/>
      <c r="AE1010" s="478"/>
      <c r="AF1010" s="102"/>
      <c r="AG1010" s="102"/>
      <c r="AH1010" s="102"/>
      <c r="AI1010" s="102"/>
      <c r="AJ1010" s="102"/>
      <c r="AK1010" s="102"/>
      <c r="AL1010" s="102"/>
      <c r="AM1010" s="102"/>
      <c r="AN1010" s="102"/>
      <c r="AO1010" s="102"/>
      <c r="AP1010" s="102"/>
      <c r="AQ1010" s="103"/>
      <c r="AR1010" s="105">
        <f t="shared" si="1923"/>
        <v>0</v>
      </c>
      <c r="AS1010" s="131" t="s">
        <v>161</v>
      </c>
      <c r="AT1010" s="132">
        <f t="shared" ref="AT1010:AX1010" si="1924">SUM(AT1007:AT1009)</f>
        <v>0</v>
      </c>
      <c r="AU1010" s="132">
        <f t="shared" si="1924"/>
        <v>0</v>
      </c>
      <c r="AV1010" s="132">
        <f t="shared" si="1924"/>
        <v>0</v>
      </c>
      <c r="AW1010" s="133">
        <f t="shared" si="1924"/>
        <v>0</v>
      </c>
      <c r="AX1010" s="127">
        <f t="shared" si="1924"/>
        <v>0</v>
      </c>
      <c r="AY1010" s="144" t="s">
        <v>161</v>
      </c>
      <c r="AZ1010" s="140">
        <f t="shared" ref="AZ1010:BB1010" si="1925">SUM(AZ1007:AZ1009)</f>
        <v>0</v>
      </c>
      <c r="BA1010" s="140">
        <f t="shared" si="1925"/>
        <v>0</v>
      </c>
      <c r="BB1010" s="140">
        <f t="shared" si="1925"/>
        <v>0</v>
      </c>
      <c r="BC1010" s="479" t="s">
        <v>263</v>
      </c>
      <c r="BD1010" s="480"/>
      <c r="BE1010" s="15"/>
      <c r="BF1010" s="18"/>
      <c r="BG1010" s="15"/>
      <c r="BH1010" s="18"/>
      <c r="BI1010" s="15"/>
      <c r="BJ1010" s="18"/>
      <c r="BK1010" s="15"/>
      <c r="BL1010" s="18"/>
      <c r="BM1010" s="15"/>
      <c r="BN1010" s="18"/>
      <c r="BO1010" s="15"/>
      <c r="BP1010" s="18"/>
      <c r="BQ1010" s="109">
        <f t="shared" si="1890"/>
        <v>0</v>
      </c>
      <c r="BR1010" s="568"/>
      <c r="BS1010" s="573"/>
      <c r="BT1010" s="574"/>
      <c r="BU1010" s="559"/>
      <c r="BV1010" s="562"/>
      <c r="BW1010" s="565"/>
      <c r="BX1010" s="617"/>
    </row>
    <row r="1011" spans="1:76" ht="15.75" thickTop="1" x14ac:dyDescent="0.25">
      <c r="A1011" s="585">
        <v>251</v>
      </c>
      <c r="B1011" s="588"/>
      <c r="C1011" s="589"/>
      <c r="D1011" s="604"/>
      <c r="E1011" s="515"/>
      <c r="F1011" s="516"/>
      <c r="G1011" s="521"/>
      <c r="H1011" s="522"/>
      <c r="I1011" s="527"/>
      <c r="J1011" s="528"/>
      <c r="K1011" s="512" t="e">
        <f t="shared" ref="K1011" si="1926">INT(YEARFRAC(I1011,AA1011))</f>
        <v>#VALUE!</v>
      </c>
      <c r="L1011" s="533">
        <f t="shared" ref="L1011" ca="1" si="1927">INT(YEARFRAC(I1011,TODAY()))</f>
        <v>121</v>
      </c>
      <c r="M1011" s="536"/>
      <c r="N1011" s="539"/>
      <c r="O1011" s="540"/>
      <c r="P1011" s="481"/>
      <c r="Q1011" s="482"/>
      <c r="R1011" s="515"/>
      <c r="S1011" s="516"/>
      <c r="T1011" s="487"/>
      <c r="U1011" s="488"/>
      <c r="V1011" s="491"/>
      <c r="W1011" s="481"/>
      <c r="X1011" s="494"/>
      <c r="Y1011" s="482"/>
      <c r="Z1011" s="497"/>
      <c r="AA1011" s="500" t="s">
        <v>492</v>
      </c>
      <c r="AB1011" s="501"/>
      <c r="AC1011" s="506" t="s">
        <v>257</v>
      </c>
      <c r="AD1011" s="507"/>
      <c r="AE1011" s="507"/>
      <c r="AF1011" s="510"/>
      <c r="AG1011" s="510"/>
      <c r="AH1011" s="510"/>
      <c r="AI1011" s="510"/>
      <c r="AJ1011" s="510"/>
      <c r="AK1011" s="510"/>
      <c r="AL1011" s="510"/>
      <c r="AM1011" s="510"/>
      <c r="AN1011" s="510"/>
      <c r="AO1011" s="510"/>
      <c r="AP1011" s="510"/>
      <c r="AQ1011" s="465"/>
      <c r="AR1011" s="467">
        <f t="shared" ref="AR1011" si="1928">SUM(AF1011:AQ1012)</f>
        <v>0</v>
      </c>
      <c r="AS1011" s="119" t="s">
        <v>257</v>
      </c>
      <c r="AT1011" s="120"/>
      <c r="AU1011" s="120"/>
      <c r="AV1011" s="120"/>
      <c r="AW1011" s="121"/>
      <c r="AX1011" s="125">
        <f t="shared" ref="AX1011:AX1013" si="1929">SUM(AT1011:AW1011)</f>
        <v>0</v>
      </c>
      <c r="AY1011" s="141" t="s">
        <v>257</v>
      </c>
      <c r="AZ1011" s="137"/>
      <c r="BA1011" s="137"/>
      <c r="BB1011" s="134">
        <f t="shared" ref="BB1011:BB1013" si="1930">AZ1011-BA1011</f>
        <v>0</v>
      </c>
      <c r="BC1011" s="469" t="s">
        <v>258</v>
      </c>
      <c r="BD1011" s="470"/>
      <c r="BE1011" s="13"/>
      <c r="BF1011" s="16"/>
      <c r="BG1011" s="13"/>
      <c r="BH1011" s="16"/>
      <c r="BI1011" s="13"/>
      <c r="BJ1011" s="16"/>
      <c r="BK1011" s="13"/>
      <c r="BL1011" s="16"/>
      <c r="BM1011" s="13"/>
      <c r="BN1011" s="16"/>
      <c r="BO1011" s="13"/>
      <c r="BP1011" s="16"/>
      <c r="BQ1011" s="106">
        <f t="shared" si="1890"/>
        <v>0</v>
      </c>
      <c r="BR1011" s="566"/>
      <c r="BS1011" s="569"/>
      <c r="BT1011" s="570"/>
      <c r="BU1011" s="557"/>
      <c r="BV1011" s="560"/>
      <c r="BW1011" s="563"/>
      <c r="BX1011" s="615"/>
    </row>
    <row r="1012" spans="1:76" x14ac:dyDescent="0.25">
      <c r="A1012" s="586"/>
      <c r="B1012" s="590"/>
      <c r="C1012" s="591"/>
      <c r="D1012" s="605"/>
      <c r="E1012" s="517"/>
      <c r="F1012" s="518"/>
      <c r="G1012" s="523"/>
      <c r="H1012" s="524"/>
      <c r="I1012" s="529"/>
      <c r="J1012" s="530"/>
      <c r="K1012" s="513"/>
      <c r="L1012" s="534"/>
      <c r="M1012" s="537"/>
      <c r="N1012" s="541"/>
      <c r="O1012" s="542"/>
      <c r="P1012" s="483"/>
      <c r="Q1012" s="484"/>
      <c r="R1012" s="517"/>
      <c r="S1012" s="518"/>
      <c r="T1012" s="487"/>
      <c r="U1012" s="488"/>
      <c r="V1012" s="492"/>
      <c r="W1012" s="483"/>
      <c r="X1012" s="495"/>
      <c r="Y1012" s="484"/>
      <c r="Z1012" s="498"/>
      <c r="AA1012" s="502"/>
      <c r="AB1012" s="503"/>
      <c r="AC1012" s="508"/>
      <c r="AD1012" s="509"/>
      <c r="AE1012" s="509"/>
      <c r="AF1012" s="511"/>
      <c r="AG1012" s="511"/>
      <c r="AH1012" s="511"/>
      <c r="AI1012" s="511"/>
      <c r="AJ1012" s="511"/>
      <c r="AK1012" s="511"/>
      <c r="AL1012" s="511"/>
      <c r="AM1012" s="511"/>
      <c r="AN1012" s="511"/>
      <c r="AO1012" s="511"/>
      <c r="AP1012" s="511"/>
      <c r="AQ1012" s="466"/>
      <c r="AR1012" s="468"/>
      <c r="AS1012" s="122" t="s">
        <v>259</v>
      </c>
      <c r="AT1012" s="123"/>
      <c r="AU1012" s="123"/>
      <c r="AV1012" s="123"/>
      <c r="AW1012" s="124"/>
      <c r="AX1012" s="126">
        <f t="shared" si="1929"/>
        <v>0</v>
      </c>
      <c r="AY1012" s="142" t="s">
        <v>259</v>
      </c>
      <c r="AZ1012" s="138"/>
      <c r="BA1012" s="138"/>
      <c r="BB1012" s="135">
        <f t="shared" si="1930"/>
        <v>0</v>
      </c>
      <c r="BC1012" s="474" t="s">
        <v>260</v>
      </c>
      <c r="BD1012" s="475"/>
      <c r="BE1012" s="14"/>
      <c r="BF1012" s="17"/>
      <c r="BG1012" s="14"/>
      <c r="BH1012" s="17"/>
      <c r="BI1012" s="14"/>
      <c r="BJ1012" s="17"/>
      <c r="BK1012" s="14"/>
      <c r="BL1012" s="17"/>
      <c r="BM1012" s="14"/>
      <c r="BN1012" s="17"/>
      <c r="BO1012" s="14"/>
      <c r="BP1012" s="17"/>
      <c r="BQ1012" s="107">
        <f t="shared" si="1890"/>
        <v>0</v>
      </c>
      <c r="BR1012" s="567"/>
      <c r="BS1012" s="571"/>
      <c r="BT1012" s="572"/>
      <c r="BU1012" s="558"/>
      <c r="BV1012" s="561"/>
      <c r="BW1012" s="564"/>
      <c r="BX1012" s="616"/>
    </row>
    <row r="1013" spans="1:76" ht="15.75" thickBot="1" x14ac:dyDescent="0.3">
      <c r="A1013" s="586"/>
      <c r="B1013" s="590"/>
      <c r="C1013" s="591"/>
      <c r="D1013" s="605"/>
      <c r="E1013" s="517"/>
      <c r="F1013" s="518"/>
      <c r="G1013" s="523"/>
      <c r="H1013" s="524"/>
      <c r="I1013" s="529"/>
      <c r="J1013" s="530"/>
      <c r="K1013" s="513"/>
      <c r="L1013" s="534"/>
      <c r="M1013" s="537"/>
      <c r="N1013" s="541"/>
      <c r="O1013" s="542"/>
      <c r="P1013" s="483"/>
      <c r="Q1013" s="484"/>
      <c r="R1013" s="517"/>
      <c r="S1013" s="518"/>
      <c r="T1013" s="487"/>
      <c r="U1013" s="488"/>
      <c r="V1013" s="492"/>
      <c r="W1013" s="483"/>
      <c r="X1013" s="495"/>
      <c r="Y1013" s="484"/>
      <c r="Z1013" s="498"/>
      <c r="AA1013" s="502"/>
      <c r="AB1013" s="503"/>
      <c r="AC1013" s="471" t="s">
        <v>259</v>
      </c>
      <c r="AD1013" s="472"/>
      <c r="AE1013" s="473"/>
      <c r="AF1013" s="100"/>
      <c r="AG1013" s="100"/>
      <c r="AH1013" s="100"/>
      <c r="AI1013" s="100"/>
      <c r="AJ1013" s="100"/>
      <c r="AK1013" s="100"/>
      <c r="AL1013" s="100"/>
      <c r="AM1013" s="100"/>
      <c r="AN1013" s="100"/>
      <c r="AO1013" s="100"/>
      <c r="AP1013" s="100"/>
      <c r="AQ1013" s="101"/>
      <c r="AR1013" s="104">
        <f t="shared" ref="AR1013:AR1014" si="1931">SUM(AF1013:AQ1013)</f>
        <v>0</v>
      </c>
      <c r="AS1013" s="128" t="s">
        <v>261</v>
      </c>
      <c r="AT1013" s="129"/>
      <c r="AU1013" s="129"/>
      <c r="AV1013" s="129"/>
      <c r="AW1013" s="130"/>
      <c r="AX1013" s="126">
        <f t="shared" si="1929"/>
        <v>0</v>
      </c>
      <c r="AY1013" s="143" t="s">
        <v>261</v>
      </c>
      <c r="AZ1013" s="139"/>
      <c r="BA1013" s="139"/>
      <c r="BB1013" s="136">
        <f t="shared" si="1930"/>
        <v>0</v>
      </c>
      <c r="BC1013" s="474" t="s">
        <v>262</v>
      </c>
      <c r="BD1013" s="475"/>
      <c r="BE1013" s="14"/>
      <c r="BF1013" s="17"/>
      <c r="BG1013" s="14"/>
      <c r="BH1013" s="17"/>
      <c r="BI1013" s="14"/>
      <c r="BJ1013" s="17"/>
      <c r="BK1013" s="14"/>
      <c r="BL1013" s="17"/>
      <c r="BM1013" s="14"/>
      <c r="BN1013" s="17"/>
      <c r="BO1013" s="14"/>
      <c r="BP1013" s="17"/>
      <c r="BQ1013" s="108">
        <f t="shared" si="1890"/>
        <v>0</v>
      </c>
      <c r="BR1013" s="567"/>
      <c r="BS1013" s="571"/>
      <c r="BT1013" s="572"/>
      <c r="BU1013" s="558"/>
      <c r="BV1013" s="561"/>
      <c r="BW1013" s="564"/>
      <c r="BX1013" s="616"/>
    </row>
    <row r="1014" spans="1:76" ht="15.75" thickBot="1" x14ac:dyDescent="0.3">
      <c r="A1014" s="587"/>
      <c r="B1014" s="592"/>
      <c r="C1014" s="593"/>
      <c r="D1014" s="606"/>
      <c r="E1014" s="519"/>
      <c r="F1014" s="520"/>
      <c r="G1014" s="525"/>
      <c r="H1014" s="526"/>
      <c r="I1014" s="531"/>
      <c r="J1014" s="532"/>
      <c r="K1014" s="514"/>
      <c r="L1014" s="535"/>
      <c r="M1014" s="538"/>
      <c r="N1014" s="543"/>
      <c r="O1014" s="544"/>
      <c r="P1014" s="485"/>
      <c r="Q1014" s="486"/>
      <c r="R1014" s="519"/>
      <c r="S1014" s="520"/>
      <c r="T1014" s="489"/>
      <c r="U1014" s="490"/>
      <c r="V1014" s="493"/>
      <c r="W1014" s="485"/>
      <c r="X1014" s="496"/>
      <c r="Y1014" s="486"/>
      <c r="Z1014" s="499"/>
      <c r="AA1014" s="504"/>
      <c r="AB1014" s="505"/>
      <c r="AC1014" s="476" t="s">
        <v>261</v>
      </c>
      <c r="AD1014" s="477"/>
      <c r="AE1014" s="478"/>
      <c r="AF1014" s="102"/>
      <c r="AG1014" s="102"/>
      <c r="AH1014" s="102"/>
      <c r="AI1014" s="102"/>
      <c r="AJ1014" s="102"/>
      <c r="AK1014" s="102"/>
      <c r="AL1014" s="102"/>
      <c r="AM1014" s="102"/>
      <c r="AN1014" s="102"/>
      <c r="AO1014" s="102"/>
      <c r="AP1014" s="102"/>
      <c r="AQ1014" s="103"/>
      <c r="AR1014" s="105">
        <f t="shared" si="1931"/>
        <v>0</v>
      </c>
      <c r="AS1014" s="131" t="s">
        <v>161</v>
      </c>
      <c r="AT1014" s="132">
        <f t="shared" ref="AT1014:AX1014" si="1932">SUM(AT1011:AT1013)</f>
        <v>0</v>
      </c>
      <c r="AU1014" s="132">
        <f t="shared" si="1932"/>
        <v>0</v>
      </c>
      <c r="AV1014" s="132">
        <f t="shared" si="1932"/>
        <v>0</v>
      </c>
      <c r="AW1014" s="133">
        <f t="shared" si="1932"/>
        <v>0</v>
      </c>
      <c r="AX1014" s="127">
        <f t="shared" si="1932"/>
        <v>0</v>
      </c>
      <c r="AY1014" s="144" t="s">
        <v>161</v>
      </c>
      <c r="AZ1014" s="140">
        <f t="shared" ref="AZ1014:BB1014" si="1933">SUM(AZ1011:AZ1013)</f>
        <v>0</v>
      </c>
      <c r="BA1014" s="140">
        <f t="shared" si="1933"/>
        <v>0</v>
      </c>
      <c r="BB1014" s="140">
        <f t="shared" si="1933"/>
        <v>0</v>
      </c>
      <c r="BC1014" s="479" t="s">
        <v>263</v>
      </c>
      <c r="BD1014" s="480"/>
      <c r="BE1014" s="15"/>
      <c r="BF1014" s="18"/>
      <c r="BG1014" s="15"/>
      <c r="BH1014" s="18"/>
      <c r="BI1014" s="15"/>
      <c r="BJ1014" s="18"/>
      <c r="BK1014" s="15"/>
      <c r="BL1014" s="18"/>
      <c r="BM1014" s="15"/>
      <c r="BN1014" s="18"/>
      <c r="BO1014" s="15"/>
      <c r="BP1014" s="18"/>
      <c r="BQ1014" s="109">
        <f t="shared" si="1890"/>
        <v>0</v>
      </c>
      <c r="BR1014" s="568"/>
      <c r="BS1014" s="573"/>
      <c r="BT1014" s="574"/>
      <c r="BU1014" s="559"/>
      <c r="BV1014" s="562"/>
      <c r="BW1014" s="565"/>
      <c r="BX1014" s="617"/>
    </row>
    <row r="1015" spans="1:76" ht="15.75" thickTop="1" x14ac:dyDescent="0.25">
      <c r="A1015" s="585">
        <v>252</v>
      </c>
      <c r="B1015" s="588"/>
      <c r="C1015" s="589"/>
      <c r="D1015" s="604"/>
      <c r="E1015" s="515"/>
      <c r="F1015" s="516"/>
      <c r="G1015" s="521"/>
      <c r="H1015" s="522"/>
      <c r="I1015" s="527"/>
      <c r="J1015" s="528"/>
      <c r="K1015" s="512" t="e">
        <f t="shared" ref="K1015" si="1934">INT(YEARFRAC(I1015,AA1015))</f>
        <v>#VALUE!</v>
      </c>
      <c r="L1015" s="533">
        <f t="shared" ref="L1015" ca="1" si="1935">INT(YEARFRAC(I1015,TODAY()))</f>
        <v>121</v>
      </c>
      <c r="M1015" s="536"/>
      <c r="N1015" s="539"/>
      <c r="O1015" s="540"/>
      <c r="P1015" s="481"/>
      <c r="Q1015" s="482"/>
      <c r="R1015" s="515"/>
      <c r="S1015" s="516"/>
      <c r="T1015" s="487"/>
      <c r="U1015" s="488"/>
      <c r="V1015" s="491"/>
      <c r="W1015" s="481"/>
      <c r="X1015" s="494"/>
      <c r="Y1015" s="482"/>
      <c r="Z1015" s="497"/>
      <c r="AA1015" s="500" t="s">
        <v>493</v>
      </c>
      <c r="AB1015" s="501"/>
      <c r="AC1015" s="506" t="s">
        <v>257</v>
      </c>
      <c r="AD1015" s="507"/>
      <c r="AE1015" s="507"/>
      <c r="AF1015" s="510"/>
      <c r="AG1015" s="510"/>
      <c r="AH1015" s="510"/>
      <c r="AI1015" s="510"/>
      <c r="AJ1015" s="510"/>
      <c r="AK1015" s="510"/>
      <c r="AL1015" s="510"/>
      <c r="AM1015" s="510"/>
      <c r="AN1015" s="510"/>
      <c r="AO1015" s="510"/>
      <c r="AP1015" s="510"/>
      <c r="AQ1015" s="465"/>
      <c r="AR1015" s="467">
        <f t="shared" ref="AR1015" si="1936">SUM(AF1015:AQ1016)</f>
        <v>0</v>
      </c>
      <c r="AS1015" s="119" t="s">
        <v>257</v>
      </c>
      <c r="AT1015" s="120"/>
      <c r="AU1015" s="120"/>
      <c r="AV1015" s="120"/>
      <c r="AW1015" s="121"/>
      <c r="AX1015" s="125">
        <f t="shared" ref="AX1015:AX1017" si="1937">SUM(AT1015:AW1015)</f>
        <v>0</v>
      </c>
      <c r="AY1015" s="141" t="s">
        <v>257</v>
      </c>
      <c r="AZ1015" s="137"/>
      <c r="BA1015" s="137"/>
      <c r="BB1015" s="134">
        <f t="shared" ref="BB1015:BB1017" si="1938">AZ1015-BA1015</f>
        <v>0</v>
      </c>
      <c r="BC1015" s="469" t="s">
        <v>258</v>
      </c>
      <c r="BD1015" s="470"/>
      <c r="BE1015" s="13"/>
      <c r="BF1015" s="16"/>
      <c r="BG1015" s="13"/>
      <c r="BH1015" s="16"/>
      <c r="BI1015" s="13"/>
      <c r="BJ1015" s="16"/>
      <c r="BK1015" s="13"/>
      <c r="BL1015" s="16"/>
      <c r="BM1015" s="13"/>
      <c r="BN1015" s="16"/>
      <c r="BO1015" s="13"/>
      <c r="BP1015" s="16"/>
      <c r="BQ1015" s="106">
        <f t="shared" si="1890"/>
        <v>0</v>
      </c>
      <c r="BR1015" s="566"/>
      <c r="BS1015" s="569"/>
      <c r="BT1015" s="570"/>
      <c r="BU1015" s="557"/>
      <c r="BV1015" s="560"/>
      <c r="BW1015" s="563"/>
      <c r="BX1015" s="615"/>
    </row>
    <row r="1016" spans="1:76" x14ac:dyDescent="0.25">
      <c r="A1016" s="586"/>
      <c r="B1016" s="590"/>
      <c r="C1016" s="591"/>
      <c r="D1016" s="605"/>
      <c r="E1016" s="517"/>
      <c r="F1016" s="518"/>
      <c r="G1016" s="523"/>
      <c r="H1016" s="524"/>
      <c r="I1016" s="529"/>
      <c r="J1016" s="530"/>
      <c r="K1016" s="513"/>
      <c r="L1016" s="534"/>
      <c r="M1016" s="537"/>
      <c r="N1016" s="541"/>
      <c r="O1016" s="542"/>
      <c r="P1016" s="483"/>
      <c r="Q1016" s="484"/>
      <c r="R1016" s="517"/>
      <c r="S1016" s="518"/>
      <c r="T1016" s="487"/>
      <c r="U1016" s="488"/>
      <c r="V1016" s="492"/>
      <c r="W1016" s="483"/>
      <c r="X1016" s="495"/>
      <c r="Y1016" s="484"/>
      <c r="Z1016" s="498"/>
      <c r="AA1016" s="502"/>
      <c r="AB1016" s="503"/>
      <c r="AC1016" s="508"/>
      <c r="AD1016" s="509"/>
      <c r="AE1016" s="509"/>
      <c r="AF1016" s="511"/>
      <c r="AG1016" s="511"/>
      <c r="AH1016" s="511"/>
      <c r="AI1016" s="511"/>
      <c r="AJ1016" s="511"/>
      <c r="AK1016" s="511"/>
      <c r="AL1016" s="511"/>
      <c r="AM1016" s="511"/>
      <c r="AN1016" s="511"/>
      <c r="AO1016" s="511"/>
      <c r="AP1016" s="511"/>
      <c r="AQ1016" s="466"/>
      <c r="AR1016" s="468"/>
      <c r="AS1016" s="122" t="s">
        <v>259</v>
      </c>
      <c r="AT1016" s="123"/>
      <c r="AU1016" s="123"/>
      <c r="AV1016" s="123"/>
      <c r="AW1016" s="124"/>
      <c r="AX1016" s="126">
        <f t="shared" si="1937"/>
        <v>0</v>
      </c>
      <c r="AY1016" s="142" t="s">
        <v>259</v>
      </c>
      <c r="AZ1016" s="138"/>
      <c r="BA1016" s="138"/>
      <c r="BB1016" s="135">
        <f t="shared" si="1938"/>
        <v>0</v>
      </c>
      <c r="BC1016" s="474" t="s">
        <v>260</v>
      </c>
      <c r="BD1016" s="475"/>
      <c r="BE1016" s="14"/>
      <c r="BF1016" s="17"/>
      <c r="BG1016" s="14"/>
      <c r="BH1016" s="17"/>
      <c r="BI1016" s="14"/>
      <c r="BJ1016" s="17"/>
      <c r="BK1016" s="14"/>
      <c r="BL1016" s="17"/>
      <c r="BM1016" s="14"/>
      <c r="BN1016" s="17"/>
      <c r="BO1016" s="14"/>
      <c r="BP1016" s="17"/>
      <c r="BQ1016" s="107">
        <f t="shared" si="1890"/>
        <v>0</v>
      </c>
      <c r="BR1016" s="567"/>
      <c r="BS1016" s="571"/>
      <c r="BT1016" s="572"/>
      <c r="BU1016" s="558"/>
      <c r="BV1016" s="561"/>
      <c r="BW1016" s="564"/>
      <c r="BX1016" s="616"/>
    </row>
    <row r="1017" spans="1:76" ht="15.75" thickBot="1" x14ac:dyDescent="0.3">
      <c r="A1017" s="586"/>
      <c r="B1017" s="590"/>
      <c r="C1017" s="591"/>
      <c r="D1017" s="605"/>
      <c r="E1017" s="517"/>
      <c r="F1017" s="518"/>
      <c r="G1017" s="523"/>
      <c r="H1017" s="524"/>
      <c r="I1017" s="529"/>
      <c r="J1017" s="530"/>
      <c r="K1017" s="513"/>
      <c r="L1017" s="534"/>
      <c r="M1017" s="537"/>
      <c r="N1017" s="541"/>
      <c r="O1017" s="542"/>
      <c r="P1017" s="483"/>
      <c r="Q1017" s="484"/>
      <c r="R1017" s="517"/>
      <c r="S1017" s="518"/>
      <c r="T1017" s="487"/>
      <c r="U1017" s="488"/>
      <c r="V1017" s="492"/>
      <c r="W1017" s="483"/>
      <c r="X1017" s="495"/>
      <c r="Y1017" s="484"/>
      <c r="Z1017" s="498"/>
      <c r="AA1017" s="502"/>
      <c r="AB1017" s="503"/>
      <c r="AC1017" s="471" t="s">
        <v>259</v>
      </c>
      <c r="AD1017" s="472"/>
      <c r="AE1017" s="473"/>
      <c r="AF1017" s="100"/>
      <c r="AG1017" s="100"/>
      <c r="AH1017" s="100"/>
      <c r="AI1017" s="100"/>
      <c r="AJ1017" s="100"/>
      <c r="AK1017" s="100"/>
      <c r="AL1017" s="100"/>
      <c r="AM1017" s="100"/>
      <c r="AN1017" s="100"/>
      <c r="AO1017" s="100"/>
      <c r="AP1017" s="100"/>
      <c r="AQ1017" s="101"/>
      <c r="AR1017" s="104">
        <f t="shared" ref="AR1017:AR1018" si="1939">SUM(AF1017:AQ1017)</f>
        <v>0</v>
      </c>
      <c r="AS1017" s="128" t="s">
        <v>261</v>
      </c>
      <c r="AT1017" s="129"/>
      <c r="AU1017" s="129"/>
      <c r="AV1017" s="129"/>
      <c r="AW1017" s="130"/>
      <c r="AX1017" s="126">
        <f t="shared" si="1937"/>
        <v>0</v>
      </c>
      <c r="AY1017" s="143" t="s">
        <v>261</v>
      </c>
      <c r="AZ1017" s="139"/>
      <c r="BA1017" s="139"/>
      <c r="BB1017" s="136">
        <f t="shared" si="1938"/>
        <v>0</v>
      </c>
      <c r="BC1017" s="474" t="s">
        <v>262</v>
      </c>
      <c r="BD1017" s="475"/>
      <c r="BE1017" s="14"/>
      <c r="BF1017" s="17"/>
      <c r="BG1017" s="14"/>
      <c r="BH1017" s="17"/>
      <c r="BI1017" s="14"/>
      <c r="BJ1017" s="17"/>
      <c r="BK1017" s="14"/>
      <c r="BL1017" s="17"/>
      <c r="BM1017" s="14"/>
      <c r="BN1017" s="17"/>
      <c r="BO1017" s="14"/>
      <c r="BP1017" s="17"/>
      <c r="BQ1017" s="108">
        <f t="shared" si="1890"/>
        <v>0</v>
      </c>
      <c r="BR1017" s="567"/>
      <c r="BS1017" s="571"/>
      <c r="BT1017" s="572"/>
      <c r="BU1017" s="558"/>
      <c r="BV1017" s="561"/>
      <c r="BW1017" s="564"/>
      <c r="BX1017" s="616"/>
    </row>
    <row r="1018" spans="1:76" ht="15.75" thickBot="1" x14ac:dyDescent="0.3">
      <c r="A1018" s="587"/>
      <c r="B1018" s="592"/>
      <c r="C1018" s="593"/>
      <c r="D1018" s="606"/>
      <c r="E1018" s="519"/>
      <c r="F1018" s="520"/>
      <c r="G1018" s="525"/>
      <c r="H1018" s="526"/>
      <c r="I1018" s="531"/>
      <c r="J1018" s="532"/>
      <c r="K1018" s="514"/>
      <c r="L1018" s="535"/>
      <c r="M1018" s="538"/>
      <c r="N1018" s="543"/>
      <c r="O1018" s="544"/>
      <c r="P1018" s="485"/>
      <c r="Q1018" s="486"/>
      <c r="R1018" s="519"/>
      <c r="S1018" s="520"/>
      <c r="T1018" s="489"/>
      <c r="U1018" s="490"/>
      <c r="V1018" s="493"/>
      <c r="W1018" s="485"/>
      <c r="X1018" s="496"/>
      <c r="Y1018" s="486"/>
      <c r="Z1018" s="499"/>
      <c r="AA1018" s="504"/>
      <c r="AB1018" s="505"/>
      <c r="AC1018" s="476" t="s">
        <v>261</v>
      </c>
      <c r="AD1018" s="477"/>
      <c r="AE1018" s="478"/>
      <c r="AF1018" s="102"/>
      <c r="AG1018" s="102"/>
      <c r="AH1018" s="102"/>
      <c r="AI1018" s="102"/>
      <c r="AJ1018" s="102"/>
      <c r="AK1018" s="102"/>
      <c r="AL1018" s="102"/>
      <c r="AM1018" s="102"/>
      <c r="AN1018" s="102"/>
      <c r="AO1018" s="102"/>
      <c r="AP1018" s="102"/>
      <c r="AQ1018" s="103"/>
      <c r="AR1018" s="105">
        <f t="shared" si="1939"/>
        <v>0</v>
      </c>
      <c r="AS1018" s="131" t="s">
        <v>161</v>
      </c>
      <c r="AT1018" s="132">
        <f t="shared" ref="AT1018:AX1018" si="1940">SUM(AT1015:AT1017)</f>
        <v>0</v>
      </c>
      <c r="AU1018" s="132">
        <f t="shared" si="1940"/>
        <v>0</v>
      </c>
      <c r="AV1018" s="132">
        <f t="shared" si="1940"/>
        <v>0</v>
      </c>
      <c r="AW1018" s="133">
        <f t="shared" si="1940"/>
        <v>0</v>
      </c>
      <c r="AX1018" s="127">
        <f t="shared" si="1940"/>
        <v>0</v>
      </c>
      <c r="AY1018" s="144" t="s">
        <v>161</v>
      </c>
      <c r="AZ1018" s="140">
        <f t="shared" ref="AZ1018:BB1018" si="1941">SUM(AZ1015:AZ1017)</f>
        <v>0</v>
      </c>
      <c r="BA1018" s="140">
        <f t="shared" si="1941"/>
        <v>0</v>
      </c>
      <c r="BB1018" s="140">
        <f t="shared" si="1941"/>
        <v>0</v>
      </c>
      <c r="BC1018" s="479" t="s">
        <v>263</v>
      </c>
      <c r="BD1018" s="480"/>
      <c r="BE1018" s="15"/>
      <c r="BF1018" s="18"/>
      <c r="BG1018" s="15"/>
      <c r="BH1018" s="18"/>
      <c r="BI1018" s="15"/>
      <c r="BJ1018" s="18"/>
      <c r="BK1018" s="15"/>
      <c r="BL1018" s="18"/>
      <c r="BM1018" s="15"/>
      <c r="BN1018" s="18"/>
      <c r="BO1018" s="15"/>
      <c r="BP1018" s="18"/>
      <c r="BQ1018" s="109">
        <f t="shared" si="1890"/>
        <v>0</v>
      </c>
      <c r="BR1018" s="568"/>
      <c r="BS1018" s="573"/>
      <c r="BT1018" s="574"/>
      <c r="BU1018" s="559"/>
      <c r="BV1018" s="562"/>
      <c r="BW1018" s="565"/>
      <c r="BX1018" s="617"/>
    </row>
    <row r="1019" spans="1:76" ht="15.75" thickTop="1" x14ac:dyDescent="0.25">
      <c r="A1019" s="585">
        <v>253</v>
      </c>
      <c r="B1019" s="588"/>
      <c r="C1019" s="589"/>
      <c r="D1019" s="604"/>
      <c r="E1019" s="515"/>
      <c r="F1019" s="516"/>
      <c r="G1019" s="521"/>
      <c r="H1019" s="522"/>
      <c r="I1019" s="527"/>
      <c r="J1019" s="528"/>
      <c r="K1019" s="512" t="e">
        <f t="shared" ref="K1019" si="1942">INT(YEARFRAC(I1019,AA1019))</f>
        <v>#VALUE!</v>
      </c>
      <c r="L1019" s="533">
        <f t="shared" ref="L1019" ca="1" si="1943">INT(YEARFRAC(I1019,TODAY()))</f>
        <v>121</v>
      </c>
      <c r="M1019" s="536"/>
      <c r="N1019" s="539"/>
      <c r="O1019" s="540"/>
      <c r="P1019" s="481"/>
      <c r="Q1019" s="482"/>
      <c r="R1019" s="515"/>
      <c r="S1019" s="516"/>
      <c r="T1019" s="487"/>
      <c r="U1019" s="488"/>
      <c r="V1019" s="491"/>
      <c r="W1019" s="481"/>
      <c r="X1019" s="494"/>
      <c r="Y1019" s="482"/>
      <c r="Z1019" s="497"/>
      <c r="AA1019" s="500" t="s">
        <v>494</v>
      </c>
      <c r="AB1019" s="501"/>
      <c r="AC1019" s="506" t="s">
        <v>257</v>
      </c>
      <c r="AD1019" s="507"/>
      <c r="AE1019" s="507"/>
      <c r="AF1019" s="510"/>
      <c r="AG1019" s="510"/>
      <c r="AH1019" s="510"/>
      <c r="AI1019" s="510"/>
      <c r="AJ1019" s="510"/>
      <c r="AK1019" s="510"/>
      <c r="AL1019" s="510"/>
      <c r="AM1019" s="510"/>
      <c r="AN1019" s="510"/>
      <c r="AO1019" s="510"/>
      <c r="AP1019" s="510"/>
      <c r="AQ1019" s="465"/>
      <c r="AR1019" s="467">
        <f t="shared" ref="AR1019" si="1944">SUM(AF1019:AQ1020)</f>
        <v>0</v>
      </c>
      <c r="AS1019" s="119" t="s">
        <v>257</v>
      </c>
      <c r="AT1019" s="120"/>
      <c r="AU1019" s="120"/>
      <c r="AV1019" s="120"/>
      <c r="AW1019" s="121"/>
      <c r="AX1019" s="125">
        <f t="shared" ref="AX1019:AX1021" si="1945">SUM(AT1019:AW1019)</f>
        <v>0</v>
      </c>
      <c r="AY1019" s="141" t="s">
        <v>257</v>
      </c>
      <c r="AZ1019" s="137"/>
      <c r="BA1019" s="137"/>
      <c r="BB1019" s="134">
        <f t="shared" ref="BB1019:BB1021" si="1946">AZ1019-BA1019</f>
        <v>0</v>
      </c>
      <c r="BC1019" s="469" t="s">
        <v>258</v>
      </c>
      <c r="BD1019" s="470"/>
      <c r="BE1019" s="13"/>
      <c r="BF1019" s="16"/>
      <c r="BG1019" s="13"/>
      <c r="BH1019" s="16"/>
      <c r="BI1019" s="13"/>
      <c r="BJ1019" s="16"/>
      <c r="BK1019" s="13"/>
      <c r="BL1019" s="16"/>
      <c r="BM1019" s="13"/>
      <c r="BN1019" s="16"/>
      <c r="BO1019" s="13"/>
      <c r="BP1019" s="16"/>
      <c r="BQ1019" s="106">
        <f t="shared" si="1890"/>
        <v>0</v>
      </c>
      <c r="BR1019" s="566"/>
      <c r="BS1019" s="569"/>
      <c r="BT1019" s="570"/>
      <c r="BU1019" s="557"/>
      <c r="BV1019" s="560"/>
      <c r="BW1019" s="563"/>
      <c r="BX1019" s="615"/>
    </row>
    <row r="1020" spans="1:76" x14ac:dyDescent="0.25">
      <c r="A1020" s="586"/>
      <c r="B1020" s="590"/>
      <c r="C1020" s="591"/>
      <c r="D1020" s="605"/>
      <c r="E1020" s="517"/>
      <c r="F1020" s="518"/>
      <c r="G1020" s="523"/>
      <c r="H1020" s="524"/>
      <c r="I1020" s="529"/>
      <c r="J1020" s="530"/>
      <c r="K1020" s="513"/>
      <c r="L1020" s="534"/>
      <c r="M1020" s="537"/>
      <c r="N1020" s="541"/>
      <c r="O1020" s="542"/>
      <c r="P1020" s="483"/>
      <c r="Q1020" s="484"/>
      <c r="R1020" s="517"/>
      <c r="S1020" s="518"/>
      <c r="T1020" s="487"/>
      <c r="U1020" s="488"/>
      <c r="V1020" s="492"/>
      <c r="W1020" s="483"/>
      <c r="X1020" s="495"/>
      <c r="Y1020" s="484"/>
      <c r="Z1020" s="498"/>
      <c r="AA1020" s="502"/>
      <c r="AB1020" s="503"/>
      <c r="AC1020" s="508"/>
      <c r="AD1020" s="509"/>
      <c r="AE1020" s="509"/>
      <c r="AF1020" s="511"/>
      <c r="AG1020" s="511"/>
      <c r="AH1020" s="511"/>
      <c r="AI1020" s="511"/>
      <c r="AJ1020" s="511"/>
      <c r="AK1020" s="511"/>
      <c r="AL1020" s="511"/>
      <c r="AM1020" s="511"/>
      <c r="AN1020" s="511"/>
      <c r="AO1020" s="511"/>
      <c r="AP1020" s="511"/>
      <c r="AQ1020" s="466"/>
      <c r="AR1020" s="468"/>
      <c r="AS1020" s="122" t="s">
        <v>259</v>
      </c>
      <c r="AT1020" s="123"/>
      <c r="AU1020" s="123"/>
      <c r="AV1020" s="123"/>
      <c r="AW1020" s="124"/>
      <c r="AX1020" s="126">
        <f t="shared" si="1945"/>
        <v>0</v>
      </c>
      <c r="AY1020" s="142" t="s">
        <v>259</v>
      </c>
      <c r="AZ1020" s="138"/>
      <c r="BA1020" s="138"/>
      <c r="BB1020" s="135">
        <f t="shared" si="1946"/>
        <v>0</v>
      </c>
      <c r="BC1020" s="474" t="s">
        <v>260</v>
      </c>
      <c r="BD1020" s="475"/>
      <c r="BE1020" s="14"/>
      <c r="BF1020" s="17"/>
      <c r="BG1020" s="14"/>
      <c r="BH1020" s="17"/>
      <c r="BI1020" s="14"/>
      <c r="BJ1020" s="17"/>
      <c r="BK1020" s="14"/>
      <c r="BL1020" s="17"/>
      <c r="BM1020" s="14"/>
      <c r="BN1020" s="17"/>
      <c r="BO1020" s="14"/>
      <c r="BP1020" s="17"/>
      <c r="BQ1020" s="107">
        <f t="shared" si="1890"/>
        <v>0</v>
      </c>
      <c r="BR1020" s="567"/>
      <c r="BS1020" s="571"/>
      <c r="BT1020" s="572"/>
      <c r="BU1020" s="558"/>
      <c r="BV1020" s="561"/>
      <c r="BW1020" s="564"/>
      <c r="BX1020" s="616"/>
    </row>
    <row r="1021" spans="1:76" ht="15.75" thickBot="1" x14ac:dyDescent="0.3">
      <c r="A1021" s="586"/>
      <c r="B1021" s="590"/>
      <c r="C1021" s="591"/>
      <c r="D1021" s="605"/>
      <c r="E1021" s="517"/>
      <c r="F1021" s="518"/>
      <c r="G1021" s="523"/>
      <c r="H1021" s="524"/>
      <c r="I1021" s="529"/>
      <c r="J1021" s="530"/>
      <c r="K1021" s="513"/>
      <c r="L1021" s="534"/>
      <c r="M1021" s="537"/>
      <c r="N1021" s="541"/>
      <c r="O1021" s="542"/>
      <c r="P1021" s="483"/>
      <c r="Q1021" s="484"/>
      <c r="R1021" s="517"/>
      <c r="S1021" s="518"/>
      <c r="T1021" s="487"/>
      <c r="U1021" s="488"/>
      <c r="V1021" s="492"/>
      <c r="W1021" s="483"/>
      <c r="X1021" s="495"/>
      <c r="Y1021" s="484"/>
      <c r="Z1021" s="498"/>
      <c r="AA1021" s="502"/>
      <c r="AB1021" s="503"/>
      <c r="AC1021" s="471" t="s">
        <v>259</v>
      </c>
      <c r="AD1021" s="472"/>
      <c r="AE1021" s="473"/>
      <c r="AF1021" s="100"/>
      <c r="AG1021" s="100"/>
      <c r="AH1021" s="100"/>
      <c r="AI1021" s="100"/>
      <c r="AJ1021" s="100"/>
      <c r="AK1021" s="100"/>
      <c r="AL1021" s="100"/>
      <c r="AM1021" s="100"/>
      <c r="AN1021" s="100"/>
      <c r="AO1021" s="100"/>
      <c r="AP1021" s="100"/>
      <c r="AQ1021" s="101"/>
      <c r="AR1021" s="104">
        <f t="shared" ref="AR1021:AR1022" si="1947">SUM(AF1021:AQ1021)</f>
        <v>0</v>
      </c>
      <c r="AS1021" s="128" t="s">
        <v>261</v>
      </c>
      <c r="AT1021" s="129"/>
      <c r="AU1021" s="129"/>
      <c r="AV1021" s="129"/>
      <c r="AW1021" s="130"/>
      <c r="AX1021" s="126">
        <f t="shared" si="1945"/>
        <v>0</v>
      </c>
      <c r="AY1021" s="143" t="s">
        <v>261</v>
      </c>
      <c r="AZ1021" s="139"/>
      <c r="BA1021" s="139"/>
      <c r="BB1021" s="136">
        <f t="shared" si="1946"/>
        <v>0</v>
      </c>
      <c r="BC1021" s="474" t="s">
        <v>262</v>
      </c>
      <c r="BD1021" s="475"/>
      <c r="BE1021" s="14"/>
      <c r="BF1021" s="17"/>
      <c r="BG1021" s="14"/>
      <c r="BH1021" s="17"/>
      <c r="BI1021" s="14"/>
      <c r="BJ1021" s="17"/>
      <c r="BK1021" s="14"/>
      <c r="BL1021" s="17"/>
      <c r="BM1021" s="14"/>
      <c r="BN1021" s="17"/>
      <c r="BO1021" s="14"/>
      <c r="BP1021" s="17"/>
      <c r="BQ1021" s="108">
        <f t="shared" si="1890"/>
        <v>0</v>
      </c>
      <c r="BR1021" s="567"/>
      <c r="BS1021" s="571"/>
      <c r="BT1021" s="572"/>
      <c r="BU1021" s="558"/>
      <c r="BV1021" s="561"/>
      <c r="BW1021" s="564"/>
      <c r="BX1021" s="616"/>
    </row>
    <row r="1022" spans="1:76" ht="15.75" thickBot="1" x14ac:dyDescent="0.3">
      <c r="A1022" s="587"/>
      <c r="B1022" s="592"/>
      <c r="C1022" s="593"/>
      <c r="D1022" s="606"/>
      <c r="E1022" s="519"/>
      <c r="F1022" s="520"/>
      <c r="G1022" s="525"/>
      <c r="H1022" s="526"/>
      <c r="I1022" s="531"/>
      <c r="J1022" s="532"/>
      <c r="K1022" s="514"/>
      <c r="L1022" s="535"/>
      <c r="M1022" s="538"/>
      <c r="N1022" s="543"/>
      <c r="O1022" s="544"/>
      <c r="P1022" s="485"/>
      <c r="Q1022" s="486"/>
      <c r="R1022" s="519"/>
      <c r="S1022" s="520"/>
      <c r="T1022" s="489"/>
      <c r="U1022" s="490"/>
      <c r="V1022" s="493"/>
      <c r="W1022" s="485"/>
      <c r="X1022" s="496"/>
      <c r="Y1022" s="486"/>
      <c r="Z1022" s="499"/>
      <c r="AA1022" s="504"/>
      <c r="AB1022" s="505"/>
      <c r="AC1022" s="476" t="s">
        <v>261</v>
      </c>
      <c r="AD1022" s="477"/>
      <c r="AE1022" s="478"/>
      <c r="AF1022" s="102"/>
      <c r="AG1022" s="102"/>
      <c r="AH1022" s="102"/>
      <c r="AI1022" s="102"/>
      <c r="AJ1022" s="102"/>
      <c r="AK1022" s="102"/>
      <c r="AL1022" s="102"/>
      <c r="AM1022" s="102"/>
      <c r="AN1022" s="102"/>
      <c r="AO1022" s="102"/>
      <c r="AP1022" s="102"/>
      <c r="AQ1022" s="103"/>
      <c r="AR1022" s="105">
        <f t="shared" si="1947"/>
        <v>0</v>
      </c>
      <c r="AS1022" s="131" t="s">
        <v>161</v>
      </c>
      <c r="AT1022" s="132">
        <f t="shared" ref="AT1022:AX1022" si="1948">SUM(AT1019:AT1021)</f>
        <v>0</v>
      </c>
      <c r="AU1022" s="132">
        <f t="shared" si="1948"/>
        <v>0</v>
      </c>
      <c r="AV1022" s="132">
        <f t="shared" si="1948"/>
        <v>0</v>
      </c>
      <c r="AW1022" s="133">
        <f t="shared" si="1948"/>
        <v>0</v>
      </c>
      <c r="AX1022" s="127">
        <f t="shared" si="1948"/>
        <v>0</v>
      </c>
      <c r="AY1022" s="144" t="s">
        <v>161</v>
      </c>
      <c r="AZ1022" s="140">
        <f t="shared" ref="AZ1022:BB1022" si="1949">SUM(AZ1019:AZ1021)</f>
        <v>0</v>
      </c>
      <c r="BA1022" s="140">
        <f t="shared" si="1949"/>
        <v>0</v>
      </c>
      <c r="BB1022" s="140">
        <f t="shared" si="1949"/>
        <v>0</v>
      </c>
      <c r="BC1022" s="479" t="s">
        <v>263</v>
      </c>
      <c r="BD1022" s="480"/>
      <c r="BE1022" s="15"/>
      <c r="BF1022" s="18"/>
      <c r="BG1022" s="15"/>
      <c r="BH1022" s="18"/>
      <c r="BI1022" s="15"/>
      <c r="BJ1022" s="18"/>
      <c r="BK1022" s="15"/>
      <c r="BL1022" s="18"/>
      <c r="BM1022" s="15"/>
      <c r="BN1022" s="18"/>
      <c r="BO1022" s="15"/>
      <c r="BP1022" s="18"/>
      <c r="BQ1022" s="109">
        <f t="shared" si="1890"/>
        <v>0</v>
      </c>
      <c r="BR1022" s="568"/>
      <c r="BS1022" s="573"/>
      <c r="BT1022" s="574"/>
      <c r="BU1022" s="559"/>
      <c r="BV1022" s="562"/>
      <c r="BW1022" s="565"/>
      <c r="BX1022" s="617"/>
    </row>
    <row r="1023" spans="1:76" ht="15.75" thickTop="1" x14ac:dyDescent="0.25">
      <c r="A1023" s="585">
        <v>254</v>
      </c>
      <c r="B1023" s="588"/>
      <c r="C1023" s="589"/>
      <c r="D1023" s="604"/>
      <c r="E1023" s="515"/>
      <c r="F1023" s="516"/>
      <c r="G1023" s="521"/>
      <c r="H1023" s="522"/>
      <c r="I1023" s="527"/>
      <c r="J1023" s="528"/>
      <c r="K1023" s="512" t="e">
        <f t="shared" ref="K1023" si="1950">INT(YEARFRAC(I1023,AA1023))</f>
        <v>#VALUE!</v>
      </c>
      <c r="L1023" s="533">
        <f t="shared" ref="L1023" ca="1" si="1951">INT(YEARFRAC(I1023,TODAY()))</f>
        <v>121</v>
      </c>
      <c r="M1023" s="536"/>
      <c r="N1023" s="539"/>
      <c r="O1023" s="540"/>
      <c r="P1023" s="481"/>
      <c r="Q1023" s="482"/>
      <c r="R1023" s="515"/>
      <c r="S1023" s="516"/>
      <c r="T1023" s="487"/>
      <c r="U1023" s="488"/>
      <c r="V1023" s="491"/>
      <c r="W1023" s="481"/>
      <c r="X1023" s="494"/>
      <c r="Y1023" s="482"/>
      <c r="Z1023" s="497"/>
      <c r="AA1023" s="500" t="s">
        <v>495</v>
      </c>
      <c r="AB1023" s="501"/>
      <c r="AC1023" s="506" t="s">
        <v>257</v>
      </c>
      <c r="AD1023" s="507"/>
      <c r="AE1023" s="507"/>
      <c r="AF1023" s="510"/>
      <c r="AG1023" s="510"/>
      <c r="AH1023" s="510"/>
      <c r="AI1023" s="510"/>
      <c r="AJ1023" s="510"/>
      <c r="AK1023" s="510"/>
      <c r="AL1023" s="510"/>
      <c r="AM1023" s="510"/>
      <c r="AN1023" s="510"/>
      <c r="AO1023" s="510"/>
      <c r="AP1023" s="510"/>
      <c r="AQ1023" s="465"/>
      <c r="AR1023" s="467">
        <f t="shared" ref="AR1023" si="1952">SUM(AF1023:AQ1024)</f>
        <v>0</v>
      </c>
      <c r="AS1023" s="119" t="s">
        <v>257</v>
      </c>
      <c r="AT1023" s="120"/>
      <c r="AU1023" s="120"/>
      <c r="AV1023" s="120"/>
      <c r="AW1023" s="121"/>
      <c r="AX1023" s="125">
        <f t="shared" ref="AX1023:AX1025" si="1953">SUM(AT1023:AW1023)</f>
        <v>0</v>
      </c>
      <c r="AY1023" s="141" t="s">
        <v>257</v>
      </c>
      <c r="AZ1023" s="137"/>
      <c r="BA1023" s="137"/>
      <c r="BB1023" s="134">
        <f t="shared" ref="BB1023:BB1025" si="1954">AZ1023-BA1023</f>
        <v>0</v>
      </c>
      <c r="BC1023" s="469" t="s">
        <v>258</v>
      </c>
      <c r="BD1023" s="470"/>
      <c r="BE1023" s="13"/>
      <c r="BF1023" s="16"/>
      <c r="BG1023" s="13"/>
      <c r="BH1023" s="16"/>
      <c r="BI1023" s="13"/>
      <c r="BJ1023" s="16"/>
      <c r="BK1023" s="13"/>
      <c r="BL1023" s="16"/>
      <c r="BM1023" s="13"/>
      <c r="BN1023" s="16"/>
      <c r="BO1023" s="13"/>
      <c r="BP1023" s="16"/>
      <c r="BQ1023" s="106">
        <f t="shared" si="1890"/>
        <v>0</v>
      </c>
      <c r="BR1023" s="566"/>
      <c r="BS1023" s="569"/>
      <c r="BT1023" s="570"/>
      <c r="BU1023" s="557"/>
      <c r="BV1023" s="560"/>
      <c r="BW1023" s="563"/>
      <c r="BX1023" s="615"/>
    </row>
    <row r="1024" spans="1:76" x14ac:dyDescent="0.25">
      <c r="A1024" s="586"/>
      <c r="B1024" s="590"/>
      <c r="C1024" s="591"/>
      <c r="D1024" s="605"/>
      <c r="E1024" s="517"/>
      <c r="F1024" s="518"/>
      <c r="G1024" s="523"/>
      <c r="H1024" s="524"/>
      <c r="I1024" s="529"/>
      <c r="J1024" s="530"/>
      <c r="K1024" s="513"/>
      <c r="L1024" s="534"/>
      <c r="M1024" s="537"/>
      <c r="N1024" s="541"/>
      <c r="O1024" s="542"/>
      <c r="P1024" s="483"/>
      <c r="Q1024" s="484"/>
      <c r="R1024" s="517"/>
      <c r="S1024" s="518"/>
      <c r="T1024" s="487"/>
      <c r="U1024" s="488"/>
      <c r="V1024" s="492"/>
      <c r="W1024" s="483"/>
      <c r="X1024" s="495"/>
      <c r="Y1024" s="484"/>
      <c r="Z1024" s="498"/>
      <c r="AA1024" s="502"/>
      <c r="AB1024" s="503"/>
      <c r="AC1024" s="508"/>
      <c r="AD1024" s="509"/>
      <c r="AE1024" s="509"/>
      <c r="AF1024" s="511"/>
      <c r="AG1024" s="511"/>
      <c r="AH1024" s="511"/>
      <c r="AI1024" s="511"/>
      <c r="AJ1024" s="511"/>
      <c r="AK1024" s="511"/>
      <c r="AL1024" s="511"/>
      <c r="AM1024" s="511"/>
      <c r="AN1024" s="511"/>
      <c r="AO1024" s="511"/>
      <c r="AP1024" s="511"/>
      <c r="AQ1024" s="466"/>
      <c r="AR1024" s="468"/>
      <c r="AS1024" s="122" t="s">
        <v>259</v>
      </c>
      <c r="AT1024" s="123"/>
      <c r="AU1024" s="123"/>
      <c r="AV1024" s="123"/>
      <c r="AW1024" s="124"/>
      <c r="AX1024" s="126">
        <f t="shared" si="1953"/>
        <v>0</v>
      </c>
      <c r="AY1024" s="142" t="s">
        <v>259</v>
      </c>
      <c r="AZ1024" s="138"/>
      <c r="BA1024" s="138"/>
      <c r="BB1024" s="135">
        <f t="shared" si="1954"/>
        <v>0</v>
      </c>
      <c r="BC1024" s="474" t="s">
        <v>260</v>
      </c>
      <c r="BD1024" s="475"/>
      <c r="BE1024" s="14"/>
      <c r="BF1024" s="17"/>
      <c r="BG1024" s="14"/>
      <c r="BH1024" s="17"/>
      <c r="BI1024" s="14"/>
      <c r="BJ1024" s="17"/>
      <c r="BK1024" s="14"/>
      <c r="BL1024" s="17"/>
      <c r="BM1024" s="14"/>
      <c r="BN1024" s="17"/>
      <c r="BO1024" s="14"/>
      <c r="BP1024" s="17"/>
      <c r="BQ1024" s="107">
        <f t="shared" si="1890"/>
        <v>0</v>
      </c>
      <c r="BR1024" s="567"/>
      <c r="BS1024" s="571"/>
      <c r="BT1024" s="572"/>
      <c r="BU1024" s="558"/>
      <c r="BV1024" s="561"/>
      <c r="BW1024" s="564"/>
      <c r="BX1024" s="616"/>
    </row>
    <row r="1025" spans="1:76" ht="15.75" thickBot="1" x14ac:dyDescent="0.3">
      <c r="A1025" s="586"/>
      <c r="B1025" s="590"/>
      <c r="C1025" s="591"/>
      <c r="D1025" s="605"/>
      <c r="E1025" s="517"/>
      <c r="F1025" s="518"/>
      <c r="G1025" s="523"/>
      <c r="H1025" s="524"/>
      <c r="I1025" s="529"/>
      <c r="J1025" s="530"/>
      <c r="K1025" s="513"/>
      <c r="L1025" s="534"/>
      <c r="M1025" s="537"/>
      <c r="N1025" s="541"/>
      <c r="O1025" s="542"/>
      <c r="P1025" s="483"/>
      <c r="Q1025" s="484"/>
      <c r="R1025" s="517"/>
      <c r="S1025" s="518"/>
      <c r="T1025" s="487"/>
      <c r="U1025" s="488"/>
      <c r="V1025" s="492"/>
      <c r="W1025" s="483"/>
      <c r="X1025" s="495"/>
      <c r="Y1025" s="484"/>
      <c r="Z1025" s="498"/>
      <c r="AA1025" s="502"/>
      <c r="AB1025" s="503"/>
      <c r="AC1025" s="471" t="s">
        <v>259</v>
      </c>
      <c r="AD1025" s="472"/>
      <c r="AE1025" s="473"/>
      <c r="AF1025" s="100"/>
      <c r="AG1025" s="100"/>
      <c r="AH1025" s="100"/>
      <c r="AI1025" s="100"/>
      <c r="AJ1025" s="100"/>
      <c r="AK1025" s="100"/>
      <c r="AL1025" s="100"/>
      <c r="AM1025" s="100"/>
      <c r="AN1025" s="100"/>
      <c r="AO1025" s="100"/>
      <c r="AP1025" s="100"/>
      <c r="AQ1025" s="101"/>
      <c r="AR1025" s="104">
        <f t="shared" ref="AR1025:AR1026" si="1955">SUM(AF1025:AQ1025)</f>
        <v>0</v>
      </c>
      <c r="AS1025" s="128" t="s">
        <v>261</v>
      </c>
      <c r="AT1025" s="129"/>
      <c r="AU1025" s="129"/>
      <c r="AV1025" s="129"/>
      <c r="AW1025" s="130"/>
      <c r="AX1025" s="126">
        <f t="shared" si="1953"/>
        <v>0</v>
      </c>
      <c r="AY1025" s="143" t="s">
        <v>261</v>
      </c>
      <c r="AZ1025" s="139"/>
      <c r="BA1025" s="139"/>
      <c r="BB1025" s="136">
        <f t="shared" si="1954"/>
        <v>0</v>
      </c>
      <c r="BC1025" s="474" t="s">
        <v>262</v>
      </c>
      <c r="BD1025" s="475"/>
      <c r="BE1025" s="14"/>
      <c r="BF1025" s="17"/>
      <c r="BG1025" s="14"/>
      <c r="BH1025" s="17"/>
      <c r="BI1025" s="14"/>
      <c r="BJ1025" s="17"/>
      <c r="BK1025" s="14"/>
      <c r="BL1025" s="17"/>
      <c r="BM1025" s="14"/>
      <c r="BN1025" s="17"/>
      <c r="BO1025" s="14"/>
      <c r="BP1025" s="17"/>
      <c r="BQ1025" s="108">
        <f t="shared" si="1890"/>
        <v>0</v>
      </c>
      <c r="BR1025" s="567"/>
      <c r="BS1025" s="571"/>
      <c r="BT1025" s="572"/>
      <c r="BU1025" s="558"/>
      <c r="BV1025" s="561"/>
      <c r="BW1025" s="564"/>
      <c r="BX1025" s="616"/>
    </row>
    <row r="1026" spans="1:76" ht="15.75" thickBot="1" x14ac:dyDescent="0.3">
      <c r="A1026" s="587"/>
      <c r="B1026" s="592"/>
      <c r="C1026" s="593"/>
      <c r="D1026" s="606"/>
      <c r="E1026" s="519"/>
      <c r="F1026" s="520"/>
      <c r="G1026" s="525"/>
      <c r="H1026" s="526"/>
      <c r="I1026" s="531"/>
      <c r="J1026" s="532"/>
      <c r="K1026" s="514"/>
      <c r="L1026" s="535"/>
      <c r="M1026" s="538"/>
      <c r="N1026" s="543"/>
      <c r="O1026" s="544"/>
      <c r="P1026" s="485"/>
      <c r="Q1026" s="486"/>
      <c r="R1026" s="519"/>
      <c r="S1026" s="520"/>
      <c r="T1026" s="489"/>
      <c r="U1026" s="490"/>
      <c r="V1026" s="493"/>
      <c r="W1026" s="485"/>
      <c r="X1026" s="496"/>
      <c r="Y1026" s="486"/>
      <c r="Z1026" s="499"/>
      <c r="AA1026" s="504"/>
      <c r="AB1026" s="505"/>
      <c r="AC1026" s="476" t="s">
        <v>261</v>
      </c>
      <c r="AD1026" s="477"/>
      <c r="AE1026" s="478"/>
      <c r="AF1026" s="102"/>
      <c r="AG1026" s="102"/>
      <c r="AH1026" s="102"/>
      <c r="AI1026" s="102"/>
      <c r="AJ1026" s="102"/>
      <c r="AK1026" s="102"/>
      <c r="AL1026" s="102"/>
      <c r="AM1026" s="102"/>
      <c r="AN1026" s="102"/>
      <c r="AO1026" s="102"/>
      <c r="AP1026" s="102"/>
      <c r="AQ1026" s="103"/>
      <c r="AR1026" s="105">
        <f t="shared" si="1955"/>
        <v>0</v>
      </c>
      <c r="AS1026" s="131" t="s">
        <v>161</v>
      </c>
      <c r="AT1026" s="132">
        <f t="shared" ref="AT1026:AX1026" si="1956">SUM(AT1023:AT1025)</f>
        <v>0</v>
      </c>
      <c r="AU1026" s="132">
        <f t="shared" si="1956"/>
        <v>0</v>
      </c>
      <c r="AV1026" s="132">
        <f t="shared" si="1956"/>
        <v>0</v>
      </c>
      <c r="AW1026" s="133">
        <f t="shared" si="1956"/>
        <v>0</v>
      </c>
      <c r="AX1026" s="127">
        <f t="shared" si="1956"/>
        <v>0</v>
      </c>
      <c r="AY1026" s="144" t="s">
        <v>161</v>
      </c>
      <c r="AZ1026" s="140">
        <f t="shared" ref="AZ1026:BB1026" si="1957">SUM(AZ1023:AZ1025)</f>
        <v>0</v>
      </c>
      <c r="BA1026" s="140">
        <f t="shared" si="1957"/>
        <v>0</v>
      </c>
      <c r="BB1026" s="140">
        <f t="shared" si="1957"/>
        <v>0</v>
      </c>
      <c r="BC1026" s="479" t="s">
        <v>263</v>
      </c>
      <c r="BD1026" s="480"/>
      <c r="BE1026" s="15"/>
      <c r="BF1026" s="18"/>
      <c r="BG1026" s="15"/>
      <c r="BH1026" s="18"/>
      <c r="BI1026" s="15"/>
      <c r="BJ1026" s="18"/>
      <c r="BK1026" s="15"/>
      <c r="BL1026" s="18"/>
      <c r="BM1026" s="15"/>
      <c r="BN1026" s="18"/>
      <c r="BO1026" s="15"/>
      <c r="BP1026" s="18"/>
      <c r="BQ1026" s="109">
        <f t="shared" si="1890"/>
        <v>0</v>
      </c>
      <c r="BR1026" s="568"/>
      <c r="BS1026" s="573"/>
      <c r="BT1026" s="574"/>
      <c r="BU1026" s="559"/>
      <c r="BV1026" s="562"/>
      <c r="BW1026" s="565"/>
      <c r="BX1026" s="617"/>
    </row>
    <row r="1027" spans="1:76" ht="15.75" thickTop="1" x14ac:dyDescent="0.25">
      <c r="A1027" s="585">
        <v>255</v>
      </c>
      <c r="B1027" s="588"/>
      <c r="C1027" s="589"/>
      <c r="D1027" s="604"/>
      <c r="E1027" s="515"/>
      <c r="F1027" s="516"/>
      <c r="G1027" s="521"/>
      <c r="H1027" s="522"/>
      <c r="I1027" s="527"/>
      <c r="J1027" s="528"/>
      <c r="K1027" s="512" t="e">
        <f t="shared" ref="K1027" si="1958">INT(YEARFRAC(I1027,AA1027))</f>
        <v>#VALUE!</v>
      </c>
      <c r="L1027" s="533">
        <f t="shared" ref="L1027" ca="1" si="1959">INT(YEARFRAC(I1027,TODAY()))</f>
        <v>121</v>
      </c>
      <c r="M1027" s="536"/>
      <c r="N1027" s="539"/>
      <c r="O1027" s="540"/>
      <c r="P1027" s="481"/>
      <c r="Q1027" s="482"/>
      <c r="R1027" s="515"/>
      <c r="S1027" s="516"/>
      <c r="T1027" s="487"/>
      <c r="U1027" s="488"/>
      <c r="V1027" s="491"/>
      <c r="W1027" s="481"/>
      <c r="X1027" s="494"/>
      <c r="Y1027" s="482"/>
      <c r="Z1027" s="497"/>
      <c r="AA1027" s="500" t="s">
        <v>496</v>
      </c>
      <c r="AB1027" s="501"/>
      <c r="AC1027" s="506" t="s">
        <v>257</v>
      </c>
      <c r="AD1027" s="507"/>
      <c r="AE1027" s="507"/>
      <c r="AF1027" s="510"/>
      <c r="AG1027" s="510"/>
      <c r="AH1027" s="510"/>
      <c r="AI1027" s="510"/>
      <c r="AJ1027" s="510"/>
      <c r="AK1027" s="510"/>
      <c r="AL1027" s="510"/>
      <c r="AM1027" s="510"/>
      <c r="AN1027" s="510"/>
      <c r="AO1027" s="510"/>
      <c r="AP1027" s="510"/>
      <c r="AQ1027" s="465"/>
      <c r="AR1027" s="467">
        <f t="shared" ref="AR1027" si="1960">SUM(AF1027:AQ1028)</f>
        <v>0</v>
      </c>
      <c r="AS1027" s="119" t="s">
        <v>257</v>
      </c>
      <c r="AT1027" s="120"/>
      <c r="AU1027" s="120"/>
      <c r="AV1027" s="120"/>
      <c r="AW1027" s="121"/>
      <c r="AX1027" s="125">
        <f t="shared" ref="AX1027:AX1029" si="1961">SUM(AT1027:AW1027)</f>
        <v>0</v>
      </c>
      <c r="AY1027" s="141" t="s">
        <v>257</v>
      </c>
      <c r="AZ1027" s="137"/>
      <c r="BA1027" s="137"/>
      <c r="BB1027" s="134">
        <f t="shared" ref="BB1027:BB1029" si="1962">AZ1027-BA1027</f>
        <v>0</v>
      </c>
      <c r="BC1027" s="469" t="s">
        <v>258</v>
      </c>
      <c r="BD1027" s="470"/>
      <c r="BE1027" s="13"/>
      <c r="BF1027" s="16"/>
      <c r="BG1027" s="13"/>
      <c r="BH1027" s="16"/>
      <c r="BI1027" s="13"/>
      <c r="BJ1027" s="16"/>
      <c r="BK1027" s="13"/>
      <c r="BL1027" s="16"/>
      <c r="BM1027" s="13"/>
      <c r="BN1027" s="16"/>
      <c r="BO1027" s="13"/>
      <c r="BP1027" s="16"/>
      <c r="BQ1027" s="106">
        <f t="shared" si="1890"/>
        <v>0</v>
      </c>
      <c r="BR1027" s="566"/>
      <c r="BS1027" s="569"/>
      <c r="BT1027" s="570"/>
      <c r="BU1027" s="557"/>
      <c r="BV1027" s="560"/>
      <c r="BW1027" s="563"/>
      <c r="BX1027" s="615"/>
    </row>
    <row r="1028" spans="1:76" x14ac:dyDescent="0.25">
      <c r="A1028" s="586"/>
      <c r="B1028" s="590"/>
      <c r="C1028" s="591"/>
      <c r="D1028" s="605"/>
      <c r="E1028" s="517"/>
      <c r="F1028" s="518"/>
      <c r="G1028" s="523"/>
      <c r="H1028" s="524"/>
      <c r="I1028" s="529"/>
      <c r="J1028" s="530"/>
      <c r="K1028" s="513"/>
      <c r="L1028" s="534"/>
      <c r="M1028" s="537"/>
      <c r="N1028" s="541"/>
      <c r="O1028" s="542"/>
      <c r="P1028" s="483"/>
      <c r="Q1028" s="484"/>
      <c r="R1028" s="517"/>
      <c r="S1028" s="518"/>
      <c r="T1028" s="487"/>
      <c r="U1028" s="488"/>
      <c r="V1028" s="492"/>
      <c r="W1028" s="483"/>
      <c r="X1028" s="495"/>
      <c r="Y1028" s="484"/>
      <c r="Z1028" s="498"/>
      <c r="AA1028" s="502"/>
      <c r="AB1028" s="503"/>
      <c r="AC1028" s="508"/>
      <c r="AD1028" s="509"/>
      <c r="AE1028" s="509"/>
      <c r="AF1028" s="511"/>
      <c r="AG1028" s="511"/>
      <c r="AH1028" s="511"/>
      <c r="AI1028" s="511"/>
      <c r="AJ1028" s="511"/>
      <c r="AK1028" s="511"/>
      <c r="AL1028" s="511"/>
      <c r="AM1028" s="511"/>
      <c r="AN1028" s="511"/>
      <c r="AO1028" s="511"/>
      <c r="AP1028" s="511"/>
      <c r="AQ1028" s="466"/>
      <c r="AR1028" s="468"/>
      <c r="AS1028" s="122" t="s">
        <v>259</v>
      </c>
      <c r="AT1028" s="123"/>
      <c r="AU1028" s="123"/>
      <c r="AV1028" s="123"/>
      <c r="AW1028" s="124"/>
      <c r="AX1028" s="126">
        <f t="shared" si="1961"/>
        <v>0</v>
      </c>
      <c r="AY1028" s="142" t="s">
        <v>259</v>
      </c>
      <c r="AZ1028" s="138"/>
      <c r="BA1028" s="138"/>
      <c r="BB1028" s="135">
        <f t="shared" si="1962"/>
        <v>0</v>
      </c>
      <c r="BC1028" s="474" t="s">
        <v>260</v>
      </c>
      <c r="BD1028" s="475"/>
      <c r="BE1028" s="14"/>
      <c r="BF1028" s="17"/>
      <c r="BG1028" s="14"/>
      <c r="BH1028" s="17"/>
      <c r="BI1028" s="14"/>
      <c r="BJ1028" s="17"/>
      <c r="BK1028" s="14"/>
      <c r="BL1028" s="17"/>
      <c r="BM1028" s="14"/>
      <c r="BN1028" s="17"/>
      <c r="BO1028" s="14"/>
      <c r="BP1028" s="17"/>
      <c r="BQ1028" s="107">
        <f t="shared" si="1890"/>
        <v>0</v>
      </c>
      <c r="BR1028" s="567"/>
      <c r="BS1028" s="571"/>
      <c r="BT1028" s="572"/>
      <c r="BU1028" s="558"/>
      <c r="BV1028" s="561"/>
      <c r="BW1028" s="564"/>
      <c r="BX1028" s="616"/>
    </row>
    <row r="1029" spans="1:76" ht="15.75" thickBot="1" x14ac:dyDescent="0.3">
      <c r="A1029" s="586"/>
      <c r="B1029" s="590"/>
      <c r="C1029" s="591"/>
      <c r="D1029" s="605"/>
      <c r="E1029" s="517"/>
      <c r="F1029" s="518"/>
      <c r="G1029" s="523"/>
      <c r="H1029" s="524"/>
      <c r="I1029" s="529"/>
      <c r="J1029" s="530"/>
      <c r="K1029" s="513"/>
      <c r="L1029" s="534"/>
      <c r="M1029" s="537"/>
      <c r="N1029" s="541"/>
      <c r="O1029" s="542"/>
      <c r="P1029" s="483"/>
      <c r="Q1029" s="484"/>
      <c r="R1029" s="517"/>
      <c r="S1029" s="518"/>
      <c r="T1029" s="487"/>
      <c r="U1029" s="488"/>
      <c r="V1029" s="492"/>
      <c r="W1029" s="483"/>
      <c r="X1029" s="495"/>
      <c r="Y1029" s="484"/>
      <c r="Z1029" s="498"/>
      <c r="AA1029" s="502"/>
      <c r="AB1029" s="503"/>
      <c r="AC1029" s="471" t="s">
        <v>259</v>
      </c>
      <c r="AD1029" s="472"/>
      <c r="AE1029" s="473"/>
      <c r="AF1029" s="100"/>
      <c r="AG1029" s="100"/>
      <c r="AH1029" s="100"/>
      <c r="AI1029" s="100"/>
      <c r="AJ1029" s="100"/>
      <c r="AK1029" s="100"/>
      <c r="AL1029" s="100"/>
      <c r="AM1029" s="100"/>
      <c r="AN1029" s="100"/>
      <c r="AO1029" s="100"/>
      <c r="AP1029" s="100"/>
      <c r="AQ1029" s="101"/>
      <c r="AR1029" s="104">
        <f t="shared" ref="AR1029:AR1030" si="1963">SUM(AF1029:AQ1029)</f>
        <v>0</v>
      </c>
      <c r="AS1029" s="128" t="s">
        <v>261</v>
      </c>
      <c r="AT1029" s="129"/>
      <c r="AU1029" s="129"/>
      <c r="AV1029" s="129"/>
      <c r="AW1029" s="130"/>
      <c r="AX1029" s="126">
        <f t="shared" si="1961"/>
        <v>0</v>
      </c>
      <c r="AY1029" s="143" t="s">
        <v>261</v>
      </c>
      <c r="AZ1029" s="139"/>
      <c r="BA1029" s="139"/>
      <c r="BB1029" s="136">
        <f t="shared" si="1962"/>
        <v>0</v>
      </c>
      <c r="BC1029" s="474" t="s">
        <v>262</v>
      </c>
      <c r="BD1029" s="475"/>
      <c r="BE1029" s="14"/>
      <c r="BF1029" s="17"/>
      <c r="BG1029" s="14"/>
      <c r="BH1029" s="17"/>
      <c r="BI1029" s="14"/>
      <c r="BJ1029" s="17"/>
      <c r="BK1029" s="14"/>
      <c r="BL1029" s="17"/>
      <c r="BM1029" s="14"/>
      <c r="BN1029" s="17"/>
      <c r="BO1029" s="14"/>
      <c r="BP1029" s="17"/>
      <c r="BQ1029" s="108">
        <f t="shared" si="1890"/>
        <v>0</v>
      </c>
      <c r="BR1029" s="567"/>
      <c r="BS1029" s="571"/>
      <c r="BT1029" s="572"/>
      <c r="BU1029" s="558"/>
      <c r="BV1029" s="561"/>
      <c r="BW1029" s="564"/>
      <c r="BX1029" s="616"/>
    </row>
    <row r="1030" spans="1:76" ht="15.75" thickBot="1" x14ac:dyDescent="0.3">
      <c r="A1030" s="587"/>
      <c r="B1030" s="592"/>
      <c r="C1030" s="593"/>
      <c r="D1030" s="606"/>
      <c r="E1030" s="519"/>
      <c r="F1030" s="520"/>
      <c r="G1030" s="525"/>
      <c r="H1030" s="526"/>
      <c r="I1030" s="531"/>
      <c r="J1030" s="532"/>
      <c r="K1030" s="514"/>
      <c r="L1030" s="535"/>
      <c r="M1030" s="538"/>
      <c r="N1030" s="543"/>
      <c r="O1030" s="544"/>
      <c r="P1030" s="485"/>
      <c r="Q1030" s="486"/>
      <c r="R1030" s="519"/>
      <c r="S1030" s="520"/>
      <c r="T1030" s="489"/>
      <c r="U1030" s="490"/>
      <c r="V1030" s="493"/>
      <c r="W1030" s="485"/>
      <c r="X1030" s="496"/>
      <c r="Y1030" s="486"/>
      <c r="Z1030" s="499"/>
      <c r="AA1030" s="504"/>
      <c r="AB1030" s="505"/>
      <c r="AC1030" s="476" t="s">
        <v>261</v>
      </c>
      <c r="AD1030" s="477"/>
      <c r="AE1030" s="478"/>
      <c r="AF1030" s="102"/>
      <c r="AG1030" s="102"/>
      <c r="AH1030" s="102"/>
      <c r="AI1030" s="102"/>
      <c r="AJ1030" s="102"/>
      <c r="AK1030" s="102"/>
      <c r="AL1030" s="102"/>
      <c r="AM1030" s="102"/>
      <c r="AN1030" s="102"/>
      <c r="AO1030" s="102"/>
      <c r="AP1030" s="102"/>
      <c r="AQ1030" s="103"/>
      <c r="AR1030" s="105">
        <f t="shared" si="1963"/>
        <v>0</v>
      </c>
      <c r="AS1030" s="131" t="s">
        <v>161</v>
      </c>
      <c r="AT1030" s="132">
        <f t="shared" ref="AT1030:AX1030" si="1964">SUM(AT1027:AT1029)</f>
        <v>0</v>
      </c>
      <c r="AU1030" s="132">
        <f t="shared" si="1964"/>
        <v>0</v>
      </c>
      <c r="AV1030" s="132">
        <f t="shared" si="1964"/>
        <v>0</v>
      </c>
      <c r="AW1030" s="133">
        <f t="shared" si="1964"/>
        <v>0</v>
      </c>
      <c r="AX1030" s="127">
        <f t="shared" si="1964"/>
        <v>0</v>
      </c>
      <c r="AY1030" s="144" t="s">
        <v>161</v>
      </c>
      <c r="AZ1030" s="140">
        <f t="shared" ref="AZ1030:BB1030" si="1965">SUM(AZ1027:AZ1029)</f>
        <v>0</v>
      </c>
      <c r="BA1030" s="140">
        <f t="shared" si="1965"/>
        <v>0</v>
      </c>
      <c r="BB1030" s="140">
        <f t="shared" si="1965"/>
        <v>0</v>
      </c>
      <c r="BC1030" s="479" t="s">
        <v>263</v>
      </c>
      <c r="BD1030" s="480"/>
      <c r="BE1030" s="15"/>
      <c r="BF1030" s="18"/>
      <c r="BG1030" s="15"/>
      <c r="BH1030" s="18"/>
      <c r="BI1030" s="15"/>
      <c r="BJ1030" s="18"/>
      <c r="BK1030" s="15"/>
      <c r="BL1030" s="18"/>
      <c r="BM1030" s="15"/>
      <c r="BN1030" s="18"/>
      <c r="BO1030" s="15"/>
      <c r="BP1030" s="18"/>
      <c r="BQ1030" s="109">
        <f t="shared" si="1890"/>
        <v>0</v>
      </c>
      <c r="BR1030" s="568"/>
      <c r="BS1030" s="573"/>
      <c r="BT1030" s="574"/>
      <c r="BU1030" s="559"/>
      <c r="BV1030" s="562"/>
      <c r="BW1030" s="565"/>
      <c r="BX1030" s="617"/>
    </row>
    <row r="1031" spans="1:76" ht="15.75" thickTop="1" x14ac:dyDescent="0.25">
      <c r="A1031" s="585">
        <v>256</v>
      </c>
      <c r="B1031" s="588"/>
      <c r="C1031" s="589"/>
      <c r="D1031" s="604"/>
      <c r="E1031" s="515"/>
      <c r="F1031" s="516"/>
      <c r="G1031" s="521"/>
      <c r="H1031" s="522"/>
      <c r="I1031" s="527"/>
      <c r="J1031" s="528"/>
      <c r="K1031" s="512" t="e">
        <f t="shared" ref="K1031" si="1966">INT(YEARFRAC(I1031,AA1031))</f>
        <v>#VALUE!</v>
      </c>
      <c r="L1031" s="533">
        <f t="shared" ref="L1031" ca="1" si="1967">INT(YEARFRAC(I1031,TODAY()))</f>
        <v>121</v>
      </c>
      <c r="M1031" s="536"/>
      <c r="N1031" s="539"/>
      <c r="O1031" s="540"/>
      <c r="P1031" s="481"/>
      <c r="Q1031" s="482"/>
      <c r="R1031" s="515"/>
      <c r="S1031" s="516"/>
      <c r="T1031" s="487"/>
      <c r="U1031" s="488"/>
      <c r="V1031" s="491"/>
      <c r="W1031" s="481"/>
      <c r="X1031" s="494"/>
      <c r="Y1031" s="482"/>
      <c r="Z1031" s="497"/>
      <c r="AA1031" s="500" t="s">
        <v>497</v>
      </c>
      <c r="AB1031" s="501"/>
      <c r="AC1031" s="506" t="s">
        <v>257</v>
      </c>
      <c r="AD1031" s="507"/>
      <c r="AE1031" s="507"/>
      <c r="AF1031" s="510"/>
      <c r="AG1031" s="510"/>
      <c r="AH1031" s="510"/>
      <c r="AI1031" s="510"/>
      <c r="AJ1031" s="510"/>
      <c r="AK1031" s="510"/>
      <c r="AL1031" s="510"/>
      <c r="AM1031" s="510"/>
      <c r="AN1031" s="510"/>
      <c r="AO1031" s="510"/>
      <c r="AP1031" s="510"/>
      <c r="AQ1031" s="465"/>
      <c r="AR1031" s="467">
        <f t="shared" ref="AR1031" si="1968">SUM(AF1031:AQ1032)</f>
        <v>0</v>
      </c>
      <c r="AS1031" s="119" t="s">
        <v>257</v>
      </c>
      <c r="AT1031" s="120"/>
      <c r="AU1031" s="120"/>
      <c r="AV1031" s="120"/>
      <c r="AW1031" s="121"/>
      <c r="AX1031" s="125">
        <f t="shared" ref="AX1031:AX1033" si="1969">SUM(AT1031:AW1031)</f>
        <v>0</v>
      </c>
      <c r="AY1031" s="141" t="s">
        <v>257</v>
      </c>
      <c r="AZ1031" s="137"/>
      <c r="BA1031" s="137"/>
      <c r="BB1031" s="134">
        <f t="shared" ref="BB1031:BB1033" si="1970">AZ1031-BA1031</f>
        <v>0</v>
      </c>
      <c r="BC1031" s="469" t="s">
        <v>258</v>
      </c>
      <c r="BD1031" s="470"/>
      <c r="BE1031" s="13"/>
      <c r="BF1031" s="16"/>
      <c r="BG1031" s="13"/>
      <c r="BH1031" s="16"/>
      <c r="BI1031" s="13"/>
      <c r="BJ1031" s="16"/>
      <c r="BK1031" s="13"/>
      <c r="BL1031" s="16"/>
      <c r="BM1031" s="13"/>
      <c r="BN1031" s="16"/>
      <c r="BO1031" s="13"/>
      <c r="BP1031" s="16"/>
      <c r="BQ1031" s="106">
        <f t="shared" si="1890"/>
        <v>0</v>
      </c>
      <c r="BR1031" s="566"/>
      <c r="BS1031" s="569"/>
      <c r="BT1031" s="570"/>
      <c r="BU1031" s="557"/>
      <c r="BV1031" s="560"/>
      <c r="BW1031" s="563"/>
      <c r="BX1031" s="615"/>
    </row>
    <row r="1032" spans="1:76" x14ac:dyDescent="0.25">
      <c r="A1032" s="586"/>
      <c r="B1032" s="590"/>
      <c r="C1032" s="591"/>
      <c r="D1032" s="605"/>
      <c r="E1032" s="517"/>
      <c r="F1032" s="518"/>
      <c r="G1032" s="523"/>
      <c r="H1032" s="524"/>
      <c r="I1032" s="529"/>
      <c r="J1032" s="530"/>
      <c r="K1032" s="513"/>
      <c r="L1032" s="534"/>
      <c r="M1032" s="537"/>
      <c r="N1032" s="541"/>
      <c r="O1032" s="542"/>
      <c r="P1032" s="483"/>
      <c r="Q1032" s="484"/>
      <c r="R1032" s="517"/>
      <c r="S1032" s="518"/>
      <c r="T1032" s="487"/>
      <c r="U1032" s="488"/>
      <c r="V1032" s="492"/>
      <c r="W1032" s="483"/>
      <c r="X1032" s="495"/>
      <c r="Y1032" s="484"/>
      <c r="Z1032" s="498"/>
      <c r="AA1032" s="502"/>
      <c r="AB1032" s="503"/>
      <c r="AC1032" s="508"/>
      <c r="AD1032" s="509"/>
      <c r="AE1032" s="509"/>
      <c r="AF1032" s="511"/>
      <c r="AG1032" s="511"/>
      <c r="AH1032" s="511"/>
      <c r="AI1032" s="511"/>
      <c r="AJ1032" s="511"/>
      <c r="AK1032" s="511"/>
      <c r="AL1032" s="511"/>
      <c r="AM1032" s="511"/>
      <c r="AN1032" s="511"/>
      <c r="AO1032" s="511"/>
      <c r="AP1032" s="511"/>
      <c r="AQ1032" s="466"/>
      <c r="AR1032" s="468"/>
      <c r="AS1032" s="122" t="s">
        <v>259</v>
      </c>
      <c r="AT1032" s="123"/>
      <c r="AU1032" s="123"/>
      <c r="AV1032" s="123"/>
      <c r="AW1032" s="124"/>
      <c r="AX1032" s="126">
        <f t="shared" si="1969"/>
        <v>0</v>
      </c>
      <c r="AY1032" s="142" t="s">
        <v>259</v>
      </c>
      <c r="AZ1032" s="138"/>
      <c r="BA1032" s="138"/>
      <c r="BB1032" s="135">
        <f t="shared" si="1970"/>
        <v>0</v>
      </c>
      <c r="BC1032" s="474" t="s">
        <v>260</v>
      </c>
      <c r="BD1032" s="475"/>
      <c r="BE1032" s="14"/>
      <c r="BF1032" s="17"/>
      <c r="BG1032" s="14"/>
      <c r="BH1032" s="17"/>
      <c r="BI1032" s="14"/>
      <c r="BJ1032" s="17"/>
      <c r="BK1032" s="14"/>
      <c r="BL1032" s="17"/>
      <c r="BM1032" s="14"/>
      <c r="BN1032" s="17"/>
      <c r="BO1032" s="14"/>
      <c r="BP1032" s="17"/>
      <c r="BQ1032" s="107">
        <f t="shared" si="1890"/>
        <v>0</v>
      </c>
      <c r="BR1032" s="567"/>
      <c r="BS1032" s="571"/>
      <c r="BT1032" s="572"/>
      <c r="BU1032" s="558"/>
      <c r="BV1032" s="561"/>
      <c r="BW1032" s="564"/>
      <c r="BX1032" s="616"/>
    </row>
    <row r="1033" spans="1:76" ht="15.75" thickBot="1" x14ac:dyDescent="0.3">
      <c r="A1033" s="586"/>
      <c r="B1033" s="590"/>
      <c r="C1033" s="591"/>
      <c r="D1033" s="605"/>
      <c r="E1033" s="517"/>
      <c r="F1033" s="518"/>
      <c r="G1033" s="523"/>
      <c r="H1033" s="524"/>
      <c r="I1033" s="529"/>
      <c r="J1033" s="530"/>
      <c r="K1033" s="513"/>
      <c r="L1033" s="534"/>
      <c r="M1033" s="537"/>
      <c r="N1033" s="541"/>
      <c r="O1033" s="542"/>
      <c r="P1033" s="483"/>
      <c r="Q1033" s="484"/>
      <c r="R1033" s="517"/>
      <c r="S1033" s="518"/>
      <c r="T1033" s="487"/>
      <c r="U1033" s="488"/>
      <c r="V1033" s="492"/>
      <c r="W1033" s="483"/>
      <c r="X1033" s="495"/>
      <c r="Y1033" s="484"/>
      <c r="Z1033" s="498"/>
      <c r="AA1033" s="502"/>
      <c r="AB1033" s="503"/>
      <c r="AC1033" s="471" t="s">
        <v>259</v>
      </c>
      <c r="AD1033" s="472"/>
      <c r="AE1033" s="473"/>
      <c r="AF1033" s="100"/>
      <c r="AG1033" s="100"/>
      <c r="AH1033" s="100"/>
      <c r="AI1033" s="100"/>
      <c r="AJ1033" s="100"/>
      <c r="AK1033" s="100"/>
      <c r="AL1033" s="100"/>
      <c r="AM1033" s="100"/>
      <c r="AN1033" s="100"/>
      <c r="AO1033" s="100"/>
      <c r="AP1033" s="100"/>
      <c r="AQ1033" s="101"/>
      <c r="AR1033" s="104">
        <f t="shared" ref="AR1033:AR1034" si="1971">SUM(AF1033:AQ1033)</f>
        <v>0</v>
      </c>
      <c r="AS1033" s="128" t="s">
        <v>261</v>
      </c>
      <c r="AT1033" s="129"/>
      <c r="AU1033" s="129"/>
      <c r="AV1033" s="129"/>
      <c r="AW1033" s="130"/>
      <c r="AX1033" s="126">
        <f t="shared" si="1969"/>
        <v>0</v>
      </c>
      <c r="AY1033" s="143" t="s">
        <v>261</v>
      </c>
      <c r="AZ1033" s="139"/>
      <c r="BA1033" s="139"/>
      <c r="BB1033" s="136">
        <f t="shared" si="1970"/>
        <v>0</v>
      </c>
      <c r="BC1033" s="474" t="s">
        <v>262</v>
      </c>
      <c r="BD1033" s="475"/>
      <c r="BE1033" s="14"/>
      <c r="BF1033" s="17"/>
      <c r="BG1033" s="14"/>
      <c r="BH1033" s="17"/>
      <c r="BI1033" s="14"/>
      <c r="BJ1033" s="17"/>
      <c r="BK1033" s="14"/>
      <c r="BL1033" s="17"/>
      <c r="BM1033" s="14"/>
      <c r="BN1033" s="17"/>
      <c r="BO1033" s="14"/>
      <c r="BP1033" s="17"/>
      <c r="BQ1033" s="108">
        <f t="shared" si="1890"/>
        <v>0</v>
      </c>
      <c r="BR1033" s="567"/>
      <c r="BS1033" s="571"/>
      <c r="BT1033" s="572"/>
      <c r="BU1033" s="558"/>
      <c r="BV1033" s="561"/>
      <c r="BW1033" s="564"/>
      <c r="BX1033" s="616"/>
    </row>
    <row r="1034" spans="1:76" ht="15.75" thickBot="1" x14ac:dyDescent="0.3">
      <c r="A1034" s="587"/>
      <c r="B1034" s="592"/>
      <c r="C1034" s="593"/>
      <c r="D1034" s="606"/>
      <c r="E1034" s="519"/>
      <c r="F1034" s="520"/>
      <c r="G1034" s="525"/>
      <c r="H1034" s="526"/>
      <c r="I1034" s="531"/>
      <c r="J1034" s="532"/>
      <c r="K1034" s="514"/>
      <c r="L1034" s="535"/>
      <c r="M1034" s="538"/>
      <c r="N1034" s="543"/>
      <c r="O1034" s="544"/>
      <c r="P1034" s="485"/>
      <c r="Q1034" s="486"/>
      <c r="R1034" s="519"/>
      <c r="S1034" s="520"/>
      <c r="T1034" s="489"/>
      <c r="U1034" s="490"/>
      <c r="V1034" s="493"/>
      <c r="W1034" s="485"/>
      <c r="X1034" s="496"/>
      <c r="Y1034" s="486"/>
      <c r="Z1034" s="499"/>
      <c r="AA1034" s="504"/>
      <c r="AB1034" s="505"/>
      <c r="AC1034" s="476" t="s">
        <v>261</v>
      </c>
      <c r="AD1034" s="477"/>
      <c r="AE1034" s="478"/>
      <c r="AF1034" s="102"/>
      <c r="AG1034" s="102"/>
      <c r="AH1034" s="102"/>
      <c r="AI1034" s="102"/>
      <c r="AJ1034" s="102"/>
      <c r="AK1034" s="102"/>
      <c r="AL1034" s="102"/>
      <c r="AM1034" s="102"/>
      <c r="AN1034" s="102"/>
      <c r="AO1034" s="102"/>
      <c r="AP1034" s="102"/>
      <c r="AQ1034" s="103"/>
      <c r="AR1034" s="105">
        <f t="shared" si="1971"/>
        <v>0</v>
      </c>
      <c r="AS1034" s="131" t="s">
        <v>161</v>
      </c>
      <c r="AT1034" s="132">
        <f t="shared" ref="AT1034:AX1034" si="1972">SUM(AT1031:AT1033)</f>
        <v>0</v>
      </c>
      <c r="AU1034" s="132">
        <f t="shared" si="1972"/>
        <v>0</v>
      </c>
      <c r="AV1034" s="132">
        <f t="shared" si="1972"/>
        <v>0</v>
      </c>
      <c r="AW1034" s="133">
        <f t="shared" si="1972"/>
        <v>0</v>
      </c>
      <c r="AX1034" s="127">
        <f t="shared" si="1972"/>
        <v>0</v>
      </c>
      <c r="AY1034" s="144" t="s">
        <v>161</v>
      </c>
      <c r="AZ1034" s="140">
        <f t="shared" ref="AZ1034:BB1034" si="1973">SUM(AZ1031:AZ1033)</f>
        <v>0</v>
      </c>
      <c r="BA1034" s="140">
        <f t="shared" si="1973"/>
        <v>0</v>
      </c>
      <c r="BB1034" s="140">
        <f t="shared" si="1973"/>
        <v>0</v>
      </c>
      <c r="BC1034" s="479" t="s">
        <v>263</v>
      </c>
      <c r="BD1034" s="480"/>
      <c r="BE1034" s="15"/>
      <c r="BF1034" s="18"/>
      <c r="BG1034" s="15"/>
      <c r="BH1034" s="18"/>
      <c r="BI1034" s="15"/>
      <c r="BJ1034" s="18"/>
      <c r="BK1034" s="15"/>
      <c r="BL1034" s="18"/>
      <c r="BM1034" s="15"/>
      <c r="BN1034" s="18"/>
      <c r="BO1034" s="15"/>
      <c r="BP1034" s="18"/>
      <c r="BQ1034" s="109">
        <f t="shared" si="1890"/>
        <v>0</v>
      </c>
      <c r="BR1034" s="568"/>
      <c r="BS1034" s="573"/>
      <c r="BT1034" s="574"/>
      <c r="BU1034" s="559"/>
      <c r="BV1034" s="562"/>
      <c r="BW1034" s="565"/>
      <c r="BX1034" s="617"/>
    </row>
    <row r="1035" spans="1:76" ht="15.75" thickTop="1" x14ac:dyDescent="0.25">
      <c r="A1035" s="585">
        <v>257</v>
      </c>
      <c r="B1035" s="588"/>
      <c r="C1035" s="589"/>
      <c r="D1035" s="604"/>
      <c r="E1035" s="515"/>
      <c r="F1035" s="516"/>
      <c r="G1035" s="521"/>
      <c r="H1035" s="522"/>
      <c r="I1035" s="527"/>
      <c r="J1035" s="528"/>
      <c r="K1035" s="512" t="e">
        <f t="shared" ref="K1035" si="1974">INT(YEARFRAC(I1035,AA1035))</f>
        <v>#VALUE!</v>
      </c>
      <c r="L1035" s="533">
        <f t="shared" ref="L1035" ca="1" si="1975">INT(YEARFRAC(I1035,TODAY()))</f>
        <v>121</v>
      </c>
      <c r="M1035" s="536"/>
      <c r="N1035" s="539"/>
      <c r="O1035" s="540"/>
      <c r="P1035" s="481"/>
      <c r="Q1035" s="482"/>
      <c r="R1035" s="515"/>
      <c r="S1035" s="516"/>
      <c r="T1035" s="487"/>
      <c r="U1035" s="488"/>
      <c r="V1035" s="491"/>
      <c r="W1035" s="481"/>
      <c r="X1035" s="494"/>
      <c r="Y1035" s="482"/>
      <c r="Z1035" s="497"/>
      <c r="AA1035" s="500" t="s">
        <v>498</v>
      </c>
      <c r="AB1035" s="501"/>
      <c r="AC1035" s="506" t="s">
        <v>257</v>
      </c>
      <c r="AD1035" s="507"/>
      <c r="AE1035" s="507"/>
      <c r="AF1035" s="510"/>
      <c r="AG1035" s="510"/>
      <c r="AH1035" s="510"/>
      <c r="AI1035" s="510"/>
      <c r="AJ1035" s="510"/>
      <c r="AK1035" s="510"/>
      <c r="AL1035" s="510"/>
      <c r="AM1035" s="510"/>
      <c r="AN1035" s="510"/>
      <c r="AO1035" s="510"/>
      <c r="AP1035" s="510"/>
      <c r="AQ1035" s="465"/>
      <c r="AR1035" s="467">
        <f t="shared" ref="AR1035" si="1976">SUM(AF1035:AQ1036)</f>
        <v>0</v>
      </c>
      <c r="AS1035" s="119" t="s">
        <v>257</v>
      </c>
      <c r="AT1035" s="120"/>
      <c r="AU1035" s="120"/>
      <c r="AV1035" s="120"/>
      <c r="AW1035" s="121"/>
      <c r="AX1035" s="125">
        <f t="shared" ref="AX1035:AX1037" si="1977">SUM(AT1035:AW1035)</f>
        <v>0</v>
      </c>
      <c r="AY1035" s="141" t="s">
        <v>257</v>
      </c>
      <c r="AZ1035" s="137"/>
      <c r="BA1035" s="137"/>
      <c r="BB1035" s="134">
        <f t="shared" ref="BB1035:BB1037" si="1978">AZ1035-BA1035</f>
        <v>0</v>
      </c>
      <c r="BC1035" s="469" t="s">
        <v>258</v>
      </c>
      <c r="BD1035" s="470"/>
      <c r="BE1035" s="13"/>
      <c r="BF1035" s="16"/>
      <c r="BG1035" s="13"/>
      <c r="BH1035" s="16"/>
      <c r="BI1035" s="13"/>
      <c r="BJ1035" s="16"/>
      <c r="BK1035" s="13"/>
      <c r="BL1035" s="16"/>
      <c r="BM1035" s="13"/>
      <c r="BN1035" s="16"/>
      <c r="BO1035" s="13"/>
      <c r="BP1035" s="16"/>
      <c r="BQ1035" s="106">
        <f t="shared" si="1890"/>
        <v>0</v>
      </c>
      <c r="BR1035" s="566"/>
      <c r="BS1035" s="569"/>
      <c r="BT1035" s="570"/>
      <c r="BU1035" s="557"/>
      <c r="BV1035" s="560"/>
      <c r="BW1035" s="563"/>
      <c r="BX1035" s="615"/>
    </row>
    <row r="1036" spans="1:76" x14ac:dyDescent="0.25">
      <c r="A1036" s="586"/>
      <c r="B1036" s="590"/>
      <c r="C1036" s="591"/>
      <c r="D1036" s="605"/>
      <c r="E1036" s="517"/>
      <c r="F1036" s="518"/>
      <c r="G1036" s="523"/>
      <c r="H1036" s="524"/>
      <c r="I1036" s="529"/>
      <c r="J1036" s="530"/>
      <c r="K1036" s="513"/>
      <c r="L1036" s="534"/>
      <c r="M1036" s="537"/>
      <c r="N1036" s="541"/>
      <c r="O1036" s="542"/>
      <c r="P1036" s="483"/>
      <c r="Q1036" s="484"/>
      <c r="R1036" s="517"/>
      <c r="S1036" s="518"/>
      <c r="T1036" s="487"/>
      <c r="U1036" s="488"/>
      <c r="V1036" s="492"/>
      <c r="W1036" s="483"/>
      <c r="X1036" s="495"/>
      <c r="Y1036" s="484"/>
      <c r="Z1036" s="498"/>
      <c r="AA1036" s="502"/>
      <c r="AB1036" s="503"/>
      <c r="AC1036" s="508"/>
      <c r="AD1036" s="509"/>
      <c r="AE1036" s="509"/>
      <c r="AF1036" s="511"/>
      <c r="AG1036" s="511"/>
      <c r="AH1036" s="511"/>
      <c r="AI1036" s="511"/>
      <c r="AJ1036" s="511"/>
      <c r="AK1036" s="511"/>
      <c r="AL1036" s="511"/>
      <c r="AM1036" s="511"/>
      <c r="AN1036" s="511"/>
      <c r="AO1036" s="511"/>
      <c r="AP1036" s="511"/>
      <c r="AQ1036" s="466"/>
      <c r="AR1036" s="468"/>
      <c r="AS1036" s="122" t="s">
        <v>259</v>
      </c>
      <c r="AT1036" s="123"/>
      <c r="AU1036" s="123"/>
      <c r="AV1036" s="123"/>
      <c r="AW1036" s="124"/>
      <c r="AX1036" s="126">
        <f t="shared" si="1977"/>
        <v>0</v>
      </c>
      <c r="AY1036" s="142" t="s">
        <v>259</v>
      </c>
      <c r="AZ1036" s="138"/>
      <c r="BA1036" s="138"/>
      <c r="BB1036" s="135">
        <f t="shared" si="1978"/>
        <v>0</v>
      </c>
      <c r="BC1036" s="474" t="s">
        <v>260</v>
      </c>
      <c r="BD1036" s="475"/>
      <c r="BE1036" s="14"/>
      <c r="BF1036" s="17"/>
      <c r="BG1036" s="14"/>
      <c r="BH1036" s="17"/>
      <c r="BI1036" s="14"/>
      <c r="BJ1036" s="17"/>
      <c r="BK1036" s="14"/>
      <c r="BL1036" s="17"/>
      <c r="BM1036" s="14"/>
      <c r="BN1036" s="17"/>
      <c r="BO1036" s="14"/>
      <c r="BP1036" s="17"/>
      <c r="BQ1036" s="107">
        <f t="shared" si="1890"/>
        <v>0</v>
      </c>
      <c r="BR1036" s="567"/>
      <c r="BS1036" s="571"/>
      <c r="BT1036" s="572"/>
      <c r="BU1036" s="558"/>
      <c r="BV1036" s="561"/>
      <c r="BW1036" s="564"/>
      <c r="BX1036" s="616"/>
    </row>
    <row r="1037" spans="1:76" ht="15.75" thickBot="1" x14ac:dyDescent="0.3">
      <c r="A1037" s="586"/>
      <c r="B1037" s="590"/>
      <c r="C1037" s="591"/>
      <c r="D1037" s="605"/>
      <c r="E1037" s="517"/>
      <c r="F1037" s="518"/>
      <c r="G1037" s="523"/>
      <c r="H1037" s="524"/>
      <c r="I1037" s="529"/>
      <c r="J1037" s="530"/>
      <c r="K1037" s="513"/>
      <c r="L1037" s="534"/>
      <c r="M1037" s="537"/>
      <c r="N1037" s="541"/>
      <c r="O1037" s="542"/>
      <c r="P1037" s="483"/>
      <c r="Q1037" s="484"/>
      <c r="R1037" s="517"/>
      <c r="S1037" s="518"/>
      <c r="T1037" s="487"/>
      <c r="U1037" s="488"/>
      <c r="V1037" s="492"/>
      <c r="W1037" s="483"/>
      <c r="X1037" s="495"/>
      <c r="Y1037" s="484"/>
      <c r="Z1037" s="498"/>
      <c r="AA1037" s="502"/>
      <c r="AB1037" s="503"/>
      <c r="AC1037" s="471" t="s">
        <v>259</v>
      </c>
      <c r="AD1037" s="472"/>
      <c r="AE1037" s="473"/>
      <c r="AF1037" s="100"/>
      <c r="AG1037" s="100"/>
      <c r="AH1037" s="100"/>
      <c r="AI1037" s="100"/>
      <c r="AJ1037" s="100"/>
      <c r="AK1037" s="100"/>
      <c r="AL1037" s="100"/>
      <c r="AM1037" s="100"/>
      <c r="AN1037" s="100"/>
      <c r="AO1037" s="100"/>
      <c r="AP1037" s="100"/>
      <c r="AQ1037" s="101"/>
      <c r="AR1037" s="104">
        <f t="shared" ref="AR1037:AR1038" si="1979">SUM(AF1037:AQ1037)</f>
        <v>0</v>
      </c>
      <c r="AS1037" s="128" t="s">
        <v>261</v>
      </c>
      <c r="AT1037" s="129"/>
      <c r="AU1037" s="129"/>
      <c r="AV1037" s="129"/>
      <c r="AW1037" s="130"/>
      <c r="AX1037" s="126">
        <f t="shared" si="1977"/>
        <v>0</v>
      </c>
      <c r="AY1037" s="143" t="s">
        <v>261</v>
      </c>
      <c r="AZ1037" s="139"/>
      <c r="BA1037" s="139"/>
      <c r="BB1037" s="136">
        <f t="shared" si="1978"/>
        <v>0</v>
      </c>
      <c r="BC1037" s="474" t="s">
        <v>262</v>
      </c>
      <c r="BD1037" s="475"/>
      <c r="BE1037" s="14"/>
      <c r="BF1037" s="17"/>
      <c r="BG1037" s="14"/>
      <c r="BH1037" s="17"/>
      <c r="BI1037" s="14"/>
      <c r="BJ1037" s="17"/>
      <c r="BK1037" s="14"/>
      <c r="BL1037" s="17"/>
      <c r="BM1037" s="14"/>
      <c r="BN1037" s="17"/>
      <c r="BO1037" s="14"/>
      <c r="BP1037" s="17"/>
      <c r="BQ1037" s="108">
        <f t="shared" si="1890"/>
        <v>0</v>
      </c>
      <c r="BR1037" s="567"/>
      <c r="BS1037" s="571"/>
      <c r="BT1037" s="572"/>
      <c r="BU1037" s="558"/>
      <c r="BV1037" s="561"/>
      <c r="BW1037" s="564"/>
      <c r="BX1037" s="616"/>
    </row>
    <row r="1038" spans="1:76" ht="15.75" thickBot="1" x14ac:dyDescent="0.3">
      <c r="A1038" s="587"/>
      <c r="B1038" s="592"/>
      <c r="C1038" s="593"/>
      <c r="D1038" s="606"/>
      <c r="E1038" s="519"/>
      <c r="F1038" s="520"/>
      <c r="G1038" s="525"/>
      <c r="H1038" s="526"/>
      <c r="I1038" s="531"/>
      <c r="J1038" s="532"/>
      <c r="K1038" s="514"/>
      <c r="L1038" s="535"/>
      <c r="M1038" s="538"/>
      <c r="N1038" s="543"/>
      <c r="O1038" s="544"/>
      <c r="P1038" s="485"/>
      <c r="Q1038" s="486"/>
      <c r="R1038" s="519"/>
      <c r="S1038" s="520"/>
      <c r="T1038" s="489"/>
      <c r="U1038" s="490"/>
      <c r="V1038" s="493"/>
      <c r="W1038" s="485"/>
      <c r="X1038" s="496"/>
      <c r="Y1038" s="486"/>
      <c r="Z1038" s="499"/>
      <c r="AA1038" s="504"/>
      <c r="AB1038" s="505"/>
      <c r="AC1038" s="476" t="s">
        <v>261</v>
      </c>
      <c r="AD1038" s="477"/>
      <c r="AE1038" s="478"/>
      <c r="AF1038" s="102"/>
      <c r="AG1038" s="102"/>
      <c r="AH1038" s="102"/>
      <c r="AI1038" s="102"/>
      <c r="AJ1038" s="102"/>
      <c r="AK1038" s="102"/>
      <c r="AL1038" s="102"/>
      <c r="AM1038" s="102"/>
      <c r="AN1038" s="102"/>
      <c r="AO1038" s="102"/>
      <c r="AP1038" s="102"/>
      <c r="AQ1038" s="103"/>
      <c r="AR1038" s="105">
        <f t="shared" si="1979"/>
        <v>0</v>
      </c>
      <c r="AS1038" s="131" t="s">
        <v>161</v>
      </c>
      <c r="AT1038" s="132">
        <f t="shared" ref="AT1038:AX1038" si="1980">SUM(AT1035:AT1037)</f>
        <v>0</v>
      </c>
      <c r="AU1038" s="132">
        <f t="shared" si="1980"/>
        <v>0</v>
      </c>
      <c r="AV1038" s="132">
        <f t="shared" si="1980"/>
        <v>0</v>
      </c>
      <c r="AW1038" s="133">
        <f t="shared" si="1980"/>
        <v>0</v>
      </c>
      <c r="AX1038" s="127">
        <f t="shared" si="1980"/>
        <v>0</v>
      </c>
      <c r="AY1038" s="144" t="s">
        <v>161</v>
      </c>
      <c r="AZ1038" s="140">
        <f t="shared" ref="AZ1038:BB1038" si="1981">SUM(AZ1035:AZ1037)</f>
        <v>0</v>
      </c>
      <c r="BA1038" s="140">
        <f t="shared" si="1981"/>
        <v>0</v>
      </c>
      <c r="BB1038" s="140">
        <f t="shared" si="1981"/>
        <v>0</v>
      </c>
      <c r="BC1038" s="479" t="s">
        <v>263</v>
      </c>
      <c r="BD1038" s="480"/>
      <c r="BE1038" s="15"/>
      <c r="BF1038" s="18"/>
      <c r="BG1038" s="15"/>
      <c r="BH1038" s="18"/>
      <c r="BI1038" s="15"/>
      <c r="BJ1038" s="18"/>
      <c r="BK1038" s="15"/>
      <c r="BL1038" s="18"/>
      <c r="BM1038" s="15"/>
      <c r="BN1038" s="18"/>
      <c r="BO1038" s="15"/>
      <c r="BP1038" s="18"/>
      <c r="BQ1038" s="109">
        <f t="shared" si="1890"/>
        <v>0</v>
      </c>
      <c r="BR1038" s="568"/>
      <c r="BS1038" s="573"/>
      <c r="BT1038" s="574"/>
      <c r="BU1038" s="559"/>
      <c r="BV1038" s="562"/>
      <c r="BW1038" s="565"/>
      <c r="BX1038" s="617"/>
    </row>
    <row r="1039" spans="1:76" ht="15.75" thickTop="1" x14ac:dyDescent="0.25">
      <c r="A1039" s="585">
        <v>258</v>
      </c>
      <c r="B1039" s="588"/>
      <c r="C1039" s="589"/>
      <c r="D1039" s="604"/>
      <c r="E1039" s="515"/>
      <c r="F1039" s="516"/>
      <c r="G1039" s="521"/>
      <c r="H1039" s="522"/>
      <c r="I1039" s="527"/>
      <c r="J1039" s="528"/>
      <c r="K1039" s="512" t="e">
        <f t="shared" ref="K1039" si="1982">INT(YEARFRAC(I1039,AA1039))</f>
        <v>#VALUE!</v>
      </c>
      <c r="L1039" s="533">
        <f t="shared" ref="L1039" ca="1" si="1983">INT(YEARFRAC(I1039,TODAY()))</f>
        <v>121</v>
      </c>
      <c r="M1039" s="536"/>
      <c r="N1039" s="539"/>
      <c r="O1039" s="540"/>
      <c r="P1039" s="481"/>
      <c r="Q1039" s="482"/>
      <c r="R1039" s="515"/>
      <c r="S1039" s="516"/>
      <c r="T1039" s="487"/>
      <c r="U1039" s="488"/>
      <c r="V1039" s="491"/>
      <c r="W1039" s="481"/>
      <c r="X1039" s="494"/>
      <c r="Y1039" s="482"/>
      <c r="Z1039" s="497"/>
      <c r="AA1039" s="500" t="s">
        <v>499</v>
      </c>
      <c r="AB1039" s="501"/>
      <c r="AC1039" s="506" t="s">
        <v>257</v>
      </c>
      <c r="AD1039" s="507"/>
      <c r="AE1039" s="507"/>
      <c r="AF1039" s="510"/>
      <c r="AG1039" s="510"/>
      <c r="AH1039" s="510"/>
      <c r="AI1039" s="510"/>
      <c r="AJ1039" s="510"/>
      <c r="AK1039" s="510"/>
      <c r="AL1039" s="510"/>
      <c r="AM1039" s="510"/>
      <c r="AN1039" s="510"/>
      <c r="AO1039" s="510"/>
      <c r="AP1039" s="510"/>
      <c r="AQ1039" s="465"/>
      <c r="AR1039" s="467">
        <f t="shared" ref="AR1039" si="1984">SUM(AF1039:AQ1040)</f>
        <v>0</v>
      </c>
      <c r="AS1039" s="119" t="s">
        <v>257</v>
      </c>
      <c r="AT1039" s="120"/>
      <c r="AU1039" s="120"/>
      <c r="AV1039" s="120"/>
      <c r="AW1039" s="121"/>
      <c r="AX1039" s="125">
        <f t="shared" ref="AX1039:AX1041" si="1985">SUM(AT1039:AW1039)</f>
        <v>0</v>
      </c>
      <c r="AY1039" s="141" t="s">
        <v>257</v>
      </c>
      <c r="AZ1039" s="137"/>
      <c r="BA1039" s="137"/>
      <c r="BB1039" s="134">
        <f t="shared" ref="BB1039:BB1041" si="1986">AZ1039-BA1039</f>
        <v>0</v>
      </c>
      <c r="BC1039" s="469" t="s">
        <v>258</v>
      </c>
      <c r="BD1039" s="470"/>
      <c r="BE1039" s="13"/>
      <c r="BF1039" s="16"/>
      <c r="BG1039" s="13"/>
      <c r="BH1039" s="16"/>
      <c r="BI1039" s="13"/>
      <c r="BJ1039" s="16"/>
      <c r="BK1039" s="13"/>
      <c r="BL1039" s="16"/>
      <c r="BM1039" s="13"/>
      <c r="BN1039" s="16"/>
      <c r="BO1039" s="13"/>
      <c r="BP1039" s="16"/>
      <c r="BQ1039" s="106">
        <f t="shared" si="1890"/>
        <v>0</v>
      </c>
      <c r="BR1039" s="566"/>
      <c r="BS1039" s="569"/>
      <c r="BT1039" s="570"/>
      <c r="BU1039" s="557"/>
      <c r="BV1039" s="560"/>
      <c r="BW1039" s="563"/>
      <c r="BX1039" s="615"/>
    </row>
    <row r="1040" spans="1:76" x14ac:dyDescent="0.25">
      <c r="A1040" s="586"/>
      <c r="B1040" s="590"/>
      <c r="C1040" s="591"/>
      <c r="D1040" s="605"/>
      <c r="E1040" s="517"/>
      <c r="F1040" s="518"/>
      <c r="G1040" s="523"/>
      <c r="H1040" s="524"/>
      <c r="I1040" s="529"/>
      <c r="J1040" s="530"/>
      <c r="K1040" s="513"/>
      <c r="L1040" s="534"/>
      <c r="M1040" s="537"/>
      <c r="N1040" s="541"/>
      <c r="O1040" s="542"/>
      <c r="P1040" s="483"/>
      <c r="Q1040" s="484"/>
      <c r="R1040" s="517"/>
      <c r="S1040" s="518"/>
      <c r="T1040" s="487"/>
      <c r="U1040" s="488"/>
      <c r="V1040" s="492"/>
      <c r="W1040" s="483"/>
      <c r="X1040" s="495"/>
      <c r="Y1040" s="484"/>
      <c r="Z1040" s="498"/>
      <c r="AA1040" s="502"/>
      <c r="AB1040" s="503"/>
      <c r="AC1040" s="508"/>
      <c r="AD1040" s="509"/>
      <c r="AE1040" s="509"/>
      <c r="AF1040" s="511"/>
      <c r="AG1040" s="511"/>
      <c r="AH1040" s="511"/>
      <c r="AI1040" s="511"/>
      <c r="AJ1040" s="511"/>
      <c r="AK1040" s="511"/>
      <c r="AL1040" s="511"/>
      <c r="AM1040" s="511"/>
      <c r="AN1040" s="511"/>
      <c r="AO1040" s="511"/>
      <c r="AP1040" s="511"/>
      <c r="AQ1040" s="466"/>
      <c r="AR1040" s="468"/>
      <c r="AS1040" s="122" t="s">
        <v>259</v>
      </c>
      <c r="AT1040" s="123"/>
      <c r="AU1040" s="123"/>
      <c r="AV1040" s="123"/>
      <c r="AW1040" s="124"/>
      <c r="AX1040" s="126">
        <f t="shared" si="1985"/>
        <v>0</v>
      </c>
      <c r="AY1040" s="142" t="s">
        <v>259</v>
      </c>
      <c r="AZ1040" s="138"/>
      <c r="BA1040" s="138"/>
      <c r="BB1040" s="135">
        <f t="shared" si="1986"/>
        <v>0</v>
      </c>
      <c r="BC1040" s="474" t="s">
        <v>260</v>
      </c>
      <c r="BD1040" s="475"/>
      <c r="BE1040" s="14"/>
      <c r="BF1040" s="17"/>
      <c r="BG1040" s="14"/>
      <c r="BH1040" s="17"/>
      <c r="BI1040" s="14"/>
      <c r="BJ1040" s="17"/>
      <c r="BK1040" s="14"/>
      <c r="BL1040" s="17"/>
      <c r="BM1040" s="14"/>
      <c r="BN1040" s="17"/>
      <c r="BO1040" s="14"/>
      <c r="BP1040" s="17"/>
      <c r="BQ1040" s="107">
        <f t="shared" si="1890"/>
        <v>0</v>
      </c>
      <c r="BR1040" s="567"/>
      <c r="BS1040" s="571"/>
      <c r="BT1040" s="572"/>
      <c r="BU1040" s="558"/>
      <c r="BV1040" s="561"/>
      <c r="BW1040" s="564"/>
      <c r="BX1040" s="616"/>
    </row>
    <row r="1041" spans="1:76" ht="15.75" thickBot="1" x14ac:dyDescent="0.3">
      <c r="A1041" s="586"/>
      <c r="B1041" s="590"/>
      <c r="C1041" s="591"/>
      <c r="D1041" s="605"/>
      <c r="E1041" s="517"/>
      <c r="F1041" s="518"/>
      <c r="G1041" s="523"/>
      <c r="H1041" s="524"/>
      <c r="I1041" s="529"/>
      <c r="J1041" s="530"/>
      <c r="K1041" s="513"/>
      <c r="L1041" s="534"/>
      <c r="M1041" s="537"/>
      <c r="N1041" s="541"/>
      <c r="O1041" s="542"/>
      <c r="P1041" s="483"/>
      <c r="Q1041" s="484"/>
      <c r="R1041" s="517"/>
      <c r="S1041" s="518"/>
      <c r="T1041" s="487"/>
      <c r="U1041" s="488"/>
      <c r="V1041" s="492"/>
      <c r="W1041" s="483"/>
      <c r="X1041" s="495"/>
      <c r="Y1041" s="484"/>
      <c r="Z1041" s="498"/>
      <c r="AA1041" s="502"/>
      <c r="AB1041" s="503"/>
      <c r="AC1041" s="471" t="s">
        <v>259</v>
      </c>
      <c r="AD1041" s="472"/>
      <c r="AE1041" s="473"/>
      <c r="AF1041" s="100"/>
      <c r="AG1041" s="100"/>
      <c r="AH1041" s="100"/>
      <c r="AI1041" s="100"/>
      <c r="AJ1041" s="100"/>
      <c r="AK1041" s="100"/>
      <c r="AL1041" s="100"/>
      <c r="AM1041" s="100"/>
      <c r="AN1041" s="100"/>
      <c r="AO1041" s="100"/>
      <c r="AP1041" s="100"/>
      <c r="AQ1041" s="101"/>
      <c r="AR1041" s="104">
        <f t="shared" ref="AR1041:AR1042" si="1987">SUM(AF1041:AQ1041)</f>
        <v>0</v>
      </c>
      <c r="AS1041" s="128" t="s">
        <v>261</v>
      </c>
      <c r="AT1041" s="129"/>
      <c r="AU1041" s="129"/>
      <c r="AV1041" s="129"/>
      <c r="AW1041" s="130"/>
      <c r="AX1041" s="126">
        <f t="shared" si="1985"/>
        <v>0</v>
      </c>
      <c r="AY1041" s="143" t="s">
        <v>261</v>
      </c>
      <c r="AZ1041" s="139"/>
      <c r="BA1041" s="139"/>
      <c r="BB1041" s="136">
        <f t="shared" si="1986"/>
        <v>0</v>
      </c>
      <c r="BC1041" s="474" t="s">
        <v>262</v>
      </c>
      <c r="BD1041" s="475"/>
      <c r="BE1041" s="14"/>
      <c r="BF1041" s="17"/>
      <c r="BG1041" s="14"/>
      <c r="BH1041" s="17"/>
      <c r="BI1041" s="14"/>
      <c r="BJ1041" s="17"/>
      <c r="BK1041" s="14"/>
      <c r="BL1041" s="17"/>
      <c r="BM1041" s="14"/>
      <c r="BN1041" s="17"/>
      <c r="BO1041" s="14"/>
      <c r="BP1041" s="17"/>
      <c r="BQ1041" s="108">
        <f t="shared" si="1890"/>
        <v>0</v>
      </c>
      <c r="BR1041" s="567"/>
      <c r="BS1041" s="571"/>
      <c r="BT1041" s="572"/>
      <c r="BU1041" s="558"/>
      <c r="BV1041" s="561"/>
      <c r="BW1041" s="564"/>
      <c r="BX1041" s="616"/>
    </row>
    <row r="1042" spans="1:76" ht="15.75" thickBot="1" x14ac:dyDescent="0.3">
      <c r="A1042" s="587"/>
      <c r="B1042" s="592"/>
      <c r="C1042" s="593"/>
      <c r="D1042" s="606"/>
      <c r="E1042" s="519"/>
      <c r="F1042" s="520"/>
      <c r="G1042" s="525"/>
      <c r="H1042" s="526"/>
      <c r="I1042" s="531"/>
      <c r="J1042" s="532"/>
      <c r="K1042" s="514"/>
      <c r="L1042" s="535"/>
      <c r="M1042" s="538"/>
      <c r="N1042" s="543"/>
      <c r="O1042" s="544"/>
      <c r="P1042" s="485"/>
      <c r="Q1042" s="486"/>
      <c r="R1042" s="519"/>
      <c r="S1042" s="520"/>
      <c r="T1042" s="489"/>
      <c r="U1042" s="490"/>
      <c r="V1042" s="493"/>
      <c r="W1042" s="485"/>
      <c r="X1042" s="496"/>
      <c r="Y1042" s="486"/>
      <c r="Z1042" s="499"/>
      <c r="AA1042" s="504"/>
      <c r="AB1042" s="505"/>
      <c r="AC1042" s="476" t="s">
        <v>261</v>
      </c>
      <c r="AD1042" s="477"/>
      <c r="AE1042" s="478"/>
      <c r="AF1042" s="102"/>
      <c r="AG1042" s="102"/>
      <c r="AH1042" s="102"/>
      <c r="AI1042" s="102"/>
      <c r="AJ1042" s="102"/>
      <c r="AK1042" s="102"/>
      <c r="AL1042" s="102"/>
      <c r="AM1042" s="102"/>
      <c r="AN1042" s="102"/>
      <c r="AO1042" s="102"/>
      <c r="AP1042" s="102"/>
      <c r="AQ1042" s="103"/>
      <c r="AR1042" s="105">
        <f t="shared" si="1987"/>
        <v>0</v>
      </c>
      <c r="AS1042" s="131" t="s">
        <v>161</v>
      </c>
      <c r="AT1042" s="132">
        <f t="shared" ref="AT1042:AX1042" si="1988">SUM(AT1039:AT1041)</f>
        <v>0</v>
      </c>
      <c r="AU1042" s="132">
        <f t="shared" si="1988"/>
        <v>0</v>
      </c>
      <c r="AV1042" s="132">
        <f t="shared" si="1988"/>
        <v>0</v>
      </c>
      <c r="AW1042" s="133">
        <f t="shared" si="1988"/>
        <v>0</v>
      </c>
      <c r="AX1042" s="127">
        <f t="shared" si="1988"/>
        <v>0</v>
      </c>
      <c r="AY1042" s="144" t="s">
        <v>161</v>
      </c>
      <c r="AZ1042" s="140">
        <f t="shared" ref="AZ1042:BB1042" si="1989">SUM(AZ1039:AZ1041)</f>
        <v>0</v>
      </c>
      <c r="BA1042" s="140">
        <f t="shared" si="1989"/>
        <v>0</v>
      </c>
      <c r="BB1042" s="140">
        <f t="shared" si="1989"/>
        <v>0</v>
      </c>
      <c r="BC1042" s="479" t="s">
        <v>263</v>
      </c>
      <c r="BD1042" s="480"/>
      <c r="BE1042" s="15"/>
      <c r="BF1042" s="18"/>
      <c r="BG1042" s="15"/>
      <c r="BH1042" s="18"/>
      <c r="BI1042" s="15"/>
      <c r="BJ1042" s="18"/>
      <c r="BK1042" s="15"/>
      <c r="BL1042" s="18"/>
      <c r="BM1042" s="15"/>
      <c r="BN1042" s="18"/>
      <c r="BO1042" s="15"/>
      <c r="BP1042" s="18"/>
      <c r="BQ1042" s="109">
        <f t="shared" si="1890"/>
        <v>0</v>
      </c>
      <c r="BR1042" s="568"/>
      <c r="BS1042" s="573"/>
      <c r="BT1042" s="574"/>
      <c r="BU1042" s="559"/>
      <c r="BV1042" s="562"/>
      <c r="BW1042" s="565"/>
      <c r="BX1042" s="617"/>
    </row>
    <row r="1043" spans="1:76" ht="15.75" thickTop="1" x14ac:dyDescent="0.25">
      <c r="A1043" s="585">
        <v>259</v>
      </c>
      <c r="B1043" s="588"/>
      <c r="C1043" s="589"/>
      <c r="D1043" s="604"/>
      <c r="E1043" s="515"/>
      <c r="F1043" s="516"/>
      <c r="G1043" s="521"/>
      <c r="H1043" s="522"/>
      <c r="I1043" s="527"/>
      <c r="J1043" s="528"/>
      <c r="K1043" s="512" t="e">
        <f t="shared" ref="K1043" si="1990">INT(YEARFRAC(I1043,AA1043))</f>
        <v>#VALUE!</v>
      </c>
      <c r="L1043" s="533">
        <f t="shared" ref="L1043" ca="1" si="1991">INT(YEARFRAC(I1043,TODAY()))</f>
        <v>121</v>
      </c>
      <c r="M1043" s="536"/>
      <c r="N1043" s="539"/>
      <c r="O1043" s="540"/>
      <c r="P1043" s="481"/>
      <c r="Q1043" s="482"/>
      <c r="R1043" s="515"/>
      <c r="S1043" s="516"/>
      <c r="T1043" s="487"/>
      <c r="U1043" s="488"/>
      <c r="V1043" s="491"/>
      <c r="W1043" s="481"/>
      <c r="X1043" s="494"/>
      <c r="Y1043" s="482"/>
      <c r="Z1043" s="497"/>
      <c r="AA1043" s="500" t="s">
        <v>500</v>
      </c>
      <c r="AB1043" s="501"/>
      <c r="AC1043" s="506" t="s">
        <v>257</v>
      </c>
      <c r="AD1043" s="507"/>
      <c r="AE1043" s="507"/>
      <c r="AF1043" s="510"/>
      <c r="AG1043" s="510"/>
      <c r="AH1043" s="510"/>
      <c r="AI1043" s="510"/>
      <c r="AJ1043" s="510"/>
      <c r="AK1043" s="510"/>
      <c r="AL1043" s="510"/>
      <c r="AM1043" s="510"/>
      <c r="AN1043" s="510"/>
      <c r="AO1043" s="510"/>
      <c r="AP1043" s="510"/>
      <c r="AQ1043" s="465"/>
      <c r="AR1043" s="467">
        <f t="shared" ref="AR1043" si="1992">SUM(AF1043:AQ1044)</f>
        <v>0</v>
      </c>
      <c r="AS1043" s="119" t="s">
        <v>257</v>
      </c>
      <c r="AT1043" s="120"/>
      <c r="AU1043" s="120"/>
      <c r="AV1043" s="120"/>
      <c r="AW1043" s="121"/>
      <c r="AX1043" s="125">
        <f t="shared" ref="AX1043:AX1045" si="1993">SUM(AT1043:AW1043)</f>
        <v>0</v>
      </c>
      <c r="AY1043" s="141" t="s">
        <v>257</v>
      </c>
      <c r="AZ1043" s="137"/>
      <c r="BA1043" s="137"/>
      <c r="BB1043" s="134">
        <f t="shared" ref="BB1043:BB1045" si="1994">AZ1043-BA1043</f>
        <v>0</v>
      </c>
      <c r="BC1043" s="469" t="s">
        <v>258</v>
      </c>
      <c r="BD1043" s="470"/>
      <c r="BE1043" s="13"/>
      <c r="BF1043" s="16"/>
      <c r="BG1043" s="13"/>
      <c r="BH1043" s="16"/>
      <c r="BI1043" s="13"/>
      <c r="BJ1043" s="16"/>
      <c r="BK1043" s="13"/>
      <c r="BL1043" s="16"/>
      <c r="BM1043" s="13"/>
      <c r="BN1043" s="16"/>
      <c r="BO1043" s="13"/>
      <c r="BP1043" s="16"/>
      <c r="BQ1043" s="106">
        <f t="shared" si="1890"/>
        <v>0</v>
      </c>
      <c r="BR1043" s="566"/>
      <c r="BS1043" s="569"/>
      <c r="BT1043" s="570"/>
      <c r="BU1043" s="557"/>
      <c r="BV1043" s="560"/>
      <c r="BW1043" s="563"/>
      <c r="BX1043" s="615"/>
    </row>
    <row r="1044" spans="1:76" x14ac:dyDescent="0.25">
      <c r="A1044" s="586"/>
      <c r="B1044" s="590"/>
      <c r="C1044" s="591"/>
      <c r="D1044" s="605"/>
      <c r="E1044" s="517"/>
      <c r="F1044" s="518"/>
      <c r="G1044" s="523"/>
      <c r="H1044" s="524"/>
      <c r="I1044" s="529"/>
      <c r="J1044" s="530"/>
      <c r="K1044" s="513"/>
      <c r="L1044" s="534"/>
      <c r="M1044" s="537"/>
      <c r="N1044" s="541"/>
      <c r="O1044" s="542"/>
      <c r="P1044" s="483"/>
      <c r="Q1044" s="484"/>
      <c r="R1044" s="517"/>
      <c r="S1044" s="518"/>
      <c r="T1044" s="487"/>
      <c r="U1044" s="488"/>
      <c r="V1044" s="492"/>
      <c r="W1044" s="483"/>
      <c r="X1044" s="495"/>
      <c r="Y1044" s="484"/>
      <c r="Z1044" s="498"/>
      <c r="AA1044" s="502"/>
      <c r="AB1044" s="503"/>
      <c r="AC1044" s="508"/>
      <c r="AD1044" s="509"/>
      <c r="AE1044" s="509"/>
      <c r="AF1044" s="511"/>
      <c r="AG1044" s="511"/>
      <c r="AH1044" s="511"/>
      <c r="AI1044" s="511"/>
      <c r="AJ1044" s="511"/>
      <c r="AK1044" s="511"/>
      <c r="AL1044" s="511"/>
      <c r="AM1044" s="511"/>
      <c r="AN1044" s="511"/>
      <c r="AO1044" s="511"/>
      <c r="AP1044" s="511"/>
      <c r="AQ1044" s="466"/>
      <c r="AR1044" s="468"/>
      <c r="AS1044" s="122" t="s">
        <v>259</v>
      </c>
      <c r="AT1044" s="123"/>
      <c r="AU1044" s="123"/>
      <c r="AV1044" s="123"/>
      <c r="AW1044" s="124"/>
      <c r="AX1044" s="126">
        <f t="shared" si="1993"/>
        <v>0</v>
      </c>
      <c r="AY1044" s="142" t="s">
        <v>259</v>
      </c>
      <c r="AZ1044" s="138"/>
      <c r="BA1044" s="138"/>
      <c r="BB1044" s="135">
        <f t="shared" si="1994"/>
        <v>0</v>
      </c>
      <c r="BC1044" s="474" t="s">
        <v>260</v>
      </c>
      <c r="BD1044" s="475"/>
      <c r="BE1044" s="14"/>
      <c r="BF1044" s="17"/>
      <c r="BG1044" s="14"/>
      <c r="BH1044" s="17"/>
      <c r="BI1044" s="14"/>
      <c r="BJ1044" s="17"/>
      <c r="BK1044" s="14"/>
      <c r="BL1044" s="17"/>
      <c r="BM1044" s="14"/>
      <c r="BN1044" s="17"/>
      <c r="BO1044" s="14"/>
      <c r="BP1044" s="17"/>
      <c r="BQ1044" s="107">
        <f t="shared" si="1890"/>
        <v>0</v>
      </c>
      <c r="BR1044" s="567"/>
      <c r="BS1044" s="571"/>
      <c r="BT1044" s="572"/>
      <c r="BU1044" s="558"/>
      <c r="BV1044" s="561"/>
      <c r="BW1044" s="564"/>
      <c r="BX1044" s="616"/>
    </row>
    <row r="1045" spans="1:76" ht="15.75" thickBot="1" x14ac:dyDescent="0.3">
      <c r="A1045" s="586"/>
      <c r="B1045" s="590"/>
      <c r="C1045" s="591"/>
      <c r="D1045" s="605"/>
      <c r="E1045" s="517"/>
      <c r="F1045" s="518"/>
      <c r="G1045" s="523"/>
      <c r="H1045" s="524"/>
      <c r="I1045" s="529"/>
      <c r="J1045" s="530"/>
      <c r="K1045" s="513"/>
      <c r="L1045" s="534"/>
      <c r="M1045" s="537"/>
      <c r="N1045" s="541"/>
      <c r="O1045" s="542"/>
      <c r="P1045" s="483"/>
      <c r="Q1045" s="484"/>
      <c r="R1045" s="517"/>
      <c r="S1045" s="518"/>
      <c r="T1045" s="487"/>
      <c r="U1045" s="488"/>
      <c r="V1045" s="492"/>
      <c r="W1045" s="483"/>
      <c r="X1045" s="495"/>
      <c r="Y1045" s="484"/>
      <c r="Z1045" s="498"/>
      <c r="AA1045" s="502"/>
      <c r="AB1045" s="503"/>
      <c r="AC1045" s="471" t="s">
        <v>259</v>
      </c>
      <c r="AD1045" s="472"/>
      <c r="AE1045" s="473"/>
      <c r="AF1045" s="100"/>
      <c r="AG1045" s="100"/>
      <c r="AH1045" s="100"/>
      <c r="AI1045" s="100"/>
      <c r="AJ1045" s="100"/>
      <c r="AK1045" s="100"/>
      <c r="AL1045" s="100"/>
      <c r="AM1045" s="100"/>
      <c r="AN1045" s="100"/>
      <c r="AO1045" s="100"/>
      <c r="AP1045" s="100"/>
      <c r="AQ1045" s="101"/>
      <c r="AR1045" s="104">
        <f t="shared" ref="AR1045:AR1046" si="1995">SUM(AF1045:AQ1045)</f>
        <v>0</v>
      </c>
      <c r="AS1045" s="128" t="s">
        <v>261</v>
      </c>
      <c r="AT1045" s="129"/>
      <c r="AU1045" s="129"/>
      <c r="AV1045" s="129"/>
      <c r="AW1045" s="130"/>
      <c r="AX1045" s="126">
        <f t="shared" si="1993"/>
        <v>0</v>
      </c>
      <c r="AY1045" s="143" t="s">
        <v>261</v>
      </c>
      <c r="AZ1045" s="139"/>
      <c r="BA1045" s="139"/>
      <c r="BB1045" s="136">
        <f t="shared" si="1994"/>
        <v>0</v>
      </c>
      <c r="BC1045" s="474" t="s">
        <v>262</v>
      </c>
      <c r="BD1045" s="475"/>
      <c r="BE1045" s="14"/>
      <c r="BF1045" s="17"/>
      <c r="BG1045" s="14"/>
      <c r="BH1045" s="17"/>
      <c r="BI1045" s="14"/>
      <c r="BJ1045" s="17"/>
      <c r="BK1045" s="14"/>
      <c r="BL1045" s="17"/>
      <c r="BM1045" s="14"/>
      <c r="BN1045" s="17"/>
      <c r="BO1045" s="14"/>
      <c r="BP1045" s="17"/>
      <c r="BQ1045" s="108">
        <f t="shared" si="1890"/>
        <v>0</v>
      </c>
      <c r="BR1045" s="567"/>
      <c r="BS1045" s="571"/>
      <c r="BT1045" s="572"/>
      <c r="BU1045" s="558"/>
      <c r="BV1045" s="561"/>
      <c r="BW1045" s="564"/>
      <c r="BX1045" s="616"/>
    </row>
    <row r="1046" spans="1:76" ht="15.75" thickBot="1" x14ac:dyDescent="0.3">
      <c r="A1046" s="587"/>
      <c r="B1046" s="592"/>
      <c r="C1046" s="593"/>
      <c r="D1046" s="606"/>
      <c r="E1046" s="519"/>
      <c r="F1046" s="520"/>
      <c r="G1046" s="525"/>
      <c r="H1046" s="526"/>
      <c r="I1046" s="531"/>
      <c r="J1046" s="532"/>
      <c r="K1046" s="514"/>
      <c r="L1046" s="535"/>
      <c r="M1046" s="538"/>
      <c r="N1046" s="543"/>
      <c r="O1046" s="544"/>
      <c r="P1046" s="485"/>
      <c r="Q1046" s="486"/>
      <c r="R1046" s="519"/>
      <c r="S1046" s="520"/>
      <c r="T1046" s="489"/>
      <c r="U1046" s="490"/>
      <c r="V1046" s="493"/>
      <c r="W1046" s="485"/>
      <c r="X1046" s="496"/>
      <c r="Y1046" s="486"/>
      <c r="Z1046" s="499"/>
      <c r="AA1046" s="504"/>
      <c r="AB1046" s="505"/>
      <c r="AC1046" s="476" t="s">
        <v>261</v>
      </c>
      <c r="AD1046" s="477"/>
      <c r="AE1046" s="478"/>
      <c r="AF1046" s="102"/>
      <c r="AG1046" s="102"/>
      <c r="AH1046" s="102"/>
      <c r="AI1046" s="102"/>
      <c r="AJ1046" s="102"/>
      <c r="AK1046" s="102"/>
      <c r="AL1046" s="102"/>
      <c r="AM1046" s="102"/>
      <c r="AN1046" s="102"/>
      <c r="AO1046" s="102"/>
      <c r="AP1046" s="102"/>
      <c r="AQ1046" s="103"/>
      <c r="AR1046" s="105">
        <f t="shared" si="1995"/>
        <v>0</v>
      </c>
      <c r="AS1046" s="131" t="s">
        <v>161</v>
      </c>
      <c r="AT1046" s="132">
        <f t="shared" ref="AT1046:AX1046" si="1996">SUM(AT1043:AT1045)</f>
        <v>0</v>
      </c>
      <c r="AU1046" s="132">
        <f t="shared" si="1996"/>
        <v>0</v>
      </c>
      <c r="AV1046" s="132">
        <f t="shared" si="1996"/>
        <v>0</v>
      </c>
      <c r="AW1046" s="133">
        <f t="shared" si="1996"/>
        <v>0</v>
      </c>
      <c r="AX1046" s="127">
        <f t="shared" si="1996"/>
        <v>0</v>
      </c>
      <c r="AY1046" s="144" t="s">
        <v>161</v>
      </c>
      <c r="AZ1046" s="140">
        <f t="shared" ref="AZ1046:BB1046" si="1997">SUM(AZ1043:AZ1045)</f>
        <v>0</v>
      </c>
      <c r="BA1046" s="140">
        <f t="shared" si="1997"/>
        <v>0</v>
      </c>
      <c r="BB1046" s="140">
        <f t="shared" si="1997"/>
        <v>0</v>
      </c>
      <c r="BC1046" s="479" t="s">
        <v>263</v>
      </c>
      <c r="BD1046" s="480"/>
      <c r="BE1046" s="15"/>
      <c r="BF1046" s="18"/>
      <c r="BG1046" s="15"/>
      <c r="BH1046" s="18"/>
      <c r="BI1046" s="15"/>
      <c r="BJ1046" s="18"/>
      <c r="BK1046" s="15"/>
      <c r="BL1046" s="18"/>
      <c r="BM1046" s="15"/>
      <c r="BN1046" s="18"/>
      <c r="BO1046" s="15"/>
      <c r="BP1046" s="18"/>
      <c r="BQ1046" s="109">
        <f t="shared" si="1890"/>
        <v>0</v>
      </c>
      <c r="BR1046" s="568"/>
      <c r="BS1046" s="573"/>
      <c r="BT1046" s="574"/>
      <c r="BU1046" s="559"/>
      <c r="BV1046" s="562"/>
      <c r="BW1046" s="565"/>
      <c r="BX1046" s="617"/>
    </row>
    <row r="1047" spans="1:76" ht="15.75" thickTop="1" x14ac:dyDescent="0.25">
      <c r="A1047" s="585">
        <v>260</v>
      </c>
      <c r="B1047" s="588"/>
      <c r="C1047" s="589"/>
      <c r="D1047" s="604"/>
      <c r="E1047" s="515"/>
      <c r="F1047" s="516"/>
      <c r="G1047" s="521"/>
      <c r="H1047" s="522"/>
      <c r="I1047" s="527"/>
      <c r="J1047" s="528"/>
      <c r="K1047" s="512" t="e">
        <f t="shared" ref="K1047" si="1998">INT(YEARFRAC(I1047,AA1047))</f>
        <v>#VALUE!</v>
      </c>
      <c r="L1047" s="533">
        <f t="shared" ref="L1047" ca="1" si="1999">INT(YEARFRAC(I1047,TODAY()))</f>
        <v>121</v>
      </c>
      <c r="M1047" s="536"/>
      <c r="N1047" s="539"/>
      <c r="O1047" s="540"/>
      <c r="P1047" s="481"/>
      <c r="Q1047" s="482"/>
      <c r="R1047" s="515"/>
      <c r="S1047" s="516"/>
      <c r="T1047" s="487"/>
      <c r="U1047" s="488"/>
      <c r="V1047" s="491"/>
      <c r="W1047" s="481"/>
      <c r="X1047" s="494"/>
      <c r="Y1047" s="482"/>
      <c r="Z1047" s="497"/>
      <c r="AA1047" s="500" t="s">
        <v>501</v>
      </c>
      <c r="AB1047" s="501"/>
      <c r="AC1047" s="506" t="s">
        <v>257</v>
      </c>
      <c r="AD1047" s="507"/>
      <c r="AE1047" s="507"/>
      <c r="AF1047" s="510"/>
      <c r="AG1047" s="510"/>
      <c r="AH1047" s="510"/>
      <c r="AI1047" s="510"/>
      <c r="AJ1047" s="510"/>
      <c r="AK1047" s="510"/>
      <c r="AL1047" s="510"/>
      <c r="AM1047" s="510"/>
      <c r="AN1047" s="510"/>
      <c r="AO1047" s="510"/>
      <c r="AP1047" s="510"/>
      <c r="AQ1047" s="465"/>
      <c r="AR1047" s="467">
        <f t="shared" ref="AR1047" si="2000">SUM(AF1047:AQ1048)</f>
        <v>0</v>
      </c>
      <c r="AS1047" s="119" t="s">
        <v>257</v>
      </c>
      <c r="AT1047" s="120"/>
      <c r="AU1047" s="120"/>
      <c r="AV1047" s="120"/>
      <c r="AW1047" s="121"/>
      <c r="AX1047" s="125">
        <f t="shared" ref="AX1047:AX1049" si="2001">SUM(AT1047:AW1047)</f>
        <v>0</v>
      </c>
      <c r="AY1047" s="141" t="s">
        <v>257</v>
      </c>
      <c r="AZ1047" s="137"/>
      <c r="BA1047" s="137"/>
      <c r="BB1047" s="134">
        <f t="shared" ref="BB1047:BB1049" si="2002">AZ1047-BA1047</f>
        <v>0</v>
      </c>
      <c r="BC1047" s="469" t="s">
        <v>258</v>
      </c>
      <c r="BD1047" s="470"/>
      <c r="BE1047" s="13"/>
      <c r="BF1047" s="16"/>
      <c r="BG1047" s="13"/>
      <c r="BH1047" s="16"/>
      <c r="BI1047" s="13"/>
      <c r="BJ1047" s="16"/>
      <c r="BK1047" s="13"/>
      <c r="BL1047" s="16"/>
      <c r="BM1047" s="13"/>
      <c r="BN1047" s="16"/>
      <c r="BO1047" s="13"/>
      <c r="BP1047" s="16"/>
      <c r="BQ1047" s="106">
        <f t="shared" si="1890"/>
        <v>0</v>
      </c>
      <c r="BR1047" s="566"/>
      <c r="BS1047" s="569"/>
      <c r="BT1047" s="570"/>
      <c r="BU1047" s="557"/>
      <c r="BV1047" s="560"/>
      <c r="BW1047" s="563"/>
      <c r="BX1047" s="615"/>
    </row>
    <row r="1048" spans="1:76" x14ac:dyDescent="0.25">
      <c r="A1048" s="586"/>
      <c r="B1048" s="590"/>
      <c r="C1048" s="591"/>
      <c r="D1048" s="605"/>
      <c r="E1048" s="517"/>
      <c r="F1048" s="518"/>
      <c r="G1048" s="523"/>
      <c r="H1048" s="524"/>
      <c r="I1048" s="529"/>
      <c r="J1048" s="530"/>
      <c r="K1048" s="513"/>
      <c r="L1048" s="534"/>
      <c r="M1048" s="537"/>
      <c r="N1048" s="541"/>
      <c r="O1048" s="542"/>
      <c r="P1048" s="483"/>
      <c r="Q1048" s="484"/>
      <c r="R1048" s="517"/>
      <c r="S1048" s="518"/>
      <c r="T1048" s="487"/>
      <c r="U1048" s="488"/>
      <c r="V1048" s="492"/>
      <c r="W1048" s="483"/>
      <c r="X1048" s="495"/>
      <c r="Y1048" s="484"/>
      <c r="Z1048" s="498"/>
      <c r="AA1048" s="502"/>
      <c r="AB1048" s="503"/>
      <c r="AC1048" s="508"/>
      <c r="AD1048" s="509"/>
      <c r="AE1048" s="509"/>
      <c r="AF1048" s="511"/>
      <c r="AG1048" s="511"/>
      <c r="AH1048" s="511"/>
      <c r="AI1048" s="511"/>
      <c r="AJ1048" s="511"/>
      <c r="AK1048" s="511"/>
      <c r="AL1048" s="511"/>
      <c r="AM1048" s="511"/>
      <c r="AN1048" s="511"/>
      <c r="AO1048" s="511"/>
      <c r="AP1048" s="511"/>
      <c r="AQ1048" s="466"/>
      <c r="AR1048" s="468"/>
      <c r="AS1048" s="122" t="s">
        <v>259</v>
      </c>
      <c r="AT1048" s="123"/>
      <c r="AU1048" s="123"/>
      <c r="AV1048" s="123"/>
      <c r="AW1048" s="124"/>
      <c r="AX1048" s="126">
        <f t="shared" si="2001"/>
        <v>0</v>
      </c>
      <c r="AY1048" s="142" t="s">
        <v>259</v>
      </c>
      <c r="AZ1048" s="138"/>
      <c r="BA1048" s="138"/>
      <c r="BB1048" s="135">
        <f t="shared" si="2002"/>
        <v>0</v>
      </c>
      <c r="BC1048" s="474" t="s">
        <v>260</v>
      </c>
      <c r="BD1048" s="475"/>
      <c r="BE1048" s="14"/>
      <c r="BF1048" s="17"/>
      <c r="BG1048" s="14"/>
      <c r="BH1048" s="17"/>
      <c r="BI1048" s="14"/>
      <c r="BJ1048" s="17"/>
      <c r="BK1048" s="14"/>
      <c r="BL1048" s="17"/>
      <c r="BM1048" s="14"/>
      <c r="BN1048" s="17"/>
      <c r="BO1048" s="14"/>
      <c r="BP1048" s="17"/>
      <c r="BQ1048" s="107">
        <f t="shared" si="1890"/>
        <v>0</v>
      </c>
      <c r="BR1048" s="567"/>
      <c r="BS1048" s="571"/>
      <c r="BT1048" s="572"/>
      <c r="BU1048" s="558"/>
      <c r="BV1048" s="561"/>
      <c r="BW1048" s="564"/>
      <c r="BX1048" s="616"/>
    </row>
    <row r="1049" spans="1:76" ht="15.75" thickBot="1" x14ac:dyDescent="0.3">
      <c r="A1049" s="586"/>
      <c r="B1049" s="590"/>
      <c r="C1049" s="591"/>
      <c r="D1049" s="605"/>
      <c r="E1049" s="517"/>
      <c r="F1049" s="518"/>
      <c r="G1049" s="523"/>
      <c r="H1049" s="524"/>
      <c r="I1049" s="529"/>
      <c r="J1049" s="530"/>
      <c r="K1049" s="513"/>
      <c r="L1049" s="534"/>
      <c r="M1049" s="537"/>
      <c r="N1049" s="541"/>
      <c r="O1049" s="542"/>
      <c r="P1049" s="483"/>
      <c r="Q1049" s="484"/>
      <c r="R1049" s="517"/>
      <c r="S1049" s="518"/>
      <c r="T1049" s="487"/>
      <c r="U1049" s="488"/>
      <c r="V1049" s="492"/>
      <c r="W1049" s="483"/>
      <c r="X1049" s="495"/>
      <c r="Y1049" s="484"/>
      <c r="Z1049" s="498"/>
      <c r="AA1049" s="502"/>
      <c r="AB1049" s="503"/>
      <c r="AC1049" s="471" t="s">
        <v>259</v>
      </c>
      <c r="AD1049" s="472"/>
      <c r="AE1049" s="473"/>
      <c r="AF1049" s="100"/>
      <c r="AG1049" s="100"/>
      <c r="AH1049" s="100"/>
      <c r="AI1049" s="100"/>
      <c r="AJ1049" s="100"/>
      <c r="AK1049" s="100"/>
      <c r="AL1049" s="100"/>
      <c r="AM1049" s="100"/>
      <c r="AN1049" s="100"/>
      <c r="AO1049" s="100"/>
      <c r="AP1049" s="100"/>
      <c r="AQ1049" s="101"/>
      <c r="AR1049" s="104">
        <f t="shared" ref="AR1049:AR1050" si="2003">SUM(AF1049:AQ1049)</f>
        <v>0</v>
      </c>
      <c r="AS1049" s="128" t="s">
        <v>261</v>
      </c>
      <c r="AT1049" s="129"/>
      <c r="AU1049" s="129"/>
      <c r="AV1049" s="129"/>
      <c r="AW1049" s="130"/>
      <c r="AX1049" s="126">
        <f t="shared" si="2001"/>
        <v>0</v>
      </c>
      <c r="AY1049" s="143" t="s">
        <v>261</v>
      </c>
      <c r="AZ1049" s="139"/>
      <c r="BA1049" s="139"/>
      <c r="BB1049" s="136">
        <f t="shared" si="2002"/>
        <v>0</v>
      </c>
      <c r="BC1049" s="474" t="s">
        <v>262</v>
      </c>
      <c r="BD1049" s="475"/>
      <c r="BE1049" s="14"/>
      <c r="BF1049" s="17"/>
      <c r="BG1049" s="14"/>
      <c r="BH1049" s="17"/>
      <c r="BI1049" s="14"/>
      <c r="BJ1049" s="17"/>
      <c r="BK1049" s="14"/>
      <c r="BL1049" s="17"/>
      <c r="BM1049" s="14"/>
      <c r="BN1049" s="17"/>
      <c r="BO1049" s="14"/>
      <c r="BP1049" s="17"/>
      <c r="BQ1049" s="108">
        <f t="shared" si="1890"/>
        <v>0</v>
      </c>
      <c r="BR1049" s="567"/>
      <c r="BS1049" s="571"/>
      <c r="BT1049" s="572"/>
      <c r="BU1049" s="558"/>
      <c r="BV1049" s="561"/>
      <c r="BW1049" s="564"/>
      <c r="BX1049" s="616"/>
    </row>
    <row r="1050" spans="1:76" ht="15.75" thickBot="1" x14ac:dyDescent="0.3">
      <c r="A1050" s="587"/>
      <c r="B1050" s="592"/>
      <c r="C1050" s="593"/>
      <c r="D1050" s="606"/>
      <c r="E1050" s="519"/>
      <c r="F1050" s="520"/>
      <c r="G1050" s="525"/>
      <c r="H1050" s="526"/>
      <c r="I1050" s="531"/>
      <c r="J1050" s="532"/>
      <c r="K1050" s="514"/>
      <c r="L1050" s="535"/>
      <c r="M1050" s="538"/>
      <c r="N1050" s="543"/>
      <c r="O1050" s="544"/>
      <c r="P1050" s="485"/>
      <c r="Q1050" s="486"/>
      <c r="R1050" s="519"/>
      <c r="S1050" s="520"/>
      <c r="T1050" s="489"/>
      <c r="U1050" s="490"/>
      <c r="V1050" s="493"/>
      <c r="W1050" s="485"/>
      <c r="X1050" s="496"/>
      <c r="Y1050" s="486"/>
      <c r="Z1050" s="499"/>
      <c r="AA1050" s="504"/>
      <c r="AB1050" s="505"/>
      <c r="AC1050" s="476" t="s">
        <v>261</v>
      </c>
      <c r="AD1050" s="477"/>
      <c r="AE1050" s="478"/>
      <c r="AF1050" s="102"/>
      <c r="AG1050" s="102"/>
      <c r="AH1050" s="102"/>
      <c r="AI1050" s="102"/>
      <c r="AJ1050" s="102"/>
      <c r="AK1050" s="102"/>
      <c r="AL1050" s="102"/>
      <c r="AM1050" s="102"/>
      <c r="AN1050" s="102"/>
      <c r="AO1050" s="102"/>
      <c r="AP1050" s="102"/>
      <c r="AQ1050" s="103"/>
      <c r="AR1050" s="105">
        <f t="shared" si="2003"/>
        <v>0</v>
      </c>
      <c r="AS1050" s="131" t="s">
        <v>161</v>
      </c>
      <c r="AT1050" s="132">
        <f t="shared" ref="AT1050:AX1050" si="2004">SUM(AT1047:AT1049)</f>
        <v>0</v>
      </c>
      <c r="AU1050" s="132">
        <f t="shared" si="2004"/>
        <v>0</v>
      </c>
      <c r="AV1050" s="132">
        <f t="shared" si="2004"/>
        <v>0</v>
      </c>
      <c r="AW1050" s="133">
        <f t="shared" si="2004"/>
        <v>0</v>
      </c>
      <c r="AX1050" s="127">
        <f t="shared" si="2004"/>
        <v>0</v>
      </c>
      <c r="AY1050" s="144" t="s">
        <v>161</v>
      </c>
      <c r="AZ1050" s="140">
        <f t="shared" ref="AZ1050:BB1050" si="2005">SUM(AZ1047:AZ1049)</f>
        <v>0</v>
      </c>
      <c r="BA1050" s="140">
        <f t="shared" si="2005"/>
        <v>0</v>
      </c>
      <c r="BB1050" s="140">
        <f t="shared" si="2005"/>
        <v>0</v>
      </c>
      <c r="BC1050" s="479" t="s">
        <v>263</v>
      </c>
      <c r="BD1050" s="480"/>
      <c r="BE1050" s="15"/>
      <c r="BF1050" s="18"/>
      <c r="BG1050" s="15"/>
      <c r="BH1050" s="18"/>
      <c r="BI1050" s="15"/>
      <c r="BJ1050" s="18"/>
      <c r="BK1050" s="15"/>
      <c r="BL1050" s="18"/>
      <c r="BM1050" s="15"/>
      <c r="BN1050" s="18"/>
      <c r="BO1050" s="15"/>
      <c r="BP1050" s="18"/>
      <c r="BQ1050" s="109">
        <f t="shared" si="1890"/>
        <v>0</v>
      </c>
      <c r="BR1050" s="568"/>
      <c r="BS1050" s="573"/>
      <c r="BT1050" s="574"/>
      <c r="BU1050" s="559"/>
      <c r="BV1050" s="562"/>
      <c r="BW1050" s="565"/>
      <c r="BX1050" s="617"/>
    </row>
    <row r="1051" spans="1:76" ht="15.75" thickTop="1" x14ac:dyDescent="0.25">
      <c r="A1051" s="585">
        <v>261</v>
      </c>
      <c r="B1051" s="588"/>
      <c r="C1051" s="589"/>
      <c r="D1051" s="604"/>
      <c r="E1051" s="515"/>
      <c r="F1051" s="516"/>
      <c r="G1051" s="521"/>
      <c r="H1051" s="522"/>
      <c r="I1051" s="527"/>
      <c r="J1051" s="528"/>
      <c r="K1051" s="512" t="e">
        <f t="shared" ref="K1051" si="2006">INT(YEARFRAC(I1051,AA1051))</f>
        <v>#VALUE!</v>
      </c>
      <c r="L1051" s="533">
        <f t="shared" ref="L1051" ca="1" si="2007">INT(YEARFRAC(I1051,TODAY()))</f>
        <v>121</v>
      </c>
      <c r="M1051" s="536"/>
      <c r="N1051" s="539"/>
      <c r="O1051" s="540"/>
      <c r="P1051" s="481"/>
      <c r="Q1051" s="482"/>
      <c r="R1051" s="515"/>
      <c r="S1051" s="516"/>
      <c r="T1051" s="487"/>
      <c r="U1051" s="488"/>
      <c r="V1051" s="491"/>
      <c r="W1051" s="481"/>
      <c r="X1051" s="494"/>
      <c r="Y1051" s="482"/>
      <c r="Z1051" s="497"/>
      <c r="AA1051" s="500" t="s">
        <v>502</v>
      </c>
      <c r="AB1051" s="501"/>
      <c r="AC1051" s="506" t="s">
        <v>257</v>
      </c>
      <c r="AD1051" s="507"/>
      <c r="AE1051" s="507"/>
      <c r="AF1051" s="510"/>
      <c r="AG1051" s="510"/>
      <c r="AH1051" s="510"/>
      <c r="AI1051" s="510"/>
      <c r="AJ1051" s="510"/>
      <c r="AK1051" s="510"/>
      <c r="AL1051" s="510"/>
      <c r="AM1051" s="510"/>
      <c r="AN1051" s="510"/>
      <c r="AO1051" s="510"/>
      <c r="AP1051" s="510"/>
      <c r="AQ1051" s="465"/>
      <c r="AR1051" s="467">
        <f t="shared" ref="AR1051" si="2008">SUM(AF1051:AQ1052)</f>
        <v>0</v>
      </c>
      <c r="AS1051" s="119" t="s">
        <v>257</v>
      </c>
      <c r="AT1051" s="120"/>
      <c r="AU1051" s="120"/>
      <c r="AV1051" s="120"/>
      <c r="AW1051" s="121"/>
      <c r="AX1051" s="125">
        <f t="shared" ref="AX1051:AX1053" si="2009">SUM(AT1051:AW1051)</f>
        <v>0</v>
      </c>
      <c r="AY1051" s="141" t="s">
        <v>257</v>
      </c>
      <c r="AZ1051" s="137"/>
      <c r="BA1051" s="137"/>
      <c r="BB1051" s="134">
        <f t="shared" ref="BB1051:BB1053" si="2010">AZ1051-BA1051</f>
        <v>0</v>
      </c>
      <c r="BC1051" s="469" t="s">
        <v>258</v>
      </c>
      <c r="BD1051" s="470"/>
      <c r="BE1051" s="13"/>
      <c r="BF1051" s="16"/>
      <c r="BG1051" s="13"/>
      <c r="BH1051" s="16"/>
      <c r="BI1051" s="13"/>
      <c r="BJ1051" s="16"/>
      <c r="BK1051" s="13"/>
      <c r="BL1051" s="16"/>
      <c r="BM1051" s="13"/>
      <c r="BN1051" s="16"/>
      <c r="BO1051" s="13"/>
      <c r="BP1051" s="16"/>
      <c r="BQ1051" s="106">
        <f t="shared" si="1890"/>
        <v>0</v>
      </c>
      <c r="BR1051" s="566"/>
      <c r="BS1051" s="569"/>
      <c r="BT1051" s="570"/>
      <c r="BU1051" s="557"/>
      <c r="BV1051" s="560"/>
      <c r="BW1051" s="563"/>
      <c r="BX1051" s="615"/>
    </row>
    <row r="1052" spans="1:76" x14ac:dyDescent="0.25">
      <c r="A1052" s="586"/>
      <c r="B1052" s="590"/>
      <c r="C1052" s="591"/>
      <c r="D1052" s="605"/>
      <c r="E1052" s="517"/>
      <c r="F1052" s="518"/>
      <c r="G1052" s="523"/>
      <c r="H1052" s="524"/>
      <c r="I1052" s="529"/>
      <c r="J1052" s="530"/>
      <c r="K1052" s="513"/>
      <c r="L1052" s="534"/>
      <c r="M1052" s="537"/>
      <c r="N1052" s="541"/>
      <c r="O1052" s="542"/>
      <c r="P1052" s="483"/>
      <c r="Q1052" s="484"/>
      <c r="R1052" s="517"/>
      <c r="S1052" s="518"/>
      <c r="T1052" s="487"/>
      <c r="U1052" s="488"/>
      <c r="V1052" s="492"/>
      <c r="W1052" s="483"/>
      <c r="X1052" s="495"/>
      <c r="Y1052" s="484"/>
      <c r="Z1052" s="498"/>
      <c r="AA1052" s="502"/>
      <c r="AB1052" s="503"/>
      <c r="AC1052" s="508"/>
      <c r="AD1052" s="509"/>
      <c r="AE1052" s="509"/>
      <c r="AF1052" s="511"/>
      <c r="AG1052" s="511"/>
      <c r="AH1052" s="511"/>
      <c r="AI1052" s="511"/>
      <c r="AJ1052" s="511"/>
      <c r="AK1052" s="511"/>
      <c r="AL1052" s="511"/>
      <c r="AM1052" s="511"/>
      <c r="AN1052" s="511"/>
      <c r="AO1052" s="511"/>
      <c r="AP1052" s="511"/>
      <c r="AQ1052" s="466"/>
      <c r="AR1052" s="468"/>
      <c r="AS1052" s="122" t="s">
        <v>259</v>
      </c>
      <c r="AT1052" s="123"/>
      <c r="AU1052" s="123"/>
      <c r="AV1052" s="123"/>
      <c r="AW1052" s="124"/>
      <c r="AX1052" s="126">
        <f t="shared" si="2009"/>
        <v>0</v>
      </c>
      <c r="AY1052" s="142" t="s">
        <v>259</v>
      </c>
      <c r="AZ1052" s="138"/>
      <c r="BA1052" s="138"/>
      <c r="BB1052" s="135">
        <f t="shared" si="2010"/>
        <v>0</v>
      </c>
      <c r="BC1052" s="474" t="s">
        <v>260</v>
      </c>
      <c r="BD1052" s="475"/>
      <c r="BE1052" s="14"/>
      <c r="BF1052" s="17"/>
      <c r="BG1052" s="14"/>
      <c r="BH1052" s="17"/>
      <c r="BI1052" s="14"/>
      <c r="BJ1052" s="17"/>
      <c r="BK1052" s="14"/>
      <c r="BL1052" s="17"/>
      <c r="BM1052" s="14"/>
      <c r="BN1052" s="17"/>
      <c r="BO1052" s="14"/>
      <c r="BP1052" s="17"/>
      <c r="BQ1052" s="107">
        <f t="shared" si="1890"/>
        <v>0</v>
      </c>
      <c r="BR1052" s="567"/>
      <c r="BS1052" s="571"/>
      <c r="BT1052" s="572"/>
      <c r="BU1052" s="558"/>
      <c r="BV1052" s="561"/>
      <c r="BW1052" s="564"/>
      <c r="BX1052" s="616"/>
    </row>
    <row r="1053" spans="1:76" ht="15.75" thickBot="1" x14ac:dyDescent="0.3">
      <c r="A1053" s="586"/>
      <c r="B1053" s="590"/>
      <c r="C1053" s="591"/>
      <c r="D1053" s="605"/>
      <c r="E1053" s="517"/>
      <c r="F1053" s="518"/>
      <c r="G1053" s="523"/>
      <c r="H1053" s="524"/>
      <c r="I1053" s="529"/>
      <c r="J1053" s="530"/>
      <c r="K1053" s="513"/>
      <c r="L1053" s="534"/>
      <c r="M1053" s="537"/>
      <c r="N1053" s="541"/>
      <c r="O1053" s="542"/>
      <c r="P1053" s="483"/>
      <c r="Q1053" s="484"/>
      <c r="R1053" s="517"/>
      <c r="S1053" s="518"/>
      <c r="T1053" s="487"/>
      <c r="U1053" s="488"/>
      <c r="V1053" s="492"/>
      <c r="W1053" s="483"/>
      <c r="X1053" s="495"/>
      <c r="Y1053" s="484"/>
      <c r="Z1053" s="498"/>
      <c r="AA1053" s="502"/>
      <c r="AB1053" s="503"/>
      <c r="AC1053" s="471" t="s">
        <v>259</v>
      </c>
      <c r="AD1053" s="472"/>
      <c r="AE1053" s="473"/>
      <c r="AF1053" s="100"/>
      <c r="AG1053" s="100"/>
      <c r="AH1053" s="100"/>
      <c r="AI1053" s="100"/>
      <c r="AJ1053" s="100"/>
      <c r="AK1053" s="100"/>
      <c r="AL1053" s="100"/>
      <c r="AM1053" s="100"/>
      <c r="AN1053" s="100"/>
      <c r="AO1053" s="100"/>
      <c r="AP1053" s="100"/>
      <c r="AQ1053" s="101"/>
      <c r="AR1053" s="104">
        <f t="shared" ref="AR1053:AR1054" si="2011">SUM(AF1053:AQ1053)</f>
        <v>0</v>
      </c>
      <c r="AS1053" s="128" t="s">
        <v>261</v>
      </c>
      <c r="AT1053" s="129"/>
      <c r="AU1053" s="129"/>
      <c r="AV1053" s="129"/>
      <c r="AW1053" s="130"/>
      <c r="AX1053" s="126">
        <f t="shared" si="2009"/>
        <v>0</v>
      </c>
      <c r="AY1053" s="143" t="s">
        <v>261</v>
      </c>
      <c r="AZ1053" s="139"/>
      <c r="BA1053" s="139"/>
      <c r="BB1053" s="136">
        <f t="shared" si="2010"/>
        <v>0</v>
      </c>
      <c r="BC1053" s="474" t="s">
        <v>262</v>
      </c>
      <c r="BD1053" s="475"/>
      <c r="BE1053" s="14"/>
      <c r="BF1053" s="17"/>
      <c r="BG1053" s="14"/>
      <c r="BH1053" s="17"/>
      <c r="BI1053" s="14"/>
      <c r="BJ1053" s="17"/>
      <c r="BK1053" s="14"/>
      <c r="BL1053" s="17"/>
      <c r="BM1053" s="14"/>
      <c r="BN1053" s="17"/>
      <c r="BO1053" s="14"/>
      <c r="BP1053" s="17"/>
      <c r="BQ1053" s="108">
        <f t="shared" si="1890"/>
        <v>0</v>
      </c>
      <c r="BR1053" s="567"/>
      <c r="BS1053" s="571"/>
      <c r="BT1053" s="572"/>
      <c r="BU1053" s="558"/>
      <c r="BV1053" s="561"/>
      <c r="BW1053" s="564"/>
      <c r="BX1053" s="616"/>
    </row>
    <row r="1054" spans="1:76" ht="15.75" thickBot="1" x14ac:dyDescent="0.3">
      <c r="A1054" s="587"/>
      <c r="B1054" s="592"/>
      <c r="C1054" s="593"/>
      <c r="D1054" s="606"/>
      <c r="E1054" s="519"/>
      <c r="F1054" s="520"/>
      <c r="G1054" s="525"/>
      <c r="H1054" s="526"/>
      <c r="I1054" s="531"/>
      <c r="J1054" s="532"/>
      <c r="K1054" s="514"/>
      <c r="L1054" s="535"/>
      <c r="M1054" s="538"/>
      <c r="N1054" s="543"/>
      <c r="O1054" s="544"/>
      <c r="P1054" s="485"/>
      <c r="Q1054" s="486"/>
      <c r="R1054" s="519"/>
      <c r="S1054" s="520"/>
      <c r="T1054" s="489"/>
      <c r="U1054" s="490"/>
      <c r="V1054" s="493"/>
      <c r="W1054" s="485"/>
      <c r="X1054" s="496"/>
      <c r="Y1054" s="486"/>
      <c r="Z1054" s="499"/>
      <c r="AA1054" s="504"/>
      <c r="AB1054" s="505"/>
      <c r="AC1054" s="476" t="s">
        <v>261</v>
      </c>
      <c r="AD1054" s="477"/>
      <c r="AE1054" s="478"/>
      <c r="AF1054" s="102"/>
      <c r="AG1054" s="102"/>
      <c r="AH1054" s="102"/>
      <c r="AI1054" s="102"/>
      <c r="AJ1054" s="102"/>
      <c r="AK1054" s="102"/>
      <c r="AL1054" s="102"/>
      <c r="AM1054" s="102"/>
      <c r="AN1054" s="102"/>
      <c r="AO1054" s="102"/>
      <c r="AP1054" s="102"/>
      <c r="AQ1054" s="103"/>
      <c r="AR1054" s="105">
        <f t="shared" si="2011"/>
        <v>0</v>
      </c>
      <c r="AS1054" s="131" t="s">
        <v>161</v>
      </c>
      <c r="AT1054" s="132">
        <f t="shared" ref="AT1054:AX1054" si="2012">SUM(AT1051:AT1053)</f>
        <v>0</v>
      </c>
      <c r="AU1054" s="132">
        <f t="shared" si="2012"/>
        <v>0</v>
      </c>
      <c r="AV1054" s="132">
        <f t="shared" si="2012"/>
        <v>0</v>
      </c>
      <c r="AW1054" s="133">
        <f t="shared" si="2012"/>
        <v>0</v>
      </c>
      <c r="AX1054" s="127">
        <f t="shared" si="2012"/>
        <v>0</v>
      </c>
      <c r="AY1054" s="144" t="s">
        <v>161</v>
      </c>
      <c r="AZ1054" s="140">
        <f t="shared" ref="AZ1054:BB1054" si="2013">SUM(AZ1051:AZ1053)</f>
        <v>0</v>
      </c>
      <c r="BA1054" s="140">
        <f t="shared" si="2013"/>
        <v>0</v>
      </c>
      <c r="BB1054" s="140">
        <f t="shared" si="2013"/>
        <v>0</v>
      </c>
      <c r="BC1054" s="479" t="s">
        <v>263</v>
      </c>
      <c r="BD1054" s="480"/>
      <c r="BE1054" s="15"/>
      <c r="BF1054" s="18"/>
      <c r="BG1054" s="15"/>
      <c r="BH1054" s="18"/>
      <c r="BI1054" s="15"/>
      <c r="BJ1054" s="18"/>
      <c r="BK1054" s="15"/>
      <c r="BL1054" s="18"/>
      <c r="BM1054" s="15"/>
      <c r="BN1054" s="18"/>
      <c r="BO1054" s="15"/>
      <c r="BP1054" s="18"/>
      <c r="BQ1054" s="109">
        <f t="shared" si="1890"/>
        <v>0</v>
      </c>
      <c r="BR1054" s="568"/>
      <c r="BS1054" s="573"/>
      <c r="BT1054" s="574"/>
      <c r="BU1054" s="559"/>
      <c r="BV1054" s="562"/>
      <c r="BW1054" s="565"/>
      <c r="BX1054" s="617"/>
    </row>
    <row r="1055" spans="1:76" ht="15.75" thickTop="1" x14ac:dyDescent="0.25">
      <c r="A1055" s="585">
        <v>262</v>
      </c>
      <c r="B1055" s="588"/>
      <c r="C1055" s="589"/>
      <c r="D1055" s="604"/>
      <c r="E1055" s="515"/>
      <c r="F1055" s="516"/>
      <c r="G1055" s="521"/>
      <c r="H1055" s="522"/>
      <c r="I1055" s="527"/>
      <c r="J1055" s="528"/>
      <c r="K1055" s="512" t="e">
        <f t="shared" ref="K1055" si="2014">INT(YEARFRAC(I1055,AA1055))</f>
        <v>#VALUE!</v>
      </c>
      <c r="L1055" s="533">
        <f t="shared" ref="L1055" ca="1" si="2015">INT(YEARFRAC(I1055,TODAY()))</f>
        <v>121</v>
      </c>
      <c r="M1055" s="536"/>
      <c r="N1055" s="539"/>
      <c r="O1055" s="540"/>
      <c r="P1055" s="481"/>
      <c r="Q1055" s="482"/>
      <c r="R1055" s="515"/>
      <c r="S1055" s="516"/>
      <c r="T1055" s="487"/>
      <c r="U1055" s="488"/>
      <c r="V1055" s="491"/>
      <c r="W1055" s="481"/>
      <c r="X1055" s="494"/>
      <c r="Y1055" s="482"/>
      <c r="Z1055" s="497"/>
      <c r="AA1055" s="500" t="s">
        <v>503</v>
      </c>
      <c r="AB1055" s="501"/>
      <c r="AC1055" s="506" t="s">
        <v>257</v>
      </c>
      <c r="AD1055" s="507"/>
      <c r="AE1055" s="507"/>
      <c r="AF1055" s="510"/>
      <c r="AG1055" s="510"/>
      <c r="AH1055" s="510"/>
      <c r="AI1055" s="510"/>
      <c r="AJ1055" s="510"/>
      <c r="AK1055" s="510"/>
      <c r="AL1055" s="510"/>
      <c r="AM1055" s="510"/>
      <c r="AN1055" s="510"/>
      <c r="AO1055" s="510"/>
      <c r="AP1055" s="510"/>
      <c r="AQ1055" s="465"/>
      <c r="AR1055" s="467">
        <f t="shared" ref="AR1055" si="2016">SUM(AF1055:AQ1056)</f>
        <v>0</v>
      </c>
      <c r="AS1055" s="119" t="s">
        <v>257</v>
      </c>
      <c r="AT1055" s="120"/>
      <c r="AU1055" s="120"/>
      <c r="AV1055" s="120"/>
      <c r="AW1055" s="121"/>
      <c r="AX1055" s="125">
        <f t="shared" ref="AX1055:AX1057" si="2017">SUM(AT1055:AW1055)</f>
        <v>0</v>
      </c>
      <c r="AY1055" s="141" t="s">
        <v>257</v>
      </c>
      <c r="AZ1055" s="137"/>
      <c r="BA1055" s="137"/>
      <c r="BB1055" s="134">
        <f t="shared" ref="BB1055:BB1057" si="2018">AZ1055-BA1055</f>
        <v>0</v>
      </c>
      <c r="BC1055" s="469" t="s">
        <v>258</v>
      </c>
      <c r="BD1055" s="470"/>
      <c r="BE1055" s="13"/>
      <c r="BF1055" s="16"/>
      <c r="BG1055" s="13"/>
      <c r="BH1055" s="16"/>
      <c r="BI1055" s="13"/>
      <c r="BJ1055" s="16"/>
      <c r="BK1055" s="13"/>
      <c r="BL1055" s="16"/>
      <c r="BM1055" s="13"/>
      <c r="BN1055" s="16"/>
      <c r="BO1055" s="13"/>
      <c r="BP1055" s="16"/>
      <c r="BQ1055" s="106">
        <f t="shared" ref="BQ1055:BQ1086" si="2019">SUM(BE1055:BP1055)</f>
        <v>0</v>
      </c>
      <c r="BR1055" s="566"/>
      <c r="BS1055" s="569"/>
      <c r="BT1055" s="570"/>
      <c r="BU1055" s="557"/>
      <c r="BV1055" s="560"/>
      <c r="BW1055" s="563"/>
      <c r="BX1055" s="615"/>
    </row>
    <row r="1056" spans="1:76" x14ac:dyDescent="0.25">
      <c r="A1056" s="586"/>
      <c r="B1056" s="590"/>
      <c r="C1056" s="591"/>
      <c r="D1056" s="605"/>
      <c r="E1056" s="517"/>
      <c r="F1056" s="518"/>
      <c r="G1056" s="523"/>
      <c r="H1056" s="524"/>
      <c r="I1056" s="529"/>
      <c r="J1056" s="530"/>
      <c r="K1056" s="513"/>
      <c r="L1056" s="534"/>
      <c r="M1056" s="537"/>
      <c r="N1056" s="541"/>
      <c r="O1056" s="542"/>
      <c r="P1056" s="483"/>
      <c r="Q1056" s="484"/>
      <c r="R1056" s="517"/>
      <c r="S1056" s="518"/>
      <c r="T1056" s="487"/>
      <c r="U1056" s="488"/>
      <c r="V1056" s="492"/>
      <c r="W1056" s="483"/>
      <c r="X1056" s="495"/>
      <c r="Y1056" s="484"/>
      <c r="Z1056" s="498"/>
      <c r="AA1056" s="502"/>
      <c r="AB1056" s="503"/>
      <c r="AC1056" s="508"/>
      <c r="AD1056" s="509"/>
      <c r="AE1056" s="509"/>
      <c r="AF1056" s="511"/>
      <c r="AG1056" s="511"/>
      <c r="AH1056" s="511"/>
      <c r="AI1056" s="511"/>
      <c r="AJ1056" s="511"/>
      <c r="AK1056" s="511"/>
      <c r="AL1056" s="511"/>
      <c r="AM1056" s="511"/>
      <c r="AN1056" s="511"/>
      <c r="AO1056" s="511"/>
      <c r="AP1056" s="511"/>
      <c r="AQ1056" s="466"/>
      <c r="AR1056" s="468"/>
      <c r="AS1056" s="122" t="s">
        <v>259</v>
      </c>
      <c r="AT1056" s="123"/>
      <c r="AU1056" s="123"/>
      <c r="AV1056" s="123"/>
      <c r="AW1056" s="124"/>
      <c r="AX1056" s="126">
        <f t="shared" si="2017"/>
        <v>0</v>
      </c>
      <c r="AY1056" s="142" t="s">
        <v>259</v>
      </c>
      <c r="AZ1056" s="138"/>
      <c r="BA1056" s="138"/>
      <c r="BB1056" s="135">
        <f t="shared" si="2018"/>
        <v>0</v>
      </c>
      <c r="BC1056" s="474" t="s">
        <v>260</v>
      </c>
      <c r="BD1056" s="475"/>
      <c r="BE1056" s="14"/>
      <c r="BF1056" s="17"/>
      <c r="BG1056" s="14"/>
      <c r="BH1056" s="17"/>
      <c r="BI1056" s="14"/>
      <c r="BJ1056" s="17"/>
      <c r="BK1056" s="14"/>
      <c r="BL1056" s="17"/>
      <c r="BM1056" s="14"/>
      <c r="BN1056" s="17"/>
      <c r="BO1056" s="14"/>
      <c r="BP1056" s="17"/>
      <c r="BQ1056" s="107">
        <f t="shared" si="2019"/>
        <v>0</v>
      </c>
      <c r="BR1056" s="567"/>
      <c r="BS1056" s="571"/>
      <c r="BT1056" s="572"/>
      <c r="BU1056" s="558"/>
      <c r="BV1056" s="561"/>
      <c r="BW1056" s="564"/>
      <c r="BX1056" s="616"/>
    </row>
    <row r="1057" spans="1:76" ht="15.75" thickBot="1" x14ac:dyDescent="0.3">
      <c r="A1057" s="586"/>
      <c r="B1057" s="590"/>
      <c r="C1057" s="591"/>
      <c r="D1057" s="605"/>
      <c r="E1057" s="517"/>
      <c r="F1057" s="518"/>
      <c r="G1057" s="523"/>
      <c r="H1057" s="524"/>
      <c r="I1057" s="529"/>
      <c r="J1057" s="530"/>
      <c r="K1057" s="513"/>
      <c r="L1057" s="534"/>
      <c r="M1057" s="537"/>
      <c r="N1057" s="541"/>
      <c r="O1057" s="542"/>
      <c r="P1057" s="483"/>
      <c r="Q1057" s="484"/>
      <c r="R1057" s="517"/>
      <c r="S1057" s="518"/>
      <c r="T1057" s="487"/>
      <c r="U1057" s="488"/>
      <c r="V1057" s="492"/>
      <c r="W1057" s="483"/>
      <c r="X1057" s="495"/>
      <c r="Y1057" s="484"/>
      <c r="Z1057" s="498"/>
      <c r="AA1057" s="502"/>
      <c r="AB1057" s="503"/>
      <c r="AC1057" s="471" t="s">
        <v>259</v>
      </c>
      <c r="AD1057" s="472"/>
      <c r="AE1057" s="473"/>
      <c r="AF1057" s="100"/>
      <c r="AG1057" s="100"/>
      <c r="AH1057" s="100"/>
      <c r="AI1057" s="100"/>
      <c r="AJ1057" s="100"/>
      <c r="AK1057" s="100"/>
      <c r="AL1057" s="100"/>
      <c r="AM1057" s="100"/>
      <c r="AN1057" s="100"/>
      <c r="AO1057" s="100"/>
      <c r="AP1057" s="100"/>
      <c r="AQ1057" s="101"/>
      <c r="AR1057" s="104">
        <f t="shared" ref="AR1057:AR1058" si="2020">SUM(AF1057:AQ1057)</f>
        <v>0</v>
      </c>
      <c r="AS1057" s="128" t="s">
        <v>261</v>
      </c>
      <c r="AT1057" s="129"/>
      <c r="AU1057" s="129"/>
      <c r="AV1057" s="129"/>
      <c r="AW1057" s="130"/>
      <c r="AX1057" s="126">
        <f t="shared" si="2017"/>
        <v>0</v>
      </c>
      <c r="AY1057" s="143" t="s">
        <v>261</v>
      </c>
      <c r="AZ1057" s="139"/>
      <c r="BA1057" s="139"/>
      <c r="BB1057" s="136">
        <f t="shared" si="2018"/>
        <v>0</v>
      </c>
      <c r="BC1057" s="474" t="s">
        <v>262</v>
      </c>
      <c r="BD1057" s="475"/>
      <c r="BE1057" s="14"/>
      <c r="BF1057" s="17"/>
      <c r="BG1057" s="14"/>
      <c r="BH1057" s="17"/>
      <c r="BI1057" s="14"/>
      <c r="BJ1057" s="17"/>
      <c r="BK1057" s="14"/>
      <c r="BL1057" s="17"/>
      <c r="BM1057" s="14"/>
      <c r="BN1057" s="17"/>
      <c r="BO1057" s="14"/>
      <c r="BP1057" s="17"/>
      <c r="BQ1057" s="108">
        <f t="shared" si="2019"/>
        <v>0</v>
      </c>
      <c r="BR1057" s="567"/>
      <c r="BS1057" s="571"/>
      <c r="BT1057" s="572"/>
      <c r="BU1057" s="558"/>
      <c r="BV1057" s="561"/>
      <c r="BW1057" s="564"/>
      <c r="BX1057" s="616"/>
    </row>
    <row r="1058" spans="1:76" ht="15.75" thickBot="1" x14ac:dyDescent="0.3">
      <c r="A1058" s="587"/>
      <c r="B1058" s="592"/>
      <c r="C1058" s="593"/>
      <c r="D1058" s="606"/>
      <c r="E1058" s="519"/>
      <c r="F1058" s="520"/>
      <c r="G1058" s="525"/>
      <c r="H1058" s="526"/>
      <c r="I1058" s="531"/>
      <c r="J1058" s="532"/>
      <c r="K1058" s="514"/>
      <c r="L1058" s="535"/>
      <c r="M1058" s="538"/>
      <c r="N1058" s="543"/>
      <c r="O1058" s="544"/>
      <c r="P1058" s="485"/>
      <c r="Q1058" s="486"/>
      <c r="R1058" s="519"/>
      <c r="S1058" s="520"/>
      <c r="T1058" s="489"/>
      <c r="U1058" s="490"/>
      <c r="V1058" s="493"/>
      <c r="W1058" s="485"/>
      <c r="X1058" s="496"/>
      <c r="Y1058" s="486"/>
      <c r="Z1058" s="499"/>
      <c r="AA1058" s="504"/>
      <c r="AB1058" s="505"/>
      <c r="AC1058" s="476" t="s">
        <v>261</v>
      </c>
      <c r="AD1058" s="477"/>
      <c r="AE1058" s="478"/>
      <c r="AF1058" s="102"/>
      <c r="AG1058" s="102"/>
      <c r="AH1058" s="102"/>
      <c r="AI1058" s="102"/>
      <c r="AJ1058" s="102"/>
      <c r="AK1058" s="102"/>
      <c r="AL1058" s="102"/>
      <c r="AM1058" s="102"/>
      <c r="AN1058" s="102"/>
      <c r="AO1058" s="102"/>
      <c r="AP1058" s="102"/>
      <c r="AQ1058" s="103"/>
      <c r="AR1058" s="105">
        <f t="shared" si="2020"/>
        <v>0</v>
      </c>
      <c r="AS1058" s="131" t="s">
        <v>161</v>
      </c>
      <c r="AT1058" s="132">
        <f t="shared" ref="AT1058:AX1058" si="2021">SUM(AT1055:AT1057)</f>
        <v>0</v>
      </c>
      <c r="AU1058" s="132">
        <f t="shared" si="2021"/>
        <v>0</v>
      </c>
      <c r="AV1058" s="132">
        <f t="shared" si="2021"/>
        <v>0</v>
      </c>
      <c r="AW1058" s="133">
        <f t="shared" si="2021"/>
        <v>0</v>
      </c>
      <c r="AX1058" s="127">
        <f t="shared" si="2021"/>
        <v>0</v>
      </c>
      <c r="AY1058" s="144" t="s">
        <v>161</v>
      </c>
      <c r="AZ1058" s="140">
        <f t="shared" ref="AZ1058:BB1058" si="2022">SUM(AZ1055:AZ1057)</f>
        <v>0</v>
      </c>
      <c r="BA1058" s="140">
        <f t="shared" si="2022"/>
        <v>0</v>
      </c>
      <c r="BB1058" s="140">
        <f t="shared" si="2022"/>
        <v>0</v>
      </c>
      <c r="BC1058" s="479" t="s">
        <v>263</v>
      </c>
      <c r="BD1058" s="480"/>
      <c r="BE1058" s="15"/>
      <c r="BF1058" s="18"/>
      <c r="BG1058" s="15"/>
      <c r="BH1058" s="18"/>
      <c r="BI1058" s="15"/>
      <c r="BJ1058" s="18"/>
      <c r="BK1058" s="15"/>
      <c r="BL1058" s="18"/>
      <c r="BM1058" s="15"/>
      <c r="BN1058" s="18"/>
      <c r="BO1058" s="15"/>
      <c r="BP1058" s="18"/>
      <c r="BQ1058" s="109">
        <f t="shared" si="2019"/>
        <v>0</v>
      </c>
      <c r="BR1058" s="568"/>
      <c r="BS1058" s="573"/>
      <c r="BT1058" s="574"/>
      <c r="BU1058" s="559"/>
      <c r="BV1058" s="562"/>
      <c r="BW1058" s="565"/>
      <c r="BX1058" s="617"/>
    </row>
    <row r="1059" spans="1:76" ht="15.75" thickTop="1" x14ac:dyDescent="0.25">
      <c r="A1059" s="585">
        <v>263</v>
      </c>
      <c r="B1059" s="588"/>
      <c r="C1059" s="589"/>
      <c r="D1059" s="604"/>
      <c r="E1059" s="515"/>
      <c r="F1059" s="516"/>
      <c r="G1059" s="521"/>
      <c r="H1059" s="522"/>
      <c r="I1059" s="527"/>
      <c r="J1059" s="528"/>
      <c r="K1059" s="512" t="e">
        <f t="shared" ref="K1059" si="2023">INT(YEARFRAC(I1059,AA1059))</f>
        <v>#VALUE!</v>
      </c>
      <c r="L1059" s="533">
        <f t="shared" ref="L1059" ca="1" si="2024">INT(YEARFRAC(I1059,TODAY()))</f>
        <v>121</v>
      </c>
      <c r="M1059" s="536"/>
      <c r="N1059" s="539"/>
      <c r="O1059" s="540"/>
      <c r="P1059" s="481"/>
      <c r="Q1059" s="482"/>
      <c r="R1059" s="515"/>
      <c r="S1059" s="516"/>
      <c r="T1059" s="487"/>
      <c r="U1059" s="488"/>
      <c r="V1059" s="491"/>
      <c r="W1059" s="481"/>
      <c r="X1059" s="494"/>
      <c r="Y1059" s="482"/>
      <c r="Z1059" s="497"/>
      <c r="AA1059" s="500" t="s">
        <v>504</v>
      </c>
      <c r="AB1059" s="501"/>
      <c r="AC1059" s="506" t="s">
        <v>257</v>
      </c>
      <c r="AD1059" s="507"/>
      <c r="AE1059" s="507"/>
      <c r="AF1059" s="510"/>
      <c r="AG1059" s="510"/>
      <c r="AH1059" s="510"/>
      <c r="AI1059" s="510"/>
      <c r="AJ1059" s="510"/>
      <c r="AK1059" s="510"/>
      <c r="AL1059" s="510"/>
      <c r="AM1059" s="510"/>
      <c r="AN1059" s="510"/>
      <c r="AO1059" s="510"/>
      <c r="AP1059" s="510"/>
      <c r="AQ1059" s="465"/>
      <c r="AR1059" s="467">
        <f t="shared" ref="AR1059" si="2025">SUM(AF1059:AQ1060)</f>
        <v>0</v>
      </c>
      <c r="AS1059" s="119" t="s">
        <v>257</v>
      </c>
      <c r="AT1059" s="120"/>
      <c r="AU1059" s="120"/>
      <c r="AV1059" s="120"/>
      <c r="AW1059" s="121"/>
      <c r="AX1059" s="125">
        <f t="shared" ref="AX1059:AX1061" si="2026">SUM(AT1059:AW1059)</f>
        <v>0</v>
      </c>
      <c r="AY1059" s="141" t="s">
        <v>257</v>
      </c>
      <c r="AZ1059" s="137"/>
      <c r="BA1059" s="137"/>
      <c r="BB1059" s="134">
        <f t="shared" ref="BB1059:BB1061" si="2027">AZ1059-BA1059</f>
        <v>0</v>
      </c>
      <c r="BC1059" s="469" t="s">
        <v>258</v>
      </c>
      <c r="BD1059" s="470"/>
      <c r="BE1059" s="13"/>
      <c r="BF1059" s="16"/>
      <c r="BG1059" s="13"/>
      <c r="BH1059" s="16"/>
      <c r="BI1059" s="13"/>
      <c r="BJ1059" s="16"/>
      <c r="BK1059" s="13"/>
      <c r="BL1059" s="16"/>
      <c r="BM1059" s="13"/>
      <c r="BN1059" s="16"/>
      <c r="BO1059" s="13"/>
      <c r="BP1059" s="16"/>
      <c r="BQ1059" s="106">
        <f t="shared" si="2019"/>
        <v>0</v>
      </c>
      <c r="BR1059" s="566"/>
      <c r="BS1059" s="569"/>
      <c r="BT1059" s="570"/>
      <c r="BU1059" s="557"/>
      <c r="BV1059" s="560"/>
      <c r="BW1059" s="563"/>
      <c r="BX1059" s="615"/>
    </row>
    <row r="1060" spans="1:76" x14ac:dyDescent="0.25">
      <c r="A1060" s="586"/>
      <c r="B1060" s="590"/>
      <c r="C1060" s="591"/>
      <c r="D1060" s="605"/>
      <c r="E1060" s="517"/>
      <c r="F1060" s="518"/>
      <c r="G1060" s="523"/>
      <c r="H1060" s="524"/>
      <c r="I1060" s="529"/>
      <c r="J1060" s="530"/>
      <c r="K1060" s="513"/>
      <c r="L1060" s="534"/>
      <c r="M1060" s="537"/>
      <c r="N1060" s="541"/>
      <c r="O1060" s="542"/>
      <c r="P1060" s="483"/>
      <c r="Q1060" s="484"/>
      <c r="R1060" s="517"/>
      <c r="S1060" s="518"/>
      <c r="T1060" s="487"/>
      <c r="U1060" s="488"/>
      <c r="V1060" s="492"/>
      <c r="W1060" s="483"/>
      <c r="X1060" s="495"/>
      <c r="Y1060" s="484"/>
      <c r="Z1060" s="498"/>
      <c r="AA1060" s="502"/>
      <c r="AB1060" s="503"/>
      <c r="AC1060" s="508"/>
      <c r="AD1060" s="509"/>
      <c r="AE1060" s="509"/>
      <c r="AF1060" s="511"/>
      <c r="AG1060" s="511"/>
      <c r="AH1060" s="511"/>
      <c r="AI1060" s="511"/>
      <c r="AJ1060" s="511"/>
      <c r="AK1060" s="511"/>
      <c r="AL1060" s="511"/>
      <c r="AM1060" s="511"/>
      <c r="AN1060" s="511"/>
      <c r="AO1060" s="511"/>
      <c r="AP1060" s="511"/>
      <c r="AQ1060" s="466"/>
      <c r="AR1060" s="468"/>
      <c r="AS1060" s="122" t="s">
        <v>259</v>
      </c>
      <c r="AT1060" s="123"/>
      <c r="AU1060" s="123"/>
      <c r="AV1060" s="123"/>
      <c r="AW1060" s="124"/>
      <c r="AX1060" s="126">
        <f t="shared" si="2026"/>
        <v>0</v>
      </c>
      <c r="AY1060" s="142" t="s">
        <v>259</v>
      </c>
      <c r="AZ1060" s="138"/>
      <c r="BA1060" s="138"/>
      <c r="BB1060" s="135">
        <f t="shared" si="2027"/>
        <v>0</v>
      </c>
      <c r="BC1060" s="474" t="s">
        <v>260</v>
      </c>
      <c r="BD1060" s="475"/>
      <c r="BE1060" s="14"/>
      <c r="BF1060" s="17"/>
      <c r="BG1060" s="14"/>
      <c r="BH1060" s="17"/>
      <c r="BI1060" s="14"/>
      <c r="BJ1060" s="17"/>
      <c r="BK1060" s="14"/>
      <c r="BL1060" s="17"/>
      <c r="BM1060" s="14"/>
      <c r="BN1060" s="17"/>
      <c r="BO1060" s="14"/>
      <c r="BP1060" s="17"/>
      <c r="BQ1060" s="107">
        <f t="shared" si="2019"/>
        <v>0</v>
      </c>
      <c r="BR1060" s="567"/>
      <c r="BS1060" s="571"/>
      <c r="BT1060" s="572"/>
      <c r="BU1060" s="558"/>
      <c r="BV1060" s="561"/>
      <c r="BW1060" s="564"/>
      <c r="BX1060" s="616"/>
    </row>
    <row r="1061" spans="1:76" ht="15.75" thickBot="1" x14ac:dyDescent="0.3">
      <c r="A1061" s="586"/>
      <c r="B1061" s="590"/>
      <c r="C1061" s="591"/>
      <c r="D1061" s="605"/>
      <c r="E1061" s="517"/>
      <c r="F1061" s="518"/>
      <c r="G1061" s="523"/>
      <c r="H1061" s="524"/>
      <c r="I1061" s="529"/>
      <c r="J1061" s="530"/>
      <c r="K1061" s="513"/>
      <c r="L1061" s="534"/>
      <c r="M1061" s="537"/>
      <c r="N1061" s="541"/>
      <c r="O1061" s="542"/>
      <c r="P1061" s="483"/>
      <c r="Q1061" s="484"/>
      <c r="R1061" s="517"/>
      <c r="S1061" s="518"/>
      <c r="T1061" s="487"/>
      <c r="U1061" s="488"/>
      <c r="V1061" s="492"/>
      <c r="W1061" s="483"/>
      <c r="X1061" s="495"/>
      <c r="Y1061" s="484"/>
      <c r="Z1061" s="498"/>
      <c r="AA1061" s="502"/>
      <c r="AB1061" s="503"/>
      <c r="AC1061" s="471" t="s">
        <v>259</v>
      </c>
      <c r="AD1061" s="472"/>
      <c r="AE1061" s="473"/>
      <c r="AF1061" s="100"/>
      <c r="AG1061" s="100"/>
      <c r="AH1061" s="100"/>
      <c r="AI1061" s="100"/>
      <c r="AJ1061" s="100"/>
      <c r="AK1061" s="100"/>
      <c r="AL1061" s="100"/>
      <c r="AM1061" s="100"/>
      <c r="AN1061" s="100"/>
      <c r="AO1061" s="100"/>
      <c r="AP1061" s="100"/>
      <c r="AQ1061" s="101"/>
      <c r="AR1061" s="104">
        <f t="shared" ref="AR1061:AR1062" si="2028">SUM(AF1061:AQ1061)</f>
        <v>0</v>
      </c>
      <c r="AS1061" s="128" t="s">
        <v>261</v>
      </c>
      <c r="AT1061" s="129"/>
      <c r="AU1061" s="129"/>
      <c r="AV1061" s="129"/>
      <c r="AW1061" s="130"/>
      <c r="AX1061" s="126">
        <f t="shared" si="2026"/>
        <v>0</v>
      </c>
      <c r="AY1061" s="143" t="s">
        <v>261</v>
      </c>
      <c r="AZ1061" s="139"/>
      <c r="BA1061" s="139"/>
      <c r="BB1061" s="136">
        <f t="shared" si="2027"/>
        <v>0</v>
      </c>
      <c r="BC1061" s="474" t="s">
        <v>262</v>
      </c>
      <c r="BD1061" s="475"/>
      <c r="BE1061" s="14"/>
      <c r="BF1061" s="17"/>
      <c r="BG1061" s="14"/>
      <c r="BH1061" s="17"/>
      <c r="BI1061" s="14"/>
      <c r="BJ1061" s="17"/>
      <c r="BK1061" s="14"/>
      <c r="BL1061" s="17"/>
      <c r="BM1061" s="14"/>
      <c r="BN1061" s="17"/>
      <c r="BO1061" s="14"/>
      <c r="BP1061" s="17"/>
      <c r="BQ1061" s="108">
        <f t="shared" si="2019"/>
        <v>0</v>
      </c>
      <c r="BR1061" s="567"/>
      <c r="BS1061" s="571"/>
      <c r="BT1061" s="572"/>
      <c r="BU1061" s="558"/>
      <c r="BV1061" s="561"/>
      <c r="BW1061" s="564"/>
      <c r="BX1061" s="616"/>
    </row>
    <row r="1062" spans="1:76" ht="15.75" thickBot="1" x14ac:dyDescent="0.3">
      <c r="A1062" s="587"/>
      <c r="B1062" s="592"/>
      <c r="C1062" s="593"/>
      <c r="D1062" s="606"/>
      <c r="E1062" s="519"/>
      <c r="F1062" s="520"/>
      <c r="G1062" s="525"/>
      <c r="H1062" s="526"/>
      <c r="I1062" s="531"/>
      <c r="J1062" s="532"/>
      <c r="K1062" s="514"/>
      <c r="L1062" s="535"/>
      <c r="M1062" s="538"/>
      <c r="N1062" s="543"/>
      <c r="O1062" s="544"/>
      <c r="P1062" s="485"/>
      <c r="Q1062" s="486"/>
      <c r="R1062" s="519"/>
      <c r="S1062" s="520"/>
      <c r="T1062" s="489"/>
      <c r="U1062" s="490"/>
      <c r="V1062" s="493"/>
      <c r="W1062" s="485"/>
      <c r="X1062" s="496"/>
      <c r="Y1062" s="486"/>
      <c r="Z1062" s="499"/>
      <c r="AA1062" s="504"/>
      <c r="AB1062" s="505"/>
      <c r="AC1062" s="476" t="s">
        <v>261</v>
      </c>
      <c r="AD1062" s="477"/>
      <c r="AE1062" s="478"/>
      <c r="AF1062" s="102"/>
      <c r="AG1062" s="102"/>
      <c r="AH1062" s="102"/>
      <c r="AI1062" s="102"/>
      <c r="AJ1062" s="102"/>
      <c r="AK1062" s="102"/>
      <c r="AL1062" s="102"/>
      <c r="AM1062" s="102"/>
      <c r="AN1062" s="102"/>
      <c r="AO1062" s="102"/>
      <c r="AP1062" s="102"/>
      <c r="AQ1062" s="103"/>
      <c r="AR1062" s="105">
        <f t="shared" si="2028"/>
        <v>0</v>
      </c>
      <c r="AS1062" s="131" t="s">
        <v>161</v>
      </c>
      <c r="AT1062" s="132">
        <f t="shared" ref="AT1062:AX1062" si="2029">SUM(AT1059:AT1061)</f>
        <v>0</v>
      </c>
      <c r="AU1062" s="132">
        <f t="shared" si="2029"/>
        <v>0</v>
      </c>
      <c r="AV1062" s="132">
        <f t="shared" si="2029"/>
        <v>0</v>
      </c>
      <c r="AW1062" s="133">
        <f t="shared" si="2029"/>
        <v>0</v>
      </c>
      <c r="AX1062" s="127">
        <f t="shared" si="2029"/>
        <v>0</v>
      </c>
      <c r="AY1062" s="144" t="s">
        <v>161</v>
      </c>
      <c r="AZ1062" s="140">
        <f t="shared" ref="AZ1062:BB1062" si="2030">SUM(AZ1059:AZ1061)</f>
        <v>0</v>
      </c>
      <c r="BA1062" s="140">
        <f t="shared" si="2030"/>
        <v>0</v>
      </c>
      <c r="BB1062" s="140">
        <f t="shared" si="2030"/>
        <v>0</v>
      </c>
      <c r="BC1062" s="479" t="s">
        <v>263</v>
      </c>
      <c r="BD1062" s="480"/>
      <c r="BE1062" s="15"/>
      <c r="BF1062" s="18"/>
      <c r="BG1062" s="15"/>
      <c r="BH1062" s="18"/>
      <c r="BI1062" s="15"/>
      <c r="BJ1062" s="18"/>
      <c r="BK1062" s="15"/>
      <c r="BL1062" s="18"/>
      <c r="BM1062" s="15"/>
      <c r="BN1062" s="18"/>
      <c r="BO1062" s="15"/>
      <c r="BP1062" s="18"/>
      <c r="BQ1062" s="109">
        <f t="shared" si="2019"/>
        <v>0</v>
      </c>
      <c r="BR1062" s="568"/>
      <c r="BS1062" s="573"/>
      <c r="BT1062" s="574"/>
      <c r="BU1062" s="559"/>
      <c r="BV1062" s="562"/>
      <c r="BW1062" s="565"/>
      <c r="BX1062" s="617"/>
    </row>
    <row r="1063" spans="1:76" ht="15.75" thickTop="1" x14ac:dyDescent="0.25">
      <c r="A1063" s="585">
        <v>264</v>
      </c>
      <c r="B1063" s="588"/>
      <c r="C1063" s="589"/>
      <c r="D1063" s="604"/>
      <c r="E1063" s="515"/>
      <c r="F1063" s="516"/>
      <c r="G1063" s="521"/>
      <c r="H1063" s="522"/>
      <c r="I1063" s="527"/>
      <c r="J1063" s="528"/>
      <c r="K1063" s="512" t="e">
        <f t="shared" ref="K1063" si="2031">INT(YEARFRAC(I1063,AA1063))</f>
        <v>#VALUE!</v>
      </c>
      <c r="L1063" s="533">
        <f t="shared" ref="L1063" ca="1" si="2032">INT(YEARFRAC(I1063,TODAY()))</f>
        <v>121</v>
      </c>
      <c r="M1063" s="536"/>
      <c r="N1063" s="539"/>
      <c r="O1063" s="540"/>
      <c r="P1063" s="481"/>
      <c r="Q1063" s="482"/>
      <c r="R1063" s="515"/>
      <c r="S1063" s="516"/>
      <c r="T1063" s="487"/>
      <c r="U1063" s="488"/>
      <c r="V1063" s="491"/>
      <c r="W1063" s="481"/>
      <c r="X1063" s="494"/>
      <c r="Y1063" s="482"/>
      <c r="Z1063" s="497"/>
      <c r="AA1063" s="500" t="s">
        <v>505</v>
      </c>
      <c r="AB1063" s="501"/>
      <c r="AC1063" s="506" t="s">
        <v>257</v>
      </c>
      <c r="AD1063" s="507"/>
      <c r="AE1063" s="507"/>
      <c r="AF1063" s="510"/>
      <c r="AG1063" s="510"/>
      <c r="AH1063" s="510"/>
      <c r="AI1063" s="510"/>
      <c r="AJ1063" s="510"/>
      <c r="AK1063" s="510"/>
      <c r="AL1063" s="510"/>
      <c r="AM1063" s="510"/>
      <c r="AN1063" s="510"/>
      <c r="AO1063" s="510"/>
      <c r="AP1063" s="510"/>
      <c r="AQ1063" s="465"/>
      <c r="AR1063" s="467">
        <f t="shared" ref="AR1063" si="2033">SUM(AF1063:AQ1064)</f>
        <v>0</v>
      </c>
      <c r="AS1063" s="119" t="s">
        <v>257</v>
      </c>
      <c r="AT1063" s="120"/>
      <c r="AU1063" s="120"/>
      <c r="AV1063" s="120"/>
      <c r="AW1063" s="121"/>
      <c r="AX1063" s="125">
        <f t="shared" ref="AX1063:AX1065" si="2034">SUM(AT1063:AW1063)</f>
        <v>0</v>
      </c>
      <c r="AY1063" s="141" t="s">
        <v>257</v>
      </c>
      <c r="AZ1063" s="137"/>
      <c r="BA1063" s="137"/>
      <c r="BB1063" s="134">
        <f t="shared" ref="BB1063:BB1065" si="2035">AZ1063-BA1063</f>
        <v>0</v>
      </c>
      <c r="BC1063" s="469" t="s">
        <v>258</v>
      </c>
      <c r="BD1063" s="470"/>
      <c r="BE1063" s="13"/>
      <c r="BF1063" s="16"/>
      <c r="BG1063" s="13"/>
      <c r="BH1063" s="16"/>
      <c r="BI1063" s="13"/>
      <c r="BJ1063" s="16"/>
      <c r="BK1063" s="13"/>
      <c r="BL1063" s="16"/>
      <c r="BM1063" s="13"/>
      <c r="BN1063" s="16"/>
      <c r="BO1063" s="13"/>
      <c r="BP1063" s="16"/>
      <c r="BQ1063" s="106">
        <f t="shared" si="2019"/>
        <v>0</v>
      </c>
      <c r="BR1063" s="566"/>
      <c r="BS1063" s="569"/>
      <c r="BT1063" s="570"/>
      <c r="BU1063" s="557"/>
      <c r="BV1063" s="560"/>
      <c r="BW1063" s="563"/>
      <c r="BX1063" s="615"/>
    </row>
    <row r="1064" spans="1:76" x14ac:dyDescent="0.25">
      <c r="A1064" s="586"/>
      <c r="B1064" s="590"/>
      <c r="C1064" s="591"/>
      <c r="D1064" s="605"/>
      <c r="E1064" s="517"/>
      <c r="F1064" s="518"/>
      <c r="G1064" s="523"/>
      <c r="H1064" s="524"/>
      <c r="I1064" s="529"/>
      <c r="J1064" s="530"/>
      <c r="K1064" s="513"/>
      <c r="L1064" s="534"/>
      <c r="M1064" s="537"/>
      <c r="N1064" s="541"/>
      <c r="O1064" s="542"/>
      <c r="P1064" s="483"/>
      <c r="Q1064" s="484"/>
      <c r="R1064" s="517"/>
      <c r="S1064" s="518"/>
      <c r="T1064" s="487"/>
      <c r="U1064" s="488"/>
      <c r="V1064" s="492"/>
      <c r="W1064" s="483"/>
      <c r="X1064" s="495"/>
      <c r="Y1064" s="484"/>
      <c r="Z1064" s="498"/>
      <c r="AA1064" s="502"/>
      <c r="AB1064" s="503"/>
      <c r="AC1064" s="508"/>
      <c r="AD1064" s="509"/>
      <c r="AE1064" s="509"/>
      <c r="AF1064" s="511"/>
      <c r="AG1064" s="511"/>
      <c r="AH1064" s="511"/>
      <c r="AI1064" s="511"/>
      <c r="AJ1064" s="511"/>
      <c r="AK1064" s="511"/>
      <c r="AL1064" s="511"/>
      <c r="AM1064" s="511"/>
      <c r="AN1064" s="511"/>
      <c r="AO1064" s="511"/>
      <c r="AP1064" s="511"/>
      <c r="AQ1064" s="466"/>
      <c r="AR1064" s="468"/>
      <c r="AS1064" s="122" t="s">
        <v>259</v>
      </c>
      <c r="AT1064" s="123"/>
      <c r="AU1064" s="123"/>
      <c r="AV1064" s="123"/>
      <c r="AW1064" s="124"/>
      <c r="AX1064" s="126">
        <f t="shared" si="2034"/>
        <v>0</v>
      </c>
      <c r="AY1064" s="142" t="s">
        <v>259</v>
      </c>
      <c r="AZ1064" s="138"/>
      <c r="BA1064" s="138"/>
      <c r="BB1064" s="135">
        <f t="shared" si="2035"/>
        <v>0</v>
      </c>
      <c r="BC1064" s="474" t="s">
        <v>260</v>
      </c>
      <c r="BD1064" s="475"/>
      <c r="BE1064" s="14"/>
      <c r="BF1064" s="17"/>
      <c r="BG1064" s="14"/>
      <c r="BH1064" s="17"/>
      <c r="BI1064" s="14"/>
      <c r="BJ1064" s="17"/>
      <c r="BK1064" s="14"/>
      <c r="BL1064" s="17"/>
      <c r="BM1064" s="14"/>
      <c r="BN1064" s="17"/>
      <c r="BO1064" s="14"/>
      <c r="BP1064" s="17"/>
      <c r="BQ1064" s="107">
        <f t="shared" si="2019"/>
        <v>0</v>
      </c>
      <c r="BR1064" s="567"/>
      <c r="BS1064" s="571"/>
      <c r="BT1064" s="572"/>
      <c r="BU1064" s="558"/>
      <c r="BV1064" s="561"/>
      <c r="BW1064" s="564"/>
      <c r="BX1064" s="616"/>
    </row>
    <row r="1065" spans="1:76" ht="15.75" thickBot="1" x14ac:dyDescent="0.3">
      <c r="A1065" s="586"/>
      <c r="B1065" s="590"/>
      <c r="C1065" s="591"/>
      <c r="D1065" s="605"/>
      <c r="E1065" s="517"/>
      <c r="F1065" s="518"/>
      <c r="G1065" s="523"/>
      <c r="H1065" s="524"/>
      <c r="I1065" s="529"/>
      <c r="J1065" s="530"/>
      <c r="K1065" s="513"/>
      <c r="L1065" s="534"/>
      <c r="M1065" s="537"/>
      <c r="N1065" s="541"/>
      <c r="O1065" s="542"/>
      <c r="P1065" s="483"/>
      <c r="Q1065" s="484"/>
      <c r="R1065" s="517"/>
      <c r="S1065" s="518"/>
      <c r="T1065" s="487"/>
      <c r="U1065" s="488"/>
      <c r="V1065" s="492"/>
      <c r="W1065" s="483"/>
      <c r="X1065" s="495"/>
      <c r="Y1065" s="484"/>
      <c r="Z1065" s="498"/>
      <c r="AA1065" s="502"/>
      <c r="AB1065" s="503"/>
      <c r="AC1065" s="471" t="s">
        <v>259</v>
      </c>
      <c r="AD1065" s="472"/>
      <c r="AE1065" s="473"/>
      <c r="AF1065" s="100"/>
      <c r="AG1065" s="100"/>
      <c r="AH1065" s="100"/>
      <c r="AI1065" s="100"/>
      <c r="AJ1065" s="100"/>
      <c r="AK1065" s="100"/>
      <c r="AL1065" s="100"/>
      <c r="AM1065" s="100"/>
      <c r="AN1065" s="100"/>
      <c r="AO1065" s="100"/>
      <c r="AP1065" s="100"/>
      <c r="AQ1065" s="101"/>
      <c r="AR1065" s="104">
        <f t="shared" ref="AR1065:AR1066" si="2036">SUM(AF1065:AQ1065)</f>
        <v>0</v>
      </c>
      <c r="AS1065" s="128" t="s">
        <v>261</v>
      </c>
      <c r="AT1065" s="129"/>
      <c r="AU1065" s="129"/>
      <c r="AV1065" s="129"/>
      <c r="AW1065" s="130"/>
      <c r="AX1065" s="126">
        <f t="shared" si="2034"/>
        <v>0</v>
      </c>
      <c r="AY1065" s="143" t="s">
        <v>261</v>
      </c>
      <c r="AZ1065" s="139"/>
      <c r="BA1065" s="139"/>
      <c r="BB1065" s="136">
        <f t="shared" si="2035"/>
        <v>0</v>
      </c>
      <c r="BC1065" s="474" t="s">
        <v>262</v>
      </c>
      <c r="BD1065" s="475"/>
      <c r="BE1065" s="14"/>
      <c r="BF1065" s="17"/>
      <c r="BG1065" s="14"/>
      <c r="BH1065" s="17"/>
      <c r="BI1065" s="14"/>
      <c r="BJ1065" s="17"/>
      <c r="BK1065" s="14"/>
      <c r="BL1065" s="17"/>
      <c r="BM1065" s="14"/>
      <c r="BN1065" s="17"/>
      <c r="BO1065" s="14"/>
      <c r="BP1065" s="17"/>
      <c r="BQ1065" s="108">
        <f t="shared" si="2019"/>
        <v>0</v>
      </c>
      <c r="BR1065" s="567"/>
      <c r="BS1065" s="571"/>
      <c r="BT1065" s="572"/>
      <c r="BU1065" s="558"/>
      <c r="BV1065" s="561"/>
      <c r="BW1065" s="564"/>
      <c r="BX1065" s="616"/>
    </row>
    <row r="1066" spans="1:76" ht="15.75" thickBot="1" x14ac:dyDescent="0.3">
      <c r="A1066" s="587"/>
      <c r="B1066" s="592"/>
      <c r="C1066" s="593"/>
      <c r="D1066" s="606"/>
      <c r="E1066" s="519"/>
      <c r="F1066" s="520"/>
      <c r="G1066" s="525"/>
      <c r="H1066" s="526"/>
      <c r="I1066" s="531"/>
      <c r="J1066" s="532"/>
      <c r="K1066" s="514"/>
      <c r="L1066" s="535"/>
      <c r="M1066" s="538"/>
      <c r="N1066" s="543"/>
      <c r="O1066" s="544"/>
      <c r="P1066" s="485"/>
      <c r="Q1066" s="486"/>
      <c r="R1066" s="519"/>
      <c r="S1066" s="520"/>
      <c r="T1066" s="489"/>
      <c r="U1066" s="490"/>
      <c r="V1066" s="493"/>
      <c r="W1066" s="485"/>
      <c r="X1066" s="496"/>
      <c r="Y1066" s="486"/>
      <c r="Z1066" s="499"/>
      <c r="AA1066" s="504"/>
      <c r="AB1066" s="505"/>
      <c r="AC1066" s="476" t="s">
        <v>261</v>
      </c>
      <c r="AD1066" s="477"/>
      <c r="AE1066" s="478"/>
      <c r="AF1066" s="102"/>
      <c r="AG1066" s="102"/>
      <c r="AH1066" s="102"/>
      <c r="AI1066" s="102"/>
      <c r="AJ1066" s="102"/>
      <c r="AK1066" s="102"/>
      <c r="AL1066" s="102"/>
      <c r="AM1066" s="102"/>
      <c r="AN1066" s="102"/>
      <c r="AO1066" s="102"/>
      <c r="AP1066" s="102"/>
      <c r="AQ1066" s="103"/>
      <c r="AR1066" s="105">
        <f t="shared" si="2036"/>
        <v>0</v>
      </c>
      <c r="AS1066" s="131" t="s">
        <v>161</v>
      </c>
      <c r="AT1066" s="132">
        <f t="shared" ref="AT1066:AX1066" si="2037">SUM(AT1063:AT1065)</f>
        <v>0</v>
      </c>
      <c r="AU1066" s="132">
        <f t="shared" si="2037"/>
        <v>0</v>
      </c>
      <c r="AV1066" s="132">
        <f t="shared" si="2037"/>
        <v>0</v>
      </c>
      <c r="AW1066" s="133">
        <f t="shared" si="2037"/>
        <v>0</v>
      </c>
      <c r="AX1066" s="127">
        <f t="shared" si="2037"/>
        <v>0</v>
      </c>
      <c r="AY1066" s="144" t="s">
        <v>161</v>
      </c>
      <c r="AZ1066" s="140">
        <f t="shared" ref="AZ1066:BB1066" si="2038">SUM(AZ1063:AZ1065)</f>
        <v>0</v>
      </c>
      <c r="BA1066" s="140">
        <f t="shared" si="2038"/>
        <v>0</v>
      </c>
      <c r="BB1066" s="140">
        <f t="shared" si="2038"/>
        <v>0</v>
      </c>
      <c r="BC1066" s="479" t="s">
        <v>263</v>
      </c>
      <c r="BD1066" s="480"/>
      <c r="BE1066" s="15"/>
      <c r="BF1066" s="18"/>
      <c r="BG1066" s="15"/>
      <c r="BH1066" s="18"/>
      <c r="BI1066" s="15"/>
      <c r="BJ1066" s="18"/>
      <c r="BK1066" s="15"/>
      <c r="BL1066" s="18"/>
      <c r="BM1066" s="15"/>
      <c r="BN1066" s="18"/>
      <c r="BO1066" s="15"/>
      <c r="BP1066" s="18"/>
      <c r="BQ1066" s="109">
        <f t="shared" si="2019"/>
        <v>0</v>
      </c>
      <c r="BR1066" s="568"/>
      <c r="BS1066" s="573"/>
      <c r="BT1066" s="574"/>
      <c r="BU1066" s="559"/>
      <c r="BV1066" s="562"/>
      <c r="BW1066" s="565"/>
      <c r="BX1066" s="617"/>
    </row>
    <row r="1067" spans="1:76" ht="15.75" thickTop="1" x14ac:dyDescent="0.25">
      <c r="A1067" s="585">
        <v>265</v>
      </c>
      <c r="B1067" s="588"/>
      <c r="C1067" s="589"/>
      <c r="D1067" s="604"/>
      <c r="E1067" s="515"/>
      <c r="F1067" s="516"/>
      <c r="G1067" s="521"/>
      <c r="H1067" s="522"/>
      <c r="I1067" s="527"/>
      <c r="J1067" s="528"/>
      <c r="K1067" s="512" t="e">
        <f t="shared" ref="K1067" si="2039">INT(YEARFRAC(I1067,AA1067))</f>
        <v>#VALUE!</v>
      </c>
      <c r="L1067" s="533">
        <f t="shared" ref="L1067" ca="1" si="2040">INT(YEARFRAC(I1067,TODAY()))</f>
        <v>121</v>
      </c>
      <c r="M1067" s="536"/>
      <c r="N1067" s="539"/>
      <c r="O1067" s="540"/>
      <c r="P1067" s="481"/>
      <c r="Q1067" s="482"/>
      <c r="R1067" s="515"/>
      <c r="S1067" s="516"/>
      <c r="T1067" s="487"/>
      <c r="U1067" s="488"/>
      <c r="V1067" s="491"/>
      <c r="W1067" s="481"/>
      <c r="X1067" s="494"/>
      <c r="Y1067" s="482"/>
      <c r="Z1067" s="497"/>
      <c r="AA1067" s="500" t="s">
        <v>506</v>
      </c>
      <c r="AB1067" s="501"/>
      <c r="AC1067" s="506" t="s">
        <v>257</v>
      </c>
      <c r="AD1067" s="507"/>
      <c r="AE1067" s="507"/>
      <c r="AF1067" s="510"/>
      <c r="AG1067" s="510"/>
      <c r="AH1067" s="510"/>
      <c r="AI1067" s="510"/>
      <c r="AJ1067" s="510"/>
      <c r="AK1067" s="510"/>
      <c r="AL1067" s="510"/>
      <c r="AM1067" s="510"/>
      <c r="AN1067" s="510"/>
      <c r="AO1067" s="510"/>
      <c r="AP1067" s="510"/>
      <c r="AQ1067" s="465"/>
      <c r="AR1067" s="467">
        <f t="shared" ref="AR1067" si="2041">SUM(AF1067:AQ1068)</f>
        <v>0</v>
      </c>
      <c r="AS1067" s="119" t="s">
        <v>257</v>
      </c>
      <c r="AT1067" s="120"/>
      <c r="AU1067" s="120"/>
      <c r="AV1067" s="120"/>
      <c r="AW1067" s="121"/>
      <c r="AX1067" s="125">
        <f t="shared" ref="AX1067:AX1069" si="2042">SUM(AT1067:AW1067)</f>
        <v>0</v>
      </c>
      <c r="AY1067" s="141" t="s">
        <v>257</v>
      </c>
      <c r="AZ1067" s="137"/>
      <c r="BA1067" s="137"/>
      <c r="BB1067" s="134">
        <f t="shared" ref="BB1067:BB1069" si="2043">AZ1067-BA1067</f>
        <v>0</v>
      </c>
      <c r="BC1067" s="469" t="s">
        <v>258</v>
      </c>
      <c r="BD1067" s="470"/>
      <c r="BE1067" s="13"/>
      <c r="BF1067" s="16"/>
      <c r="BG1067" s="13"/>
      <c r="BH1067" s="16"/>
      <c r="BI1067" s="13"/>
      <c r="BJ1067" s="16"/>
      <c r="BK1067" s="13"/>
      <c r="BL1067" s="16"/>
      <c r="BM1067" s="13"/>
      <c r="BN1067" s="16"/>
      <c r="BO1067" s="13"/>
      <c r="BP1067" s="16"/>
      <c r="BQ1067" s="106">
        <f t="shared" si="2019"/>
        <v>0</v>
      </c>
      <c r="BR1067" s="566"/>
      <c r="BS1067" s="569"/>
      <c r="BT1067" s="570"/>
      <c r="BU1067" s="557"/>
      <c r="BV1067" s="560"/>
      <c r="BW1067" s="563"/>
      <c r="BX1067" s="615"/>
    </row>
    <row r="1068" spans="1:76" x14ac:dyDescent="0.25">
      <c r="A1068" s="586"/>
      <c r="B1068" s="590"/>
      <c r="C1068" s="591"/>
      <c r="D1068" s="605"/>
      <c r="E1068" s="517"/>
      <c r="F1068" s="518"/>
      <c r="G1068" s="523"/>
      <c r="H1068" s="524"/>
      <c r="I1068" s="529"/>
      <c r="J1068" s="530"/>
      <c r="K1068" s="513"/>
      <c r="L1068" s="534"/>
      <c r="M1068" s="537"/>
      <c r="N1068" s="541"/>
      <c r="O1068" s="542"/>
      <c r="P1068" s="483"/>
      <c r="Q1068" s="484"/>
      <c r="R1068" s="517"/>
      <c r="S1068" s="518"/>
      <c r="T1068" s="487"/>
      <c r="U1068" s="488"/>
      <c r="V1068" s="492"/>
      <c r="W1068" s="483"/>
      <c r="X1068" s="495"/>
      <c r="Y1068" s="484"/>
      <c r="Z1068" s="498"/>
      <c r="AA1068" s="502"/>
      <c r="AB1068" s="503"/>
      <c r="AC1068" s="508"/>
      <c r="AD1068" s="509"/>
      <c r="AE1068" s="509"/>
      <c r="AF1068" s="511"/>
      <c r="AG1068" s="511"/>
      <c r="AH1068" s="511"/>
      <c r="AI1068" s="511"/>
      <c r="AJ1068" s="511"/>
      <c r="AK1068" s="511"/>
      <c r="AL1068" s="511"/>
      <c r="AM1068" s="511"/>
      <c r="AN1068" s="511"/>
      <c r="AO1068" s="511"/>
      <c r="AP1068" s="511"/>
      <c r="AQ1068" s="466"/>
      <c r="AR1068" s="468"/>
      <c r="AS1068" s="122" t="s">
        <v>259</v>
      </c>
      <c r="AT1068" s="123"/>
      <c r="AU1068" s="123"/>
      <c r="AV1068" s="123"/>
      <c r="AW1068" s="124"/>
      <c r="AX1068" s="126">
        <f t="shared" si="2042"/>
        <v>0</v>
      </c>
      <c r="AY1068" s="142" t="s">
        <v>259</v>
      </c>
      <c r="AZ1068" s="138"/>
      <c r="BA1068" s="138"/>
      <c r="BB1068" s="135">
        <f t="shared" si="2043"/>
        <v>0</v>
      </c>
      <c r="BC1068" s="474" t="s">
        <v>260</v>
      </c>
      <c r="BD1068" s="475"/>
      <c r="BE1068" s="14"/>
      <c r="BF1068" s="17"/>
      <c r="BG1068" s="14"/>
      <c r="BH1068" s="17"/>
      <c r="BI1068" s="14"/>
      <c r="BJ1068" s="17"/>
      <c r="BK1068" s="14"/>
      <c r="BL1068" s="17"/>
      <c r="BM1068" s="14"/>
      <c r="BN1068" s="17"/>
      <c r="BO1068" s="14"/>
      <c r="BP1068" s="17"/>
      <c r="BQ1068" s="107">
        <f t="shared" si="2019"/>
        <v>0</v>
      </c>
      <c r="BR1068" s="567"/>
      <c r="BS1068" s="571"/>
      <c r="BT1068" s="572"/>
      <c r="BU1068" s="558"/>
      <c r="BV1068" s="561"/>
      <c r="BW1068" s="564"/>
      <c r="BX1068" s="616"/>
    </row>
    <row r="1069" spans="1:76" ht="15.75" thickBot="1" x14ac:dyDescent="0.3">
      <c r="A1069" s="586"/>
      <c r="B1069" s="590"/>
      <c r="C1069" s="591"/>
      <c r="D1069" s="605"/>
      <c r="E1069" s="517"/>
      <c r="F1069" s="518"/>
      <c r="G1069" s="523"/>
      <c r="H1069" s="524"/>
      <c r="I1069" s="529"/>
      <c r="J1069" s="530"/>
      <c r="K1069" s="513"/>
      <c r="L1069" s="534"/>
      <c r="M1069" s="537"/>
      <c r="N1069" s="541"/>
      <c r="O1069" s="542"/>
      <c r="P1069" s="483"/>
      <c r="Q1069" s="484"/>
      <c r="R1069" s="517"/>
      <c r="S1069" s="518"/>
      <c r="T1069" s="487"/>
      <c r="U1069" s="488"/>
      <c r="V1069" s="492"/>
      <c r="W1069" s="483"/>
      <c r="X1069" s="495"/>
      <c r="Y1069" s="484"/>
      <c r="Z1069" s="498"/>
      <c r="AA1069" s="502"/>
      <c r="AB1069" s="503"/>
      <c r="AC1069" s="471" t="s">
        <v>259</v>
      </c>
      <c r="AD1069" s="472"/>
      <c r="AE1069" s="473"/>
      <c r="AF1069" s="100"/>
      <c r="AG1069" s="100"/>
      <c r="AH1069" s="100"/>
      <c r="AI1069" s="100"/>
      <c r="AJ1069" s="100"/>
      <c r="AK1069" s="100"/>
      <c r="AL1069" s="100"/>
      <c r="AM1069" s="100"/>
      <c r="AN1069" s="100"/>
      <c r="AO1069" s="100"/>
      <c r="AP1069" s="100"/>
      <c r="AQ1069" s="101"/>
      <c r="AR1069" s="104">
        <f t="shared" ref="AR1069:AR1070" si="2044">SUM(AF1069:AQ1069)</f>
        <v>0</v>
      </c>
      <c r="AS1069" s="128" t="s">
        <v>261</v>
      </c>
      <c r="AT1069" s="129"/>
      <c r="AU1069" s="129"/>
      <c r="AV1069" s="129"/>
      <c r="AW1069" s="130"/>
      <c r="AX1069" s="126">
        <f t="shared" si="2042"/>
        <v>0</v>
      </c>
      <c r="AY1069" s="143" t="s">
        <v>261</v>
      </c>
      <c r="AZ1069" s="139"/>
      <c r="BA1069" s="139"/>
      <c r="BB1069" s="136">
        <f t="shared" si="2043"/>
        <v>0</v>
      </c>
      <c r="BC1069" s="474" t="s">
        <v>262</v>
      </c>
      <c r="BD1069" s="475"/>
      <c r="BE1069" s="14"/>
      <c r="BF1069" s="17"/>
      <c r="BG1069" s="14"/>
      <c r="BH1069" s="17"/>
      <c r="BI1069" s="14"/>
      <c r="BJ1069" s="17"/>
      <c r="BK1069" s="14"/>
      <c r="BL1069" s="17"/>
      <c r="BM1069" s="14"/>
      <c r="BN1069" s="17"/>
      <c r="BO1069" s="14"/>
      <c r="BP1069" s="17"/>
      <c r="BQ1069" s="108">
        <f t="shared" si="2019"/>
        <v>0</v>
      </c>
      <c r="BR1069" s="567"/>
      <c r="BS1069" s="571"/>
      <c r="BT1069" s="572"/>
      <c r="BU1069" s="558"/>
      <c r="BV1069" s="561"/>
      <c r="BW1069" s="564"/>
      <c r="BX1069" s="616"/>
    </row>
    <row r="1070" spans="1:76" ht="15.75" thickBot="1" x14ac:dyDescent="0.3">
      <c r="A1070" s="587"/>
      <c r="B1070" s="592"/>
      <c r="C1070" s="593"/>
      <c r="D1070" s="606"/>
      <c r="E1070" s="519"/>
      <c r="F1070" s="520"/>
      <c r="G1070" s="525"/>
      <c r="H1070" s="526"/>
      <c r="I1070" s="531"/>
      <c r="J1070" s="532"/>
      <c r="K1070" s="514"/>
      <c r="L1070" s="535"/>
      <c r="M1070" s="538"/>
      <c r="N1070" s="543"/>
      <c r="O1070" s="544"/>
      <c r="P1070" s="485"/>
      <c r="Q1070" s="486"/>
      <c r="R1070" s="519"/>
      <c r="S1070" s="520"/>
      <c r="T1070" s="489"/>
      <c r="U1070" s="490"/>
      <c r="V1070" s="493"/>
      <c r="W1070" s="485"/>
      <c r="X1070" s="496"/>
      <c r="Y1070" s="486"/>
      <c r="Z1070" s="499"/>
      <c r="AA1070" s="504"/>
      <c r="AB1070" s="505"/>
      <c r="AC1070" s="476" t="s">
        <v>261</v>
      </c>
      <c r="AD1070" s="477"/>
      <c r="AE1070" s="478"/>
      <c r="AF1070" s="102"/>
      <c r="AG1070" s="102"/>
      <c r="AH1070" s="102"/>
      <c r="AI1070" s="102"/>
      <c r="AJ1070" s="102"/>
      <c r="AK1070" s="102"/>
      <c r="AL1070" s="102"/>
      <c r="AM1070" s="102"/>
      <c r="AN1070" s="102"/>
      <c r="AO1070" s="102"/>
      <c r="AP1070" s="102"/>
      <c r="AQ1070" s="103"/>
      <c r="AR1070" s="105">
        <f t="shared" si="2044"/>
        <v>0</v>
      </c>
      <c r="AS1070" s="131" t="s">
        <v>161</v>
      </c>
      <c r="AT1070" s="132">
        <f t="shared" ref="AT1070:AX1070" si="2045">SUM(AT1067:AT1069)</f>
        <v>0</v>
      </c>
      <c r="AU1070" s="132">
        <f t="shared" si="2045"/>
        <v>0</v>
      </c>
      <c r="AV1070" s="132">
        <f t="shared" si="2045"/>
        <v>0</v>
      </c>
      <c r="AW1070" s="133">
        <f t="shared" si="2045"/>
        <v>0</v>
      </c>
      <c r="AX1070" s="127">
        <f t="shared" si="2045"/>
        <v>0</v>
      </c>
      <c r="AY1070" s="144" t="s">
        <v>161</v>
      </c>
      <c r="AZ1070" s="140">
        <f t="shared" ref="AZ1070:BB1070" si="2046">SUM(AZ1067:AZ1069)</f>
        <v>0</v>
      </c>
      <c r="BA1070" s="140">
        <f t="shared" si="2046"/>
        <v>0</v>
      </c>
      <c r="BB1070" s="140">
        <f t="shared" si="2046"/>
        <v>0</v>
      </c>
      <c r="BC1070" s="479" t="s">
        <v>263</v>
      </c>
      <c r="BD1070" s="480"/>
      <c r="BE1070" s="15"/>
      <c r="BF1070" s="18"/>
      <c r="BG1070" s="15"/>
      <c r="BH1070" s="18"/>
      <c r="BI1070" s="15"/>
      <c r="BJ1070" s="18"/>
      <c r="BK1070" s="15"/>
      <c r="BL1070" s="18"/>
      <c r="BM1070" s="15"/>
      <c r="BN1070" s="18"/>
      <c r="BO1070" s="15"/>
      <c r="BP1070" s="18"/>
      <c r="BQ1070" s="109">
        <f t="shared" si="2019"/>
        <v>0</v>
      </c>
      <c r="BR1070" s="568"/>
      <c r="BS1070" s="573"/>
      <c r="BT1070" s="574"/>
      <c r="BU1070" s="559"/>
      <c r="BV1070" s="562"/>
      <c r="BW1070" s="565"/>
      <c r="BX1070" s="617"/>
    </row>
    <row r="1071" spans="1:76" ht="15.75" thickTop="1" x14ac:dyDescent="0.25">
      <c r="A1071" s="585">
        <v>266</v>
      </c>
      <c r="B1071" s="588"/>
      <c r="C1071" s="589"/>
      <c r="D1071" s="604"/>
      <c r="E1071" s="515"/>
      <c r="F1071" s="516"/>
      <c r="G1071" s="521"/>
      <c r="H1071" s="522"/>
      <c r="I1071" s="527"/>
      <c r="J1071" s="528"/>
      <c r="K1071" s="512" t="e">
        <f t="shared" ref="K1071" si="2047">INT(YEARFRAC(I1071,AA1071))</f>
        <v>#VALUE!</v>
      </c>
      <c r="L1071" s="533">
        <f t="shared" ref="L1071" ca="1" si="2048">INT(YEARFRAC(I1071,TODAY()))</f>
        <v>121</v>
      </c>
      <c r="M1071" s="536"/>
      <c r="N1071" s="539"/>
      <c r="O1071" s="540"/>
      <c r="P1071" s="481"/>
      <c r="Q1071" s="482"/>
      <c r="R1071" s="515"/>
      <c r="S1071" s="516"/>
      <c r="T1071" s="487"/>
      <c r="U1071" s="488"/>
      <c r="V1071" s="491"/>
      <c r="W1071" s="481"/>
      <c r="X1071" s="494"/>
      <c r="Y1071" s="482"/>
      <c r="Z1071" s="497"/>
      <c r="AA1071" s="500" t="s">
        <v>507</v>
      </c>
      <c r="AB1071" s="501"/>
      <c r="AC1071" s="506" t="s">
        <v>257</v>
      </c>
      <c r="AD1071" s="507"/>
      <c r="AE1071" s="507"/>
      <c r="AF1071" s="510"/>
      <c r="AG1071" s="510"/>
      <c r="AH1071" s="510"/>
      <c r="AI1071" s="510"/>
      <c r="AJ1071" s="510"/>
      <c r="AK1071" s="510"/>
      <c r="AL1071" s="510"/>
      <c r="AM1071" s="510"/>
      <c r="AN1071" s="510"/>
      <c r="AO1071" s="510"/>
      <c r="AP1071" s="510"/>
      <c r="AQ1071" s="465"/>
      <c r="AR1071" s="467">
        <f t="shared" ref="AR1071" si="2049">SUM(AF1071:AQ1072)</f>
        <v>0</v>
      </c>
      <c r="AS1071" s="119" t="s">
        <v>257</v>
      </c>
      <c r="AT1071" s="120"/>
      <c r="AU1071" s="120"/>
      <c r="AV1071" s="120"/>
      <c r="AW1071" s="121"/>
      <c r="AX1071" s="125">
        <f t="shared" ref="AX1071:AX1073" si="2050">SUM(AT1071:AW1071)</f>
        <v>0</v>
      </c>
      <c r="AY1071" s="141" t="s">
        <v>257</v>
      </c>
      <c r="AZ1071" s="137"/>
      <c r="BA1071" s="137"/>
      <c r="BB1071" s="134">
        <f t="shared" ref="BB1071:BB1073" si="2051">AZ1071-BA1071</f>
        <v>0</v>
      </c>
      <c r="BC1071" s="469" t="s">
        <v>258</v>
      </c>
      <c r="BD1071" s="470"/>
      <c r="BE1071" s="13"/>
      <c r="BF1071" s="16"/>
      <c r="BG1071" s="13"/>
      <c r="BH1071" s="16"/>
      <c r="BI1071" s="13"/>
      <c r="BJ1071" s="16"/>
      <c r="BK1071" s="13"/>
      <c r="BL1071" s="16"/>
      <c r="BM1071" s="13"/>
      <c r="BN1071" s="16"/>
      <c r="BO1071" s="13"/>
      <c r="BP1071" s="16"/>
      <c r="BQ1071" s="106">
        <f t="shared" si="2019"/>
        <v>0</v>
      </c>
      <c r="BR1071" s="566"/>
      <c r="BS1071" s="569"/>
      <c r="BT1071" s="570"/>
      <c r="BU1071" s="557"/>
      <c r="BV1071" s="560"/>
      <c r="BW1071" s="563"/>
      <c r="BX1071" s="615"/>
    </row>
    <row r="1072" spans="1:76" x14ac:dyDescent="0.25">
      <c r="A1072" s="586"/>
      <c r="B1072" s="590"/>
      <c r="C1072" s="591"/>
      <c r="D1072" s="605"/>
      <c r="E1072" s="517"/>
      <c r="F1072" s="518"/>
      <c r="G1072" s="523"/>
      <c r="H1072" s="524"/>
      <c r="I1072" s="529"/>
      <c r="J1072" s="530"/>
      <c r="K1072" s="513"/>
      <c r="L1072" s="534"/>
      <c r="M1072" s="537"/>
      <c r="N1072" s="541"/>
      <c r="O1072" s="542"/>
      <c r="P1072" s="483"/>
      <c r="Q1072" s="484"/>
      <c r="R1072" s="517"/>
      <c r="S1072" s="518"/>
      <c r="T1072" s="487"/>
      <c r="U1072" s="488"/>
      <c r="V1072" s="492"/>
      <c r="W1072" s="483"/>
      <c r="X1072" s="495"/>
      <c r="Y1072" s="484"/>
      <c r="Z1072" s="498"/>
      <c r="AA1072" s="502"/>
      <c r="AB1072" s="503"/>
      <c r="AC1072" s="508"/>
      <c r="AD1072" s="509"/>
      <c r="AE1072" s="509"/>
      <c r="AF1072" s="511"/>
      <c r="AG1072" s="511"/>
      <c r="AH1072" s="511"/>
      <c r="AI1072" s="511"/>
      <c r="AJ1072" s="511"/>
      <c r="AK1072" s="511"/>
      <c r="AL1072" s="511"/>
      <c r="AM1072" s="511"/>
      <c r="AN1072" s="511"/>
      <c r="AO1072" s="511"/>
      <c r="AP1072" s="511"/>
      <c r="AQ1072" s="466"/>
      <c r="AR1072" s="468"/>
      <c r="AS1072" s="122" t="s">
        <v>259</v>
      </c>
      <c r="AT1072" s="123"/>
      <c r="AU1072" s="123"/>
      <c r="AV1072" s="123"/>
      <c r="AW1072" s="124"/>
      <c r="AX1072" s="126">
        <f t="shared" si="2050"/>
        <v>0</v>
      </c>
      <c r="AY1072" s="142" t="s">
        <v>259</v>
      </c>
      <c r="AZ1072" s="138"/>
      <c r="BA1072" s="138"/>
      <c r="BB1072" s="135">
        <f t="shared" si="2051"/>
        <v>0</v>
      </c>
      <c r="BC1072" s="474" t="s">
        <v>260</v>
      </c>
      <c r="BD1072" s="475"/>
      <c r="BE1072" s="14"/>
      <c r="BF1072" s="17"/>
      <c r="BG1072" s="14"/>
      <c r="BH1072" s="17"/>
      <c r="BI1072" s="14"/>
      <c r="BJ1072" s="17"/>
      <c r="BK1072" s="14"/>
      <c r="BL1072" s="17"/>
      <c r="BM1072" s="14"/>
      <c r="BN1072" s="17"/>
      <c r="BO1072" s="14"/>
      <c r="BP1072" s="17"/>
      <c r="BQ1072" s="107">
        <f t="shared" si="2019"/>
        <v>0</v>
      </c>
      <c r="BR1072" s="567"/>
      <c r="BS1072" s="571"/>
      <c r="BT1072" s="572"/>
      <c r="BU1072" s="558"/>
      <c r="BV1072" s="561"/>
      <c r="BW1072" s="564"/>
      <c r="BX1072" s="616"/>
    </row>
    <row r="1073" spans="1:76" ht="15.75" thickBot="1" x14ac:dyDescent="0.3">
      <c r="A1073" s="586"/>
      <c r="B1073" s="590"/>
      <c r="C1073" s="591"/>
      <c r="D1073" s="605"/>
      <c r="E1073" s="517"/>
      <c r="F1073" s="518"/>
      <c r="G1073" s="523"/>
      <c r="H1073" s="524"/>
      <c r="I1073" s="529"/>
      <c r="J1073" s="530"/>
      <c r="K1073" s="513"/>
      <c r="L1073" s="534"/>
      <c r="M1073" s="537"/>
      <c r="N1073" s="541"/>
      <c r="O1073" s="542"/>
      <c r="P1073" s="483"/>
      <c r="Q1073" s="484"/>
      <c r="R1073" s="517"/>
      <c r="S1073" s="518"/>
      <c r="T1073" s="487"/>
      <c r="U1073" s="488"/>
      <c r="V1073" s="492"/>
      <c r="W1073" s="483"/>
      <c r="X1073" s="495"/>
      <c r="Y1073" s="484"/>
      <c r="Z1073" s="498"/>
      <c r="AA1073" s="502"/>
      <c r="AB1073" s="503"/>
      <c r="AC1073" s="471" t="s">
        <v>259</v>
      </c>
      <c r="AD1073" s="472"/>
      <c r="AE1073" s="473"/>
      <c r="AF1073" s="100"/>
      <c r="AG1073" s="100"/>
      <c r="AH1073" s="100"/>
      <c r="AI1073" s="100"/>
      <c r="AJ1073" s="100"/>
      <c r="AK1073" s="100"/>
      <c r="AL1073" s="100"/>
      <c r="AM1073" s="100"/>
      <c r="AN1073" s="100"/>
      <c r="AO1073" s="100"/>
      <c r="AP1073" s="100"/>
      <c r="AQ1073" s="101"/>
      <c r="AR1073" s="104">
        <f t="shared" ref="AR1073:AR1074" si="2052">SUM(AF1073:AQ1073)</f>
        <v>0</v>
      </c>
      <c r="AS1073" s="128" t="s">
        <v>261</v>
      </c>
      <c r="AT1073" s="129"/>
      <c r="AU1073" s="129"/>
      <c r="AV1073" s="129"/>
      <c r="AW1073" s="130"/>
      <c r="AX1073" s="126">
        <f t="shared" si="2050"/>
        <v>0</v>
      </c>
      <c r="AY1073" s="143" t="s">
        <v>261</v>
      </c>
      <c r="AZ1073" s="139"/>
      <c r="BA1073" s="139"/>
      <c r="BB1073" s="136">
        <f t="shared" si="2051"/>
        <v>0</v>
      </c>
      <c r="BC1073" s="474" t="s">
        <v>262</v>
      </c>
      <c r="BD1073" s="475"/>
      <c r="BE1073" s="14"/>
      <c r="BF1073" s="17"/>
      <c r="BG1073" s="14"/>
      <c r="BH1073" s="17"/>
      <c r="BI1073" s="14"/>
      <c r="BJ1073" s="17"/>
      <c r="BK1073" s="14"/>
      <c r="BL1073" s="17"/>
      <c r="BM1073" s="14"/>
      <c r="BN1073" s="17"/>
      <c r="BO1073" s="14"/>
      <c r="BP1073" s="17"/>
      <c r="BQ1073" s="108">
        <f t="shared" si="2019"/>
        <v>0</v>
      </c>
      <c r="BR1073" s="567"/>
      <c r="BS1073" s="571"/>
      <c r="BT1073" s="572"/>
      <c r="BU1073" s="558"/>
      <c r="BV1073" s="561"/>
      <c r="BW1073" s="564"/>
      <c r="BX1073" s="616"/>
    </row>
    <row r="1074" spans="1:76" ht="15.75" thickBot="1" x14ac:dyDescent="0.3">
      <c r="A1074" s="587"/>
      <c r="B1074" s="592"/>
      <c r="C1074" s="593"/>
      <c r="D1074" s="606"/>
      <c r="E1074" s="519"/>
      <c r="F1074" s="520"/>
      <c r="G1074" s="525"/>
      <c r="H1074" s="526"/>
      <c r="I1074" s="531"/>
      <c r="J1074" s="532"/>
      <c r="K1074" s="514"/>
      <c r="L1074" s="535"/>
      <c r="M1074" s="538"/>
      <c r="N1074" s="543"/>
      <c r="O1074" s="544"/>
      <c r="P1074" s="485"/>
      <c r="Q1074" s="486"/>
      <c r="R1074" s="519"/>
      <c r="S1074" s="520"/>
      <c r="T1074" s="489"/>
      <c r="U1074" s="490"/>
      <c r="V1074" s="493"/>
      <c r="W1074" s="485"/>
      <c r="X1074" s="496"/>
      <c r="Y1074" s="486"/>
      <c r="Z1074" s="499"/>
      <c r="AA1074" s="504"/>
      <c r="AB1074" s="505"/>
      <c r="AC1074" s="476" t="s">
        <v>261</v>
      </c>
      <c r="AD1074" s="477"/>
      <c r="AE1074" s="478"/>
      <c r="AF1074" s="102"/>
      <c r="AG1074" s="102"/>
      <c r="AH1074" s="102"/>
      <c r="AI1074" s="102"/>
      <c r="AJ1074" s="102"/>
      <c r="AK1074" s="102"/>
      <c r="AL1074" s="102"/>
      <c r="AM1074" s="102"/>
      <c r="AN1074" s="102"/>
      <c r="AO1074" s="102"/>
      <c r="AP1074" s="102"/>
      <c r="AQ1074" s="103"/>
      <c r="AR1074" s="105">
        <f t="shared" si="2052"/>
        <v>0</v>
      </c>
      <c r="AS1074" s="131" t="s">
        <v>161</v>
      </c>
      <c r="AT1074" s="132">
        <f t="shared" ref="AT1074:AX1074" si="2053">SUM(AT1071:AT1073)</f>
        <v>0</v>
      </c>
      <c r="AU1074" s="132">
        <f t="shared" si="2053"/>
        <v>0</v>
      </c>
      <c r="AV1074" s="132">
        <f t="shared" si="2053"/>
        <v>0</v>
      </c>
      <c r="AW1074" s="133">
        <f t="shared" si="2053"/>
        <v>0</v>
      </c>
      <c r="AX1074" s="127">
        <f t="shared" si="2053"/>
        <v>0</v>
      </c>
      <c r="AY1074" s="144" t="s">
        <v>161</v>
      </c>
      <c r="AZ1074" s="140">
        <f t="shared" ref="AZ1074:BB1074" si="2054">SUM(AZ1071:AZ1073)</f>
        <v>0</v>
      </c>
      <c r="BA1074" s="140">
        <f t="shared" si="2054"/>
        <v>0</v>
      </c>
      <c r="BB1074" s="140">
        <f t="shared" si="2054"/>
        <v>0</v>
      </c>
      <c r="BC1074" s="479" t="s">
        <v>263</v>
      </c>
      <c r="BD1074" s="480"/>
      <c r="BE1074" s="15"/>
      <c r="BF1074" s="18"/>
      <c r="BG1074" s="15"/>
      <c r="BH1074" s="18"/>
      <c r="BI1074" s="15"/>
      <c r="BJ1074" s="18"/>
      <c r="BK1074" s="15"/>
      <c r="BL1074" s="18"/>
      <c r="BM1074" s="15"/>
      <c r="BN1074" s="18"/>
      <c r="BO1074" s="15"/>
      <c r="BP1074" s="18"/>
      <c r="BQ1074" s="109">
        <f t="shared" si="2019"/>
        <v>0</v>
      </c>
      <c r="BR1074" s="568"/>
      <c r="BS1074" s="573"/>
      <c r="BT1074" s="574"/>
      <c r="BU1074" s="559"/>
      <c r="BV1074" s="562"/>
      <c r="BW1074" s="565"/>
      <c r="BX1074" s="617"/>
    </row>
    <row r="1075" spans="1:76" ht="15.75" thickTop="1" x14ac:dyDescent="0.25">
      <c r="A1075" s="585">
        <v>267</v>
      </c>
      <c r="B1075" s="588"/>
      <c r="C1075" s="589"/>
      <c r="D1075" s="604"/>
      <c r="E1075" s="515"/>
      <c r="F1075" s="516"/>
      <c r="G1075" s="521"/>
      <c r="H1075" s="522"/>
      <c r="I1075" s="527"/>
      <c r="J1075" s="528"/>
      <c r="K1075" s="512" t="e">
        <f t="shared" ref="K1075" si="2055">INT(YEARFRAC(I1075,AA1075))</f>
        <v>#VALUE!</v>
      </c>
      <c r="L1075" s="533">
        <f t="shared" ref="L1075" ca="1" si="2056">INT(YEARFRAC(I1075,TODAY()))</f>
        <v>121</v>
      </c>
      <c r="M1075" s="536"/>
      <c r="N1075" s="539"/>
      <c r="O1075" s="540"/>
      <c r="P1075" s="481"/>
      <c r="Q1075" s="482"/>
      <c r="R1075" s="515"/>
      <c r="S1075" s="516"/>
      <c r="T1075" s="487"/>
      <c r="U1075" s="488"/>
      <c r="V1075" s="491"/>
      <c r="W1075" s="481"/>
      <c r="X1075" s="494"/>
      <c r="Y1075" s="482"/>
      <c r="Z1075" s="497"/>
      <c r="AA1075" s="500" t="s">
        <v>508</v>
      </c>
      <c r="AB1075" s="501"/>
      <c r="AC1075" s="506" t="s">
        <v>257</v>
      </c>
      <c r="AD1075" s="507"/>
      <c r="AE1075" s="507"/>
      <c r="AF1075" s="510"/>
      <c r="AG1075" s="510"/>
      <c r="AH1075" s="510"/>
      <c r="AI1075" s="510"/>
      <c r="AJ1075" s="510"/>
      <c r="AK1075" s="510"/>
      <c r="AL1075" s="510"/>
      <c r="AM1075" s="510"/>
      <c r="AN1075" s="510"/>
      <c r="AO1075" s="510"/>
      <c r="AP1075" s="510"/>
      <c r="AQ1075" s="465"/>
      <c r="AR1075" s="467">
        <f t="shared" ref="AR1075" si="2057">SUM(AF1075:AQ1076)</f>
        <v>0</v>
      </c>
      <c r="AS1075" s="119" t="s">
        <v>257</v>
      </c>
      <c r="AT1075" s="120"/>
      <c r="AU1075" s="120"/>
      <c r="AV1075" s="120"/>
      <c r="AW1075" s="121"/>
      <c r="AX1075" s="125">
        <f t="shared" ref="AX1075:AX1077" si="2058">SUM(AT1075:AW1075)</f>
        <v>0</v>
      </c>
      <c r="AY1075" s="141" t="s">
        <v>257</v>
      </c>
      <c r="AZ1075" s="137"/>
      <c r="BA1075" s="137"/>
      <c r="BB1075" s="134">
        <f t="shared" ref="BB1075:BB1077" si="2059">AZ1075-BA1075</f>
        <v>0</v>
      </c>
      <c r="BC1075" s="469" t="s">
        <v>258</v>
      </c>
      <c r="BD1075" s="470"/>
      <c r="BE1075" s="13"/>
      <c r="BF1075" s="16"/>
      <c r="BG1075" s="13"/>
      <c r="BH1075" s="16"/>
      <c r="BI1075" s="13"/>
      <c r="BJ1075" s="16"/>
      <c r="BK1075" s="13"/>
      <c r="BL1075" s="16"/>
      <c r="BM1075" s="13"/>
      <c r="BN1075" s="16"/>
      <c r="BO1075" s="13"/>
      <c r="BP1075" s="16"/>
      <c r="BQ1075" s="106">
        <f t="shared" si="2019"/>
        <v>0</v>
      </c>
      <c r="BR1075" s="566"/>
      <c r="BS1075" s="569"/>
      <c r="BT1075" s="570"/>
      <c r="BU1075" s="557"/>
      <c r="BV1075" s="560"/>
      <c r="BW1075" s="563"/>
      <c r="BX1075" s="615"/>
    </row>
    <row r="1076" spans="1:76" x14ac:dyDescent="0.25">
      <c r="A1076" s="586"/>
      <c r="B1076" s="590"/>
      <c r="C1076" s="591"/>
      <c r="D1076" s="605"/>
      <c r="E1076" s="517"/>
      <c r="F1076" s="518"/>
      <c r="G1076" s="523"/>
      <c r="H1076" s="524"/>
      <c r="I1076" s="529"/>
      <c r="J1076" s="530"/>
      <c r="K1076" s="513"/>
      <c r="L1076" s="534"/>
      <c r="M1076" s="537"/>
      <c r="N1076" s="541"/>
      <c r="O1076" s="542"/>
      <c r="P1076" s="483"/>
      <c r="Q1076" s="484"/>
      <c r="R1076" s="517"/>
      <c r="S1076" s="518"/>
      <c r="T1076" s="487"/>
      <c r="U1076" s="488"/>
      <c r="V1076" s="492"/>
      <c r="W1076" s="483"/>
      <c r="X1076" s="495"/>
      <c r="Y1076" s="484"/>
      <c r="Z1076" s="498"/>
      <c r="AA1076" s="502"/>
      <c r="AB1076" s="503"/>
      <c r="AC1076" s="508"/>
      <c r="AD1076" s="509"/>
      <c r="AE1076" s="509"/>
      <c r="AF1076" s="511"/>
      <c r="AG1076" s="511"/>
      <c r="AH1076" s="511"/>
      <c r="AI1076" s="511"/>
      <c r="AJ1076" s="511"/>
      <c r="AK1076" s="511"/>
      <c r="AL1076" s="511"/>
      <c r="AM1076" s="511"/>
      <c r="AN1076" s="511"/>
      <c r="AO1076" s="511"/>
      <c r="AP1076" s="511"/>
      <c r="AQ1076" s="466"/>
      <c r="AR1076" s="468"/>
      <c r="AS1076" s="122" t="s">
        <v>259</v>
      </c>
      <c r="AT1076" s="123"/>
      <c r="AU1076" s="123"/>
      <c r="AV1076" s="123"/>
      <c r="AW1076" s="124"/>
      <c r="AX1076" s="126">
        <f t="shared" si="2058"/>
        <v>0</v>
      </c>
      <c r="AY1076" s="142" t="s">
        <v>259</v>
      </c>
      <c r="AZ1076" s="138"/>
      <c r="BA1076" s="138"/>
      <c r="BB1076" s="135">
        <f t="shared" si="2059"/>
        <v>0</v>
      </c>
      <c r="BC1076" s="474" t="s">
        <v>260</v>
      </c>
      <c r="BD1076" s="475"/>
      <c r="BE1076" s="14"/>
      <c r="BF1076" s="17"/>
      <c r="BG1076" s="14"/>
      <c r="BH1076" s="17"/>
      <c r="BI1076" s="14"/>
      <c r="BJ1076" s="17"/>
      <c r="BK1076" s="14"/>
      <c r="BL1076" s="17"/>
      <c r="BM1076" s="14"/>
      <c r="BN1076" s="17"/>
      <c r="BO1076" s="14"/>
      <c r="BP1076" s="17"/>
      <c r="BQ1076" s="107">
        <f t="shared" si="2019"/>
        <v>0</v>
      </c>
      <c r="BR1076" s="567"/>
      <c r="BS1076" s="571"/>
      <c r="BT1076" s="572"/>
      <c r="BU1076" s="558"/>
      <c r="BV1076" s="561"/>
      <c r="BW1076" s="564"/>
      <c r="BX1076" s="616"/>
    </row>
    <row r="1077" spans="1:76" ht="15.75" thickBot="1" x14ac:dyDescent="0.3">
      <c r="A1077" s="586"/>
      <c r="B1077" s="590"/>
      <c r="C1077" s="591"/>
      <c r="D1077" s="605"/>
      <c r="E1077" s="517"/>
      <c r="F1077" s="518"/>
      <c r="G1077" s="523"/>
      <c r="H1077" s="524"/>
      <c r="I1077" s="529"/>
      <c r="J1077" s="530"/>
      <c r="K1077" s="513"/>
      <c r="L1077" s="534"/>
      <c r="M1077" s="537"/>
      <c r="N1077" s="541"/>
      <c r="O1077" s="542"/>
      <c r="P1077" s="483"/>
      <c r="Q1077" s="484"/>
      <c r="R1077" s="517"/>
      <c r="S1077" s="518"/>
      <c r="T1077" s="487"/>
      <c r="U1077" s="488"/>
      <c r="V1077" s="492"/>
      <c r="W1077" s="483"/>
      <c r="X1077" s="495"/>
      <c r="Y1077" s="484"/>
      <c r="Z1077" s="498"/>
      <c r="AA1077" s="502"/>
      <c r="AB1077" s="503"/>
      <c r="AC1077" s="471" t="s">
        <v>259</v>
      </c>
      <c r="AD1077" s="472"/>
      <c r="AE1077" s="473"/>
      <c r="AF1077" s="100"/>
      <c r="AG1077" s="100"/>
      <c r="AH1077" s="100"/>
      <c r="AI1077" s="100"/>
      <c r="AJ1077" s="100"/>
      <c r="AK1077" s="100"/>
      <c r="AL1077" s="100"/>
      <c r="AM1077" s="100"/>
      <c r="AN1077" s="100"/>
      <c r="AO1077" s="100"/>
      <c r="AP1077" s="100"/>
      <c r="AQ1077" s="101"/>
      <c r="AR1077" s="104">
        <f t="shared" ref="AR1077:AR1078" si="2060">SUM(AF1077:AQ1077)</f>
        <v>0</v>
      </c>
      <c r="AS1077" s="128" t="s">
        <v>261</v>
      </c>
      <c r="AT1077" s="129"/>
      <c r="AU1077" s="129"/>
      <c r="AV1077" s="129"/>
      <c r="AW1077" s="130"/>
      <c r="AX1077" s="126">
        <f t="shared" si="2058"/>
        <v>0</v>
      </c>
      <c r="AY1077" s="143" t="s">
        <v>261</v>
      </c>
      <c r="AZ1077" s="139"/>
      <c r="BA1077" s="139"/>
      <c r="BB1077" s="136">
        <f t="shared" si="2059"/>
        <v>0</v>
      </c>
      <c r="BC1077" s="474" t="s">
        <v>262</v>
      </c>
      <c r="BD1077" s="475"/>
      <c r="BE1077" s="14"/>
      <c r="BF1077" s="17"/>
      <c r="BG1077" s="14"/>
      <c r="BH1077" s="17"/>
      <c r="BI1077" s="14"/>
      <c r="BJ1077" s="17"/>
      <c r="BK1077" s="14"/>
      <c r="BL1077" s="17"/>
      <c r="BM1077" s="14"/>
      <c r="BN1077" s="17"/>
      <c r="BO1077" s="14"/>
      <c r="BP1077" s="17"/>
      <c r="BQ1077" s="108">
        <f t="shared" si="2019"/>
        <v>0</v>
      </c>
      <c r="BR1077" s="567"/>
      <c r="BS1077" s="571"/>
      <c r="BT1077" s="572"/>
      <c r="BU1077" s="558"/>
      <c r="BV1077" s="561"/>
      <c r="BW1077" s="564"/>
      <c r="BX1077" s="616"/>
    </row>
    <row r="1078" spans="1:76" ht="15.75" thickBot="1" x14ac:dyDescent="0.3">
      <c r="A1078" s="587"/>
      <c r="B1078" s="592"/>
      <c r="C1078" s="593"/>
      <c r="D1078" s="606"/>
      <c r="E1078" s="519"/>
      <c r="F1078" s="520"/>
      <c r="G1078" s="525"/>
      <c r="H1078" s="526"/>
      <c r="I1078" s="531"/>
      <c r="J1078" s="532"/>
      <c r="K1078" s="514"/>
      <c r="L1078" s="535"/>
      <c r="M1078" s="538"/>
      <c r="N1078" s="543"/>
      <c r="O1078" s="544"/>
      <c r="P1078" s="485"/>
      <c r="Q1078" s="486"/>
      <c r="R1078" s="519"/>
      <c r="S1078" s="520"/>
      <c r="T1078" s="489"/>
      <c r="U1078" s="490"/>
      <c r="V1078" s="493"/>
      <c r="W1078" s="485"/>
      <c r="X1078" s="496"/>
      <c r="Y1078" s="486"/>
      <c r="Z1078" s="499"/>
      <c r="AA1078" s="504"/>
      <c r="AB1078" s="505"/>
      <c r="AC1078" s="476" t="s">
        <v>261</v>
      </c>
      <c r="AD1078" s="477"/>
      <c r="AE1078" s="478"/>
      <c r="AF1078" s="102"/>
      <c r="AG1078" s="102"/>
      <c r="AH1078" s="102"/>
      <c r="AI1078" s="102"/>
      <c r="AJ1078" s="102"/>
      <c r="AK1078" s="102"/>
      <c r="AL1078" s="102"/>
      <c r="AM1078" s="102"/>
      <c r="AN1078" s="102"/>
      <c r="AO1078" s="102"/>
      <c r="AP1078" s="102"/>
      <c r="AQ1078" s="103"/>
      <c r="AR1078" s="105">
        <f t="shared" si="2060"/>
        <v>0</v>
      </c>
      <c r="AS1078" s="131" t="s">
        <v>161</v>
      </c>
      <c r="AT1078" s="132">
        <f t="shared" ref="AT1078:AX1078" si="2061">SUM(AT1075:AT1077)</f>
        <v>0</v>
      </c>
      <c r="AU1078" s="132">
        <f t="shared" si="2061"/>
        <v>0</v>
      </c>
      <c r="AV1078" s="132">
        <f t="shared" si="2061"/>
        <v>0</v>
      </c>
      <c r="AW1078" s="133">
        <f t="shared" si="2061"/>
        <v>0</v>
      </c>
      <c r="AX1078" s="127">
        <f t="shared" si="2061"/>
        <v>0</v>
      </c>
      <c r="AY1078" s="144" t="s">
        <v>161</v>
      </c>
      <c r="AZ1078" s="140">
        <f t="shared" ref="AZ1078:BB1078" si="2062">SUM(AZ1075:AZ1077)</f>
        <v>0</v>
      </c>
      <c r="BA1078" s="140">
        <f t="shared" si="2062"/>
        <v>0</v>
      </c>
      <c r="BB1078" s="140">
        <f t="shared" si="2062"/>
        <v>0</v>
      </c>
      <c r="BC1078" s="479" t="s">
        <v>263</v>
      </c>
      <c r="BD1078" s="480"/>
      <c r="BE1078" s="15"/>
      <c r="BF1078" s="18"/>
      <c r="BG1078" s="15"/>
      <c r="BH1078" s="18"/>
      <c r="BI1078" s="15"/>
      <c r="BJ1078" s="18"/>
      <c r="BK1078" s="15"/>
      <c r="BL1078" s="18"/>
      <c r="BM1078" s="15"/>
      <c r="BN1078" s="18"/>
      <c r="BO1078" s="15"/>
      <c r="BP1078" s="18"/>
      <c r="BQ1078" s="109">
        <f t="shared" si="2019"/>
        <v>0</v>
      </c>
      <c r="BR1078" s="568"/>
      <c r="BS1078" s="573"/>
      <c r="BT1078" s="574"/>
      <c r="BU1078" s="559"/>
      <c r="BV1078" s="562"/>
      <c r="BW1078" s="565"/>
      <c r="BX1078" s="617"/>
    </row>
    <row r="1079" spans="1:76" ht="15.75" thickTop="1" x14ac:dyDescent="0.25">
      <c r="A1079" s="585">
        <v>268</v>
      </c>
      <c r="B1079" s="588"/>
      <c r="C1079" s="589"/>
      <c r="D1079" s="604"/>
      <c r="E1079" s="515"/>
      <c r="F1079" s="516"/>
      <c r="G1079" s="521"/>
      <c r="H1079" s="522"/>
      <c r="I1079" s="527"/>
      <c r="J1079" s="528"/>
      <c r="K1079" s="512" t="e">
        <f t="shared" ref="K1079" si="2063">INT(YEARFRAC(I1079,AA1079))</f>
        <v>#VALUE!</v>
      </c>
      <c r="L1079" s="533">
        <f t="shared" ref="L1079" ca="1" si="2064">INT(YEARFRAC(I1079,TODAY()))</f>
        <v>121</v>
      </c>
      <c r="M1079" s="536"/>
      <c r="N1079" s="539"/>
      <c r="O1079" s="540"/>
      <c r="P1079" s="481"/>
      <c r="Q1079" s="482"/>
      <c r="R1079" s="515"/>
      <c r="S1079" s="516"/>
      <c r="T1079" s="487"/>
      <c r="U1079" s="488"/>
      <c r="V1079" s="491"/>
      <c r="W1079" s="481"/>
      <c r="X1079" s="494"/>
      <c r="Y1079" s="482"/>
      <c r="Z1079" s="497"/>
      <c r="AA1079" s="500" t="s">
        <v>509</v>
      </c>
      <c r="AB1079" s="501"/>
      <c r="AC1079" s="506" t="s">
        <v>257</v>
      </c>
      <c r="AD1079" s="507"/>
      <c r="AE1079" s="507"/>
      <c r="AF1079" s="510"/>
      <c r="AG1079" s="510"/>
      <c r="AH1079" s="510"/>
      <c r="AI1079" s="510"/>
      <c r="AJ1079" s="510"/>
      <c r="AK1079" s="510"/>
      <c r="AL1079" s="510"/>
      <c r="AM1079" s="510"/>
      <c r="AN1079" s="510"/>
      <c r="AO1079" s="510"/>
      <c r="AP1079" s="510"/>
      <c r="AQ1079" s="465"/>
      <c r="AR1079" s="467">
        <f t="shared" ref="AR1079" si="2065">SUM(AF1079:AQ1080)</f>
        <v>0</v>
      </c>
      <c r="AS1079" s="119" t="s">
        <v>257</v>
      </c>
      <c r="AT1079" s="120"/>
      <c r="AU1079" s="120"/>
      <c r="AV1079" s="120"/>
      <c r="AW1079" s="121"/>
      <c r="AX1079" s="125">
        <f t="shared" ref="AX1079:AX1081" si="2066">SUM(AT1079:AW1079)</f>
        <v>0</v>
      </c>
      <c r="AY1079" s="141" t="s">
        <v>257</v>
      </c>
      <c r="AZ1079" s="137"/>
      <c r="BA1079" s="137"/>
      <c r="BB1079" s="134">
        <f t="shared" ref="BB1079:BB1081" si="2067">AZ1079-BA1079</f>
        <v>0</v>
      </c>
      <c r="BC1079" s="469" t="s">
        <v>258</v>
      </c>
      <c r="BD1079" s="470"/>
      <c r="BE1079" s="13"/>
      <c r="BF1079" s="16"/>
      <c r="BG1079" s="13"/>
      <c r="BH1079" s="16"/>
      <c r="BI1079" s="13"/>
      <c r="BJ1079" s="16"/>
      <c r="BK1079" s="13"/>
      <c r="BL1079" s="16"/>
      <c r="BM1079" s="13"/>
      <c r="BN1079" s="16"/>
      <c r="BO1079" s="13"/>
      <c r="BP1079" s="16"/>
      <c r="BQ1079" s="106">
        <f t="shared" si="2019"/>
        <v>0</v>
      </c>
      <c r="BR1079" s="566"/>
      <c r="BS1079" s="569"/>
      <c r="BT1079" s="570"/>
      <c r="BU1079" s="557"/>
      <c r="BV1079" s="560"/>
      <c r="BW1079" s="563"/>
      <c r="BX1079" s="615"/>
    </row>
    <row r="1080" spans="1:76" x14ac:dyDescent="0.25">
      <c r="A1080" s="586"/>
      <c r="B1080" s="590"/>
      <c r="C1080" s="591"/>
      <c r="D1080" s="605"/>
      <c r="E1080" s="517"/>
      <c r="F1080" s="518"/>
      <c r="G1080" s="523"/>
      <c r="H1080" s="524"/>
      <c r="I1080" s="529"/>
      <c r="J1080" s="530"/>
      <c r="K1080" s="513"/>
      <c r="L1080" s="534"/>
      <c r="M1080" s="537"/>
      <c r="N1080" s="541"/>
      <c r="O1080" s="542"/>
      <c r="P1080" s="483"/>
      <c r="Q1080" s="484"/>
      <c r="R1080" s="517"/>
      <c r="S1080" s="518"/>
      <c r="T1080" s="487"/>
      <c r="U1080" s="488"/>
      <c r="V1080" s="492"/>
      <c r="W1080" s="483"/>
      <c r="X1080" s="495"/>
      <c r="Y1080" s="484"/>
      <c r="Z1080" s="498"/>
      <c r="AA1080" s="502"/>
      <c r="AB1080" s="503"/>
      <c r="AC1080" s="508"/>
      <c r="AD1080" s="509"/>
      <c r="AE1080" s="509"/>
      <c r="AF1080" s="511"/>
      <c r="AG1080" s="511"/>
      <c r="AH1080" s="511"/>
      <c r="AI1080" s="511"/>
      <c r="AJ1080" s="511"/>
      <c r="AK1080" s="511"/>
      <c r="AL1080" s="511"/>
      <c r="AM1080" s="511"/>
      <c r="AN1080" s="511"/>
      <c r="AO1080" s="511"/>
      <c r="AP1080" s="511"/>
      <c r="AQ1080" s="466"/>
      <c r="AR1080" s="468"/>
      <c r="AS1080" s="122" t="s">
        <v>259</v>
      </c>
      <c r="AT1080" s="123"/>
      <c r="AU1080" s="123"/>
      <c r="AV1080" s="123"/>
      <c r="AW1080" s="124"/>
      <c r="AX1080" s="126">
        <f t="shared" si="2066"/>
        <v>0</v>
      </c>
      <c r="AY1080" s="142" t="s">
        <v>259</v>
      </c>
      <c r="AZ1080" s="138"/>
      <c r="BA1080" s="138"/>
      <c r="BB1080" s="135">
        <f t="shared" si="2067"/>
        <v>0</v>
      </c>
      <c r="BC1080" s="474" t="s">
        <v>260</v>
      </c>
      <c r="BD1080" s="475"/>
      <c r="BE1080" s="14"/>
      <c r="BF1080" s="17"/>
      <c r="BG1080" s="14"/>
      <c r="BH1080" s="17"/>
      <c r="BI1080" s="14"/>
      <c r="BJ1080" s="17"/>
      <c r="BK1080" s="14"/>
      <c r="BL1080" s="17"/>
      <c r="BM1080" s="14"/>
      <c r="BN1080" s="17"/>
      <c r="BO1080" s="14"/>
      <c r="BP1080" s="17"/>
      <c r="BQ1080" s="107">
        <f t="shared" si="2019"/>
        <v>0</v>
      </c>
      <c r="BR1080" s="567"/>
      <c r="BS1080" s="571"/>
      <c r="BT1080" s="572"/>
      <c r="BU1080" s="558"/>
      <c r="BV1080" s="561"/>
      <c r="BW1080" s="564"/>
      <c r="BX1080" s="616"/>
    </row>
    <row r="1081" spans="1:76" ht="15.75" thickBot="1" x14ac:dyDescent="0.3">
      <c r="A1081" s="586"/>
      <c r="B1081" s="590"/>
      <c r="C1081" s="591"/>
      <c r="D1081" s="605"/>
      <c r="E1081" s="517"/>
      <c r="F1081" s="518"/>
      <c r="G1081" s="523"/>
      <c r="H1081" s="524"/>
      <c r="I1081" s="529"/>
      <c r="J1081" s="530"/>
      <c r="K1081" s="513"/>
      <c r="L1081" s="534"/>
      <c r="M1081" s="537"/>
      <c r="N1081" s="541"/>
      <c r="O1081" s="542"/>
      <c r="P1081" s="483"/>
      <c r="Q1081" s="484"/>
      <c r="R1081" s="517"/>
      <c r="S1081" s="518"/>
      <c r="T1081" s="487"/>
      <c r="U1081" s="488"/>
      <c r="V1081" s="492"/>
      <c r="W1081" s="483"/>
      <c r="X1081" s="495"/>
      <c r="Y1081" s="484"/>
      <c r="Z1081" s="498"/>
      <c r="AA1081" s="502"/>
      <c r="AB1081" s="503"/>
      <c r="AC1081" s="471" t="s">
        <v>259</v>
      </c>
      <c r="AD1081" s="472"/>
      <c r="AE1081" s="473"/>
      <c r="AF1081" s="100"/>
      <c r="AG1081" s="100"/>
      <c r="AH1081" s="100"/>
      <c r="AI1081" s="100"/>
      <c r="AJ1081" s="100"/>
      <c r="AK1081" s="100"/>
      <c r="AL1081" s="100"/>
      <c r="AM1081" s="100"/>
      <c r="AN1081" s="100"/>
      <c r="AO1081" s="100"/>
      <c r="AP1081" s="100"/>
      <c r="AQ1081" s="101"/>
      <c r="AR1081" s="104">
        <f t="shared" ref="AR1081:AR1082" si="2068">SUM(AF1081:AQ1081)</f>
        <v>0</v>
      </c>
      <c r="AS1081" s="128" t="s">
        <v>261</v>
      </c>
      <c r="AT1081" s="129"/>
      <c r="AU1081" s="129"/>
      <c r="AV1081" s="129"/>
      <c r="AW1081" s="130"/>
      <c r="AX1081" s="126">
        <f t="shared" si="2066"/>
        <v>0</v>
      </c>
      <c r="AY1081" s="143" t="s">
        <v>261</v>
      </c>
      <c r="AZ1081" s="139"/>
      <c r="BA1081" s="139"/>
      <c r="BB1081" s="136">
        <f t="shared" si="2067"/>
        <v>0</v>
      </c>
      <c r="BC1081" s="474" t="s">
        <v>262</v>
      </c>
      <c r="BD1081" s="475"/>
      <c r="BE1081" s="14"/>
      <c r="BF1081" s="17"/>
      <c r="BG1081" s="14"/>
      <c r="BH1081" s="17"/>
      <c r="BI1081" s="14"/>
      <c r="BJ1081" s="17"/>
      <c r="BK1081" s="14"/>
      <c r="BL1081" s="17"/>
      <c r="BM1081" s="14"/>
      <c r="BN1081" s="17"/>
      <c r="BO1081" s="14"/>
      <c r="BP1081" s="17"/>
      <c r="BQ1081" s="108">
        <f t="shared" si="2019"/>
        <v>0</v>
      </c>
      <c r="BR1081" s="567"/>
      <c r="BS1081" s="571"/>
      <c r="BT1081" s="572"/>
      <c r="BU1081" s="558"/>
      <c r="BV1081" s="561"/>
      <c r="BW1081" s="564"/>
      <c r="BX1081" s="616"/>
    </row>
    <row r="1082" spans="1:76" ht="15.75" thickBot="1" x14ac:dyDescent="0.3">
      <c r="A1082" s="587"/>
      <c r="B1082" s="592"/>
      <c r="C1082" s="593"/>
      <c r="D1082" s="606"/>
      <c r="E1082" s="519"/>
      <c r="F1082" s="520"/>
      <c r="G1082" s="525"/>
      <c r="H1082" s="526"/>
      <c r="I1082" s="531"/>
      <c r="J1082" s="532"/>
      <c r="K1082" s="514"/>
      <c r="L1082" s="535"/>
      <c r="M1082" s="538"/>
      <c r="N1082" s="543"/>
      <c r="O1082" s="544"/>
      <c r="P1082" s="485"/>
      <c r="Q1082" s="486"/>
      <c r="R1082" s="519"/>
      <c r="S1082" s="520"/>
      <c r="T1082" s="489"/>
      <c r="U1082" s="490"/>
      <c r="V1082" s="493"/>
      <c r="W1082" s="485"/>
      <c r="X1082" s="496"/>
      <c r="Y1082" s="486"/>
      <c r="Z1082" s="499"/>
      <c r="AA1082" s="504"/>
      <c r="AB1082" s="505"/>
      <c r="AC1082" s="476" t="s">
        <v>261</v>
      </c>
      <c r="AD1082" s="477"/>
      <c r="AE1082" s="478"/>
      <c r="AF1082" s="102"/>
      <c r="AG1082" s="102"/>
      <c r="AH1082" s="102"/>
      <c r="AI1082" s="102"/>
      <c r="AJ1082" s="102"/>
      <c r="AK1082" s="102"/>
      <c r="AL1082" s="102"/>
      <c r="AM1082" s="102"/>
      <c r="AN1082" s="102"/>
      <c r="AO1082" s="102"/>
      <c r="AP1082" s="102"/>
      <c r="AQ1082" s="103"/>
      <c r="AR1082" s="105">
        <f t="shared" si="2068"/>
        <v>0</v>
      </c>
      <c r="AS1082" s="131" t="s">
        <v>161</v>
      </c>
      <c r="AT1082" s="132">
        <f t="shared" ref="AT1082:AX1082" si="2069">SUM(AT1079:AT1081)</f>
        <v>0</v>
      </c>
      <c r="AU1082" s="132">
        <f t="shared" si="2069"/>
        <v>0</v>
      </c>
      <c r="AV1082" s="132">
        <f t="shared" si="2069"/>
        <v>0</v>
      </c>
      <c r="AW1082" s="133">
        <f t="shared" si="2069"/>
        <v>0</v>
      </c>
      <c r="AX1082" s="127">
        <f t="shared" si="2069"/>
        <v>0</v>
      </c>
      <c r="AY1082" s="144" t="s">
        <v>161</v>
      </c>
      <c r="AZ1082" s="140">
        <f t="shared" ref="AZ1082:BB1082" si="2070">SUM(AZ1079:AZ1081)</f>
        <v>0</v>
      </c>
      <c r="BA1082" s="140">
        <f t="shared" si="2070"/>
        <v>0</v>
      </c>
      <c r="BB1082" s="140">
        <f t="shared" si="2070"/>
        <v>0</v>
      </c>
      <c r="BC1082" s="479" t="s">
        <v>263</v>
      </c>
      <c r="BD1082" s="480"/>
      <c r="BE1082" s="15"/>
      <c r="BF1082" s="18"/>
      <c r="BG1082" s="15"/>
      <c r="BH1082" s="18"/>
      <c r="BI1082" s="15"/>
      <c r="BJ1082" s="18"/>
      <c r="BK1082" s="15"/>
      <c r="BL1082" s="18"/>
      <c r="BM1082" s="15"/>
      <c r="BN1082" s="18"/>
      <c r="BO1082" s="15"/>
      <c r="BP1082" s="18"/>
      <c r="BQ1082" s="109">
        <f t="shared" si="2019"/>
        <v>0</v>
      </c>
      <c r="BR1082" s="568"/>
      <c r="BS1082" s="573"/>
      <c r="BT1082" s="574"/>
      <c r="BU1082" s="559"/>
      <c r="BV1082" s="562"/>
      <c r="BW1082" s="565"/>
      <c r="BX1082" s="617"/>
    </row>
    <row r="1083" spans="1:76" ht="15.75" thickTop="1" x14ac:dyDescent="0.25">
      <c r="A1083" s="585">
        <v>269</v>
      </c>
      <c r="B1083" s="588"/>
      <c r="C1083" s="589"/>
      <c r="D1083" s="604"/>
      <c r="E1083" s="515"/>
      <c r="F1083" s="516"/>
      <c r="G1083" s="521"/>
      <c r="H1083" s="522"/>
      <c r="I1083" s="527"/>
      <c r="J1083" s="528"/>
      <c r="K1083" s="512" t="e">
        <f t="shared" ref="K1083" si="2071">INT(YEARFRAC(I1083,AA1083))</f>
        <v>#VALUE!</v>
      </c>
      <c r="L1083" s="533">
        <f t="shared" ref="L1083" ca="1" si="2072">INT(YEARFRAC(I1083,TODAY()))</f>
        <v>121</v>
      </c>
      <c r="M1083" s="536"/>
      <c r="N1083" s="539"/>
      <c r="O1083" s="540"/>
      <c r="P1083" s="481"/>
      <c r="Q1083" s="482"/>
      <c r="R1083" s="515"/>
      <c r="S1083" s="516"/>
      <c r="T1083" s="487"/>
      <c r="U1083" s="488"/>
      <c r="V1083" s="491"/>
      <c r="W1083" s="481"/>
      <c r="X1083" s="494"/>
      <c r="Y1083" s="482"/>
      <c r="Z1083" s="497"/>
      <c r="AA1083" s="500" t="s">
        <v>510</v>
      </c>
      <c r="AB1083" s="501"/>
      <c r="AC1083" s="506" t="s">
        <v>257</v>
      </c>
      <c r="AD1083" s="507"/>
      <c r="AE1083" s="507"/>
      <c r="AF1083" s="510"/>
      <c r="AG1083" s="510"/>
      <c r="AH1083" s="510"/>
      <c r="AI1083" s="510"/>
      <c r="AJ1083" s="510"/>
      <c r="AK1083" s="510"/>
      <c r="AL1083" s="510"/>
      <c r="AM1083" s="510"/>
      <c r="AN1083" s="510"/>
      <c r="AO1083" s="510"/>
      <c r="AP1083" s="510"/>
      <c r="AQ1083" s="465"/>
      <c r="AR1083" s="467">
        <f t="shared" ref="AR1083" si="2073">SUM(AF1083:AQ1084)</f>
        <v>0</v>
      </c>
      <c r="AS1083" s="119" t="s">
        <v>257</v>
      </c>
      <c r="AT1083" s="120"/>
      <c r="AU1083" s="120"/>
      <c r="AV1083" s="120"/>
      <c r="AW1083" s="121"/>
      <c r="AX1083" s="125">
        <f t="shared" ref="AX1083:AX1085" si="2074">SUM(AT1083:AW1083)</f>
        <v>0</v>
      </c>
      <c r="AY1083" s="141" t="s">
        <v>257</v>
      </c>
      <c r="AZ1083" s="137"/>
      <c r="BA1083" s="137"/>
      <c r="BB1083" s="134">
        <f t="shared" ref="BB1083:BB1085" si="2075">AZ1083-BA1083</f>
        <v>0</v>
      </c>
      <c r="BC1083" s="469" t="s">
        <v>258</v>
      </c>
      <c r="BD1083" s="470"/>
      <c r="BE1083" s="13"/>
      <c r="BF1083" s="16"/>
      <c r="BG1083" s="13"/>
      <c r="BH1083" s="16"/>
      <c r="BI1083" s="13"/>
      <c r="BJ1083" s="16"/>
      <c r="BK1083" s="13"/>
      <c r="BL1083" s="16"/>
      <c r="BM1083" s="13"/>
      <c r="BN1083" s="16"/>
      <c r="BO1083" s="13"/>
      <c r="BP1083" s="16"/>
      <c r="BQ1083" s="106">
        <f t="shared" si="2019"/>
        <v>0</v>
      </c>
      <c r="BR1083" s="566"/>
      <c r="BS1083" s="569"/>
      <c r="BT1083" s="570"/>
      <c r="BU1083" s="557"/>
      <c r="BV1083" s="560"/>
      <c r="BW1083" s="563"/>
      <c r="BX1083" s="615"/>
    </row>
    <row r="1084" spans="1:76" x14ac:dyDescent="0.25">
      <c r="A1084" s="586"/>
      <c r="B1084" s="590"/>
      <c r="C1084" s="591"/>
      <c r="D1084" s="605"/>
      <c r="E1084" s="517"/>
      <c r="F1084" s="518"/>
      <c r="G1084" s="523"/>
      <c r="H1084" s="524"/>
      <c r="I1084" s="529"/>
      <c r="J1084" s="530"/>
      <c r="K1084" s="513"/>
      <c r="L1084" s="534"/>
      <c r="M1084" s="537"/>
      <c r="N1084" s="541"/>
      <c r="O1084" s="542"/>
      <c r="P1084" s="483"/>
      <c r="Q1084" s="484"/>
      <c r="R1084" s="517"/>
      <c r="S1084" s="518"/>
      <c r="T1084" s="487"/>
      <c r="U1084" s="488"/>
      <c r="V1084" s="492"/>
      <c r="W1084" s="483"/>
      <c r="X1084" s="495"/>
      <c r="Y1084" s="484"/>
      <c r="Z1084" s="498"/>
      <c r="AA1084" s="502"/>
      <c r="AB1084" s="503"/>
      <c r="AC1084" s="508"/>
      <c r="AD1084" s="509"/>
      <c r="AE1084" s="509"/>
      <c r="AF1084" s="511"/>
      <c r="AG1084" s="511"/>
      <c r="AH1084" s="511"/>
      <c r="AI1084" s="511"/>
      <c r="AJ1084" s="511"/>
      <c r="AK1084" s="511"/>
      <c r="AL1084" s="511"/>
      <c r="AM1084" s="511"/>
      <c r="AN1084" s="511"/>
      <c r="AO1084" s="511"/>
      <c r="AP1084" s="511"/>
      <c r="AQ1084" s="466"/>
      <c r="AR1084" s="468"/>
      <c r="AS1084" s="122" t="s">
        <v>259</v>
      </c>
      <c r="AT1084" s="123"/>
      <c r="AU1084" s="123"/>
      <c r="AV1084" s="123"/>
      <c r="AW1084" s="124"/>
      <c r="AX1084" s="126">
        <f t="shared" si="2074"/>
        <v>0</v>
      </c>
      <c r="AY1084" s="142" t="s">
        <v>259</v>
      </c>
      <c r="AZ1084" s="138"/>
      <c r="BA1084" s="138"/>
      <c r="BB1084" s="135">
        <f t="shared" si="2075"/>
        <v>0</v>
      </c>
      <c r="BC1084" s="474" t="s">
        <v>260</v>
      </c>
      <c r="BD1084" s="475"/>
      <c r="BE1084" s="14"/>
      <c r="BF1084" s="17"/>
      <c r="BG1084" s="14"/>
      <c r="BH1084" s="17"/>
      <c r="BI1084" s="14"/>
      <c r="BJ1084" s="17"/>
      <c r="BK1084" s="14"/>
      <c r="BL1084" s="17"/>
      <c r="BM1084" s="14"/>
      <c r="BN1084" s="17"/>
      <c r="BO1084" s="14"/>
      <c r="BP1084" s="17"/>
      <c r="BQ1084" s="107">
        <f t="shared" si="2019"/>
        <v>0</v>
      </c>
      <c r="BR1084" s="567"/>
      <c r="BS1084" s="571"/>
      <c r="BT1084" s="572"/>
      <c r="BU1084" s="558"/>
      <c r="BV1084" s="561"/>
      <c r="BW1084" s="564"/>
      <c r="BX1084" s="616"/>
    </row>
    <row r="1085" spans="1:76" ht="15.75" thickBot="1" x14ac:dyDescent="0.3">
      <c r="A1085" s="586"/>
      <c r="B1085" s="590"/>
      <c r="C1085" s="591"/>
      <c r="D1085" s="605"/>
      <c r="E1085" s="517"/>
      <c r="F1085" s="518"/>
      <c r="G1085" s="523"/>
      <c r="H1085" s="524"/>
      <c r="I1085" s="529"/>
      <c r="J1085" s="530"/>
      <c r="K1085" s="513"/>
      <c r="L1085" s="534"/>
      <c r="M1085" s="537"/>
      <c r="N1085" s="541"/>
      <c r="O1085" s="542"/>
      <c r="P1085" s="483"/>
      <c r="Q1085" s="484"/>
      <c r="R1085" s="517"/>
      <c r="S1085" s="518"/>
      <c r="T1085" s="487"/>
      <c r="U1085" s="488"/>
      <c r="V1085" s="492"/>
      <c r="W1085" s="483"/>
      <c r="X1085" s="495"/>
      <c r="Y1085" s="484"/>
      <c r="Z1085" s="498"/>
      <c r="AA1085" s="502"/>
      <c r="AB1085" s="503"/>
      <c r="AC1085" s="471" t="s">
        <v>259</v>
      </c>
      <c r="AD1085" s="472"/>
      <c r="AE1085" s="473"/>
      <c r="AF1085" s="100"/>
      <c r="AG1085" s="100"/>
      <c r="AH1085" s="100"/>
      <c r="AI1085" s="100"/>
      <c r="AJ1085" s="100"/>
      <c r="AK1085" s="100"/>
      <c r="AL1085" s="100"/>
      <c r="AM1085" s="100"/>
      <c r="AN1085" s="100"/>
      <c r="AO1085" s="100"/>
      <c r="AP1085" s="100"/>
      <c r="AQ1085" s="101"/>
      <c r="AR1085" s="104">
        <f t="shared" ref="AR1085:AR1086" si="2076">SUM(AF1085:AQ1085)</f>
        <v>0</v>
      </c>
      <c r="AS1085" s="128" t="s">
        <v>261</v>
      </c>
      <c r="AT1085" s="129"/>
      <c r="AU1085" s="129"/>
      <c r="AV1085" s="129"/>
      <c r="AW1085" s="130"/>
      <c r="AX1085" s="126">
        <f t="shared" si="2074"/>
        <v>0</v>
      </c>
      <c r="AY1085" s="143" t="s">
        <v>261</v>
      </c>
      <c r="AZ1085" s="139"/>
      <c r="BA1085" s="139"/>
      <c r="BB1085" s="136">
        <f t="shared" si="2075"/>
        <v>0</v>
      </c>
      <c r="BC1085" s="474" t="s">
        <v>262</v>
      </c>
      <c r="BD1085" s="475"/>
      <c r="BE1085" s="14"/>
      <c r="BF1085" s="17"/>
      <c r="BG1085" s="14"/>
      <c r="BH1085" s="17"/>
      <c r="BI1085" s="14"/>
      <c r="BJ1085" s="17"/>
      <c r="BK1085" s="14"/>
      <c r="BL1085" s="17"/>
      <c r="BM1085" s="14"/>
      <c r="BN1085" s="17"/>
      <c r="BO1085" s="14"/>
      <c r="BP1085" s="17"/>
      <c r="BQ1085" s="108">
        <f t="shared" si="2019"/>
        <v>0</v>
      </c>
      <c r="BR1085" s="567"/>
      <c r="BS1085" s="571"/>
      <c r="BT1085" s="572"/>
      <c r="BU1085" s="558"/>
      <c r="BV1085" s="561"/>
      <c r="BW1085" s="564"/>
      <c r="BX1085" s="616"/>
    </row>
    <row r="1086" spans="1:76" ht="15.75" thickBot="1" x14ac:dyDescent="0.3">
      <c r="A1086" s="587"/>
      <c r="B1086" s="592"/>
      <c r="C1086" s="593"/>
      <c r="D1086" s="606"/>
      <c r="E1086" s="519"/>
      <c r="F1086" s="520"/>
      <c r="G1086" s="525"/>
      <c r="H1086" s="526"/>
      <c r="I1086" s="531"/>
      <c r="J1086" s="532"/>
      <c r="K1086" s="514"/>
      <c r="L1086" s="535"/>
      <c r="M1086" s="538"/>
      <c r="N1086" s="543"/>
      <c r="O1086" s="544"/>
      <c r="P1086" s="485"/>
      <c r="Q1086" s="486"/>
      <c r="R1086" s="519"/>
      <c r="S1086" s="520"/>
      <c r="T1086" s="489"/>
      <c r="U1086" s="490"/>
      <c r="V1086" s="493"/>
      <c r="W1086" s="485"/>
      <c r="X1086" s="496"/>
      <c r="Y1086" s="486"/>
      <c r="Z1086" s="499"/>
      <c r="AA1086" s="504"/>
      <c r="AB1086" s="505"/>
      <c r="AC1086" s="476" t="s">
        <v>261</v>
      </c>
      <c r="AD1086" s="477"/>
      <c r="AE1086" s="478"/>
      <c r="AF1086" s="102"/>
      <c r="AG1086" s="102"/>
      <c r="AH1086" s="102"/>
      <c r="AI1086" s="102"/>
      <c r="AJ1086" s="102"/>
      <c r="AK1086" s="102"/>
      <c r="AL1086" s="102"/>
      <c r="AM1086" s="102"/>
      <c r="AN1086" s="102"/>
      <c r="AO1086" s="102"/>
      <c r="AP1086" s="102"/>
      <c r="AQ1086" s="103"/>
      <c r="AR1086" s="105">
        <f t="shared" si="2076"/>
        <v>0</v>
      </c>
      <c r="AS1086" s="131" t="s">
        <v>161</v>
      </c>
      <c r="AT1086" s="132">
        <f t="shared" ref="AT1086:AX1086" si="2077">SUM(AT1083:AT1085)</f>
        <v>0</v>
      </c>
      <c r="AU1086" s="132">
        <f t="shared" si="2077"/>
        <v>0</v>
      </c>
      <c r="AV1086" s="132">
        <f t="shared" si="2077"/>
        <v>0</v>
      </c>
      <c r="AW1086" s="133">
        <f t="shared" si="2077"/>
        <v>0</v>
      </c>
      <c r="AX1086" s="127">
        <f t="shared" si="2077"/>
        <v>0</v>
      </c>
      <c r="AY1086" s="144" t="s">
        <v>161</v>
      </c>
      <c r="AZ1086" s="140">
        <f t="shared" ref="AZ1086:BB1086" si="2078">SUM(AZ1083:AZ1085)</f>
        <v>0</v>
      </c>
      <c r="BA1086" s="140">
        <f t="shared" si="2078"/>
        <v>0</v>
      </c>
      <c r="BB1086" s="140">
        <f t="shared" si="2078"/>
        <v>0</v>
      </c>
      <c r="BC1086" s="479" t="s">
        <v>263</v>
      </c>
      <c r="BD1086" s="480"/>
      <c r="BE1086" s="15"/>
      <c r="BF1086" s="18"/>
      <c r="BG1086" s="15"/>
      <c r="BH1086" s="18"/>
      <c r="BI1086" s="15"/>
      <c r="BJ1086" s="18"/>
      <c r="BK1086" s="15"/>
      <c r="BL1086" s="18"/>
      <c r="BM1086" s="15"/>
      <c r="BN1086" s="18"/>
      <c r="BO1086" s="15"/>
      <c r="BP1086" s="18"/>
      <c r="BQ1086" s="109">
        <f t="shared" si="2019"/>
        <v>0</v>
      </c>
      <c r="BR1086" s="568"/>
      <c r="BS1086" s="573"/>
      <c r="BT1086" s="574"/>
      <c r="BU1086" s="559"/>
      <c r="BV1086" s="562"/>
      <c r="BW1086" s="565"/>
      <c r="BX1086" s="618"/>
    </row>
    <row r="1087" spans="1:76" ht="15.75" thickTop="1" x14ac:dyDescent="0.25">
      <c r="A1087" s="98"/>
      <c r="B1087" s="98"/>
      <c r="C1087" s="98"/>
      <c r="E1087" s="98"/>
      <c r="F1087" s="98"/>
      <c r="G1087" s="98"/>
      <c r="H1087" s="98"/>
      <c r="I1087" s="98"/>
      <c r="J1087" s="98"/>
      <c r="L1087" s="98"/>
      <c r="M1087" s="98"/>
      <c r="N1087" s="98"/>
      <c r="O1087" s="98"/>
      <c r="R1087" s="98"/>
      <c r="S1087" s="98"/>
      <c r="T1087" s="98"/>
      <c r="U1087" s="98"/>
      <c r="V1087" s="98"/>
      <c r="W1087" s="98"/>
      <c r="X1087" s="98"/>
      <c r="Y1087" s="98"/>
      <c r="Z1087" s="98"/>
      <c r="AA1087" s="98"/>
      <c r="AB1087" s="98"/>
      <c r="AC1087" s="98"/>
      <c r="AD1087" s="98"/>
      <c r="AE1087" s="98"/>
      <c r="AF1087" s="98"/>
      <c r="AG1087" s="98"/>
      <c r="AH1087" s="98"/>
      <c r="AI1087" s="98"/>
      <c r="AJ1087" s="98"/>
      <c r="AK1087" s="98"/>
      <c r="AL1087" s="98"/>
      <c r="AM1087" s="98"/>
      <c r="AN1087" s="98"/>
      <c r="AO1087" s="98"/>
      <c r="AP1087" s="98"/>
      <c r="AQ1087" s="98"/>
      <c r="AR1087" s="98"/>
      <c r="BC1087" s="98"/>
      <c r="BD1087" s="98"/>
      <c r="BE1087" s="98"/>
      <c r="BF1087" s="98"/>
      <c r="BG1087" s="98"/>
      <c r="BH1087" s="98"/>
      <c r="BI1087" s="98"/>
      <c r="BJ1087" s="98"/>
      <c r="BK1087" s="98"/>
      <c r="BL1087" s="98"/>
      <c r="BM1087" s="98"/>
      <c r="BN1087" s="98"/>
      <c r="BO1087" s="98"/>
      <c r="BP1087" s="98"/>
      <c r="BQ1087" s="98"/>
      <c r="BR1087" s="98"/>
      <c r="BS1087" s="98"/>
      <c r="BT1087" s="98"/>
      <c r="BU1087" s="98"/>
      <c r="BV1087" s="98"/>
      <c r="BW1087" s="98"/>
      <c r="BX1087" s="98"/>
    </row>
  </sheetData>
  <sheetProtection selectLockedCells="1"/>
  <mergeCells count="11602">
    <mergeCell ref="BX1043:BX1046"/>
    <mergeCell ref="BX1047:BX1050"/>
    <mergeCell ref="BX1051:BX1054"/>
    <mergeCell ref="BX1055:BX1058"/>
    <mergeCell ref="BX1059:BX1062"/>
    <mergeCell ref="BX1063:BX1066"/>
    <mergeCell ref="BX1067:BX1070"/>
    <mergeCell ref="BX1071:BX1074"/>
    <mergeCell ref="BX1075:BX1078"/>
    <mergeCell ref="BX1079:BX1082"/>
    <mergeCell ref="BX1083:BX1086"/>
    <mergeCell ref="BX911:BX914"/>
    <mergeCell ref="BX915:BX918"/>
    <mergeCell ref="BX919:BX922"/>
    <mergeCell ref="BX923:BX926"/>
    <mergeCell ref="BX927:BX930"/>
    <mergeCell ref="BX931:BX934"/>
    <mergeCell ref="BX935:BX938"/>
    <mergeCell ref="BX939:BX942"/>
    <mergeCell ref="BX943:BX946"/>
    <mergeCell ref="BX947:BX950"/>
    <mergeCell ref="BX951:BX954"/>
    <mergeCell ref="BX955:BX958"/>
    <mergeCell ref="BX959:BX962"/>
    <mergeCell ref="BX963:BX966"/>
    <mergeCell ref="BX967:BX970"/>
    <mergeCell ref="BX971:BX974"/>
    <mergeCell ref="BX975:BX978"/>
    <mergeCell ref="BX979:BX982"/>
    <mergeCell ref="BX983:BX986"/>
    <mergeCell ref="BX987:BX990"/>
    <mergeCell ref="BX991:BX994"/>
    <mergeCell ref="BX995:BX998"/>
    <mergeCell ref="BX999:BX1002"/>
    <mergeCell ref="BX1003:BX1006"/>
    <mergeCell ref="BX1007:BX1010"/>
    <mergeCell ref="BX1011:BX1014"/>
    <mergeCell ref="BX1015:BX1018"/>
    <mergeCell ref="BX1019:BX1022"/>
    <mergeCell ref="BX1023:BX1026"/>
    <mergeCell ref="BX1027:BX1030"/>
    <mergeCell ref="BX1031:BX1034"/>
    <mergeCell ref="BX1035:BX1038"/>
    <mergeCell ref="BX1039:BX1042"/>
    <mergeCell ref="BX779:BX782"/>
    <mergeCell ref="BX783:BX786"/>
    <mergeCell ref="BX787:BX790"/>
    <mergeCell ref="BX791:BX794"/>
    <mergeCell ref="BX795:BX798"/>
    <mergeCell ref="BX799:BX802"/>
    <mergeCell ref="BX803:BX806"/>
    <mergeCell ref="BX807:BX810"/>
    <mergeCell ref="BX811:BX814"/>
    <mergeCell ref="BX815:BX818"/>
    <mergeCell ref="BX819:BX822"/>
    <mergeCell ref="BX823:BX826"/>
    <mergeCell ref="BX827:BX830"/>
    <mergeCell ref="BX831:BX834"/>
    <mergeCell ref="BX835:BX838"/>
    <mergeCell ref="BX839:BX842"/>
    <mergeCell ref="BX843:BX846"/>
    <mergeCell ref="BX847:BX850"/>
    <mergeCell ref="BX851:BX854"/>
    <mergeCell ref="BX855:BX858"/>
    <mergeCell ref="BX859:BX862"/>
    <mergeCell ref="BX863:BX866"/>
    <mergeCell ref="BX867:BX870"/>
    <mergeCell ref="BX871:BX874"/>
    <mergeCell ref="BX875:BX878"/>
    <mergeCell ref="BX879:BX882"/>
    <mergeCell ref="BX883:BX886"/>
    <mergeCell ref="BX887:BX890"/>
    <mergeCell ref="BX891:BX894"/>
    <mergeCell ref="BX895:BX898"/>
    <mergeCell ref="BX899:BX902"/>
    <mergeCell ref="BX903:BX906"/>
    <mergeCell ref="BX907:BX910"/>
    <mergeCell ref="BX647:BX650"/>
    <mergeCell ref="BX651:BX654"/>
    <mergeCell ref="BX655:BX658"/>
    <mergeCell ref="BX659:BX662"/>
    <mergeCell ref="BX663:BX666"/>
    <mergeCell ref="BX667:BX670"/>
    <mergeCell ref="BX671:BX674"/>
    <mergeCell ref="BX675:BX678"/>
    <mergeCell ref="BX679:BX682"/>
    <mergeCell ref="BX683:BX686"/>
    <mergeCell ref="BX687:BX690"/>
    <mergeCell ref="BX691:BX694"/>
    <mergeCell ref="BX695:BX698"/>
    <mergeCell ref="BX699:BX702"/>
    <mergeCell ref="BX703:BX706"/>
    <mergeCell ref="BX707:BX710"/>
    <mergeCell ref="BX711:BX714"/>
    <mergeCell ref="BX715:BX718"/>
    <mergeCell ref="BX719:BX722"/>
    <mergeCell ref="BX723:BX726"/>
    <mergeCell ref="BX727:BX730"/>
    <mergeCell ref="BX731:BX734"/>
    <mergeCell ref="BX735:BX738"/>
    <mergeCell ref="BX739:BX742"/>
    <mergeCell ref="BX743:BX746"/>
    <mergeCell ref="BX747:BX750"/>
    <mergeCell ref="BX751:BX754"/>
    <mergeCell ref="BX755:BX758"/>
    <mergeCell ref="BX759:BX762"/>
    <mergeCell ref="BX763:BX766"/>
    <mergeCell ref="BX767:BX770"/>
    <mergeCell ref="BX771:BX774"/>
    <mergeCell ref="BX775:BX778"/>
    <mergeCell ref="BX515:BX518"/>
    <mergeCell ref="BX519:BX522"/>
    <mergeCell ref="BX523:BX526"/>
    <mergeCell ref="BX527:BX530"/>
    <mergeCell ref="BX531:BX534"/>
    <mergeCell ref="BX535:BX538"/>
    <mergeCell ref="BX539:BX542"/>
    <mergeCell ref="BX543:BX546"/>
    <mergeCell ref="BX547:BX550"/>
    <mergeCell ref="BX551:BX554"/>
    <mergeCell ref="BX555:BX558"/>
    <mergeCell ref="BX559:BX562"/>
    <mergeCell ref="BX563:BX566"/>
    <mergeCell ref="BX567:BX570"/>
    <mergeCell ref="BX571:BX574"/>
    <mergeCell ref="BX575:BX578"/>
    <mergeCell ref="BX579:BX582"/>
    <mergeCell ref="BX583:BX586"/>
    <mergeCell ref="BX587:BX590"/>
    <mergeCell ref="BX591:BX594"/>
    <mergeCell ref="BX595:BX598"/>
    <mergeCell ref="BX599:BX602"/>
    <mergeCell ref="BX603:BX606"/>
    <mergeCell ref="BX607:BX610"/>
    <mergeCell ref="BX611:BX614"/>
    <mergeCell ref="BX615:BX618"/>
    <mergeCell ref="BX619:BX622"/>
    <mergeCell ref="BX623:BX626"/>
    <mergeCell ref="BX627:BX630"/>
    <mergeCell ref="BX631:BX634"/>
    <mergeCell ref="BX635:BX638"/>
    <mergeCell ref="BX639:BX642"/>
    <mergeCell ref="BX643:BX646"/>
    <mergeCell ref="BX383:BX386"/>
    <mergeCell ref="BX387:BX390"/>
    <mergeCell ref="BX391:BX394"/>
    <mergeCell ref="BX395:BX398"/>
    <mergeCell ref="BX399:BX402"/>
    <mergeCell ref="BX403:BX406"/>
    <mergeCell ref="BX407:BX410"/>
    <mergeCell ref="BX411:BX414"/>
    <mergeCell ref="BX415:BX418"/>
    <mergeCell ref="BX419:BX422"/>
    <mergeCell ref="BX423:BX426"/>
    <mergeCell ref="BX427:BX430"/>
    <mergeCell ref="BX431:BX434"/>
    <mergeCell ref="BX435:BX438"/>
    <mergeCell ref="BX439:BX442"/>
    <mergeCell ref="BX443:BX446"/>
    <mergeCell ref="BX447:BX450"/>
    <mergeCell ref="BX451:BX454"/>
    <mergeCell ref="BX455:BX458"/>
    <mergeCell ref="BX459:BX462"/>
    <mergeCell ref="BX463:BX466"/>
    <mergeCell ref="BX467:BX470"/>
    <mergeCell ref="BX471:BX474"/>
    <mergeCell ref="BX475:BX478"/>
    <mergeCell ref="BX479:BX482"/>
    <mergeCell ref="BX483:BX486"/>
    <mergeCell ref="BX487:BX490"/>
    <mergeCell ref="BX491:BX494"/>
    <mergeCell ref="BX495:BX498"/>
    <mergeCell ref="BX499:BX502"/>
    <mergeCell ref="BX503:BX506"/>
    <mergeCell ref="BX507:BX510"/>
    <mergeCell ref="BX511:BX514"/>
    <mergeCell ref="BX251:BX254"/>
    <mergeCell ref="BX255:BX258"/>
    <mergeCell ref="BX259:BX262"/>
    <mergeCell ref="BX263:BX266"/>
    <mergeCell ref="BX267:BX270"/>
    <mergeCell ref="BX271:BX274"/>
    <mergeCell ref="BX275:BX278"/>
    <mergeCell ref="BX279:BX282"/>
    <mergeCell ref="BX283:BX286"/>
    <mergeCell ref="BX287:BX290"/>
    <mergeCell ref="BX291:BX294"/>
    <mergeCell ref="BX295:BX298"/>
    <mergeCell ref="BX299:BX302"/>
    <mergeCell ref="BX303:BX306"/>
    <mergeCell ref="BX307:BX310"/>
    <mergeCell ref="BX311:BX314"/>
    <mergeCell ref="BX315:BX318"/>
    <mergeCell ref="BX319:BX322"/>
    <mergeCell ref="BX323:BX326"/>
    <mergeCell ref="BX327:BX330"/>
    <mergeCell ref="BX331:BX334"/>
    <mergeCell ref="BX335:BX338"/>
    <mergeCell ref="BX339:BX342"/>
    <mergeCell ref="BX343:BX346"/>
    <mergeCell ref="BX347:BX350"/>
    <mergeCell ref="BX351:BX354"/>
    <mergeCell ref="BX355:BX358"/>
    <mergeCell ref="BX359:BX362"/>
    <mergeCell ref="BX363:BX366"/>
    <mergeCell ref="BX367:BX370"/>
    <mergeCell ref="BX371:BX374"/>
    <mergeCell ref="BX375:BX378"/>
    <mergeCell ref="BX379:BX382"/>
    <mergeCell ref="D1071:D1074"/>
    <mergeCell ref="D1075:D1078"/>
    <mergeCell ref="D1079:D1082"/>
    <mergeCell ref="D1083:D1086"/>
    <mergeCell ref="BX11:BX14"/>
    <mergeCell ref="BX15:BX18"/>
    <mergeCell ref="BX19:BX22"/>
    <mergeCell ref="BX23:BX26"/>
    <mergeCell ref="BX27:BX30"/>
    <mergeCell ref="BX31:BX34"/>
    <mergeCell ref="BX35:BX38"/>
    <mergeCell ref="BX39:BX42"/>
    <mergeCell ref="BX43:BX46"/>
    <mergeCell ref="BX47:BX50"/>
    <mergeCell ref="BX51:BX54"/>
    <mergeCell ref="BX55:BX58"/>
    <mergeCell ref="BX59:BX62"/>
    <mergeCell ref="BX63:BX66"/>
    <mergeCell ref="BX67:BX70"/>
    <mergeCell ref="BX71:BX74"/>
    <mergeCell ref="BX75:BX78"/>
    <mergeCell ref="BX79:BX82"/>
    <mergeCell ref="BX83:BX86"/>
    <mergeCell ref="BX87:BX90"/>
    <mergeCell ref="BX91:BX94"/>
    <mergeCell ref="BX95:BX98"/>
    <mergeCell ref="BX99:BX102"/>
    <mergeCell ref="BX103:BX106"/>
    <mergeCell ref="BX107:BX110"/>
    <mergeCell ref="BX111:BX114"/>
    <mergeCell ref="BX115:BX118"/>
    <mergeCell ref="BX119:BX122"/>
    <mergeCell ref="BX123:BX126"/>
    <mergeCell ref="BX127:BX130"/>
    <mergeCell ref="BX131:BX134"/>
    <mergeCell ref="BX135:BX138"/>
    <mergeCell ref="BX139:BX142"/>
    <mergeCell ref="BX143:BX146"/>
    <mergeCell ref="BX147:BX150"/>
    <mergeCell ref="BX151:BX154"/>
    <mergeCell ref="BX155:BX158"/>
    <mergeCell ref="BX159:BX162"/>
    <mergeCell ref="BX163:BX166"/>
    <mergeCell ref="BX167:BX170"/>
    <mergeCell ref="BX171:BX174"/>
    <mergeCell ref="BX175:BX178"/>
    <mergeCell ref="BX179:BX182"/>
    <mergeCell ref="BX183:BX186"/>
    <mergeCell ref="BX187:BX190"/>
    <mergeCell ref="BX191:BX194"/>
    <mergeCell ref="BX195:BX198"/>
    <mergeCell ref="BX199:BX202"/>
    <mergeCell ref="BX203:BX206"/>
    <mergeCell ref="BX207:BX210"/>
    <mergeCell ref="BX211:BX214"/>
    <mergeCell ref="BX215:BX218"/>
    <mergeCell ref="BX219:BX222"/>
    <mergeCell ref="BX223:BX226"/>
    <mergeCell ref="BX227:BX230"/>
    <mergeCell ref="BX231:BX234"/>
    <mergeCell ref="BX235:BX238"/>
    <mergeCell ref="BX239:BX242"/>
    <mergeCell ref="BX243:BX246"/>
    <mergeCell ref="BX247:BX250"/>
    <mergeCell ref="D15:D18"/>
    <mergeCell ref="D19:D22"/>
    <mergeCell ref="D23:D26"/>
    <mergeCell ref="D27:D30"/>
    <mergeCell ref="D31:D34"/>
    <mergeCell ref="D35:D38"/>
    <mergeCell ref="D39:D42"/>
    <mergeCell ref="D43:D46"/>
    <mergeCell ref="D47:D50"/>
    <mergeCell ref="D51:D54"/>
    <mergeCell ref="D55:D58"/>
    <mergeCell ref="D59:D62"/>
    <mergeCell ref="D63:D66"/>
    <mergeCell ref="D67:D70"/>
    <mergeCell ref="D71:D74"/>
    <mergeCell ref="D75:D78"/>
    <mergeCell ref="D79:D82"/>
    <mergeCell ref="D83:D86"/>
    <mergeCell ref="D87:D90"/>
    <mergeCell ref="D91:D94"/>
    <mergeCell ref="D95:D98"/>
    <mergeCell ref="D99:D102"/>
    <mergeCell ref="D103:D106"/>
    <mergeCell ref="D107:D110"/>
    <mergeCell ref="D111:D114"/>
    <mergeCell ref="D115:D118"/>
    <mergeCell ref="D119:D122"/>
    <mergeCell ref="D123:D126"/>
    <mergeCell ref="D127:D130"/>
    <mergeCell ref="D131:D134"/>
    <mergeCell ref="D135:D138"/>
    <mergeCell ref="D139:D142"/>
    <mergeCell ref="D143:D146"/>
    <mergeCell ref="A1083:A1086"/>
    <mergeCell ref="B1083:C1086"/>
    <mergeCell ref="E1083:F1086"/>
    <mergeCell ref="G1083:H1086"/>
    <mergeCell ref="I1083:J1086"/>
    <mergeCell ref="L1083:L1086"/>
    <mergeCell ref="M1083:M1086"/>
    <mergeCell ref="N1083:O1086"/>
    <mergeCell ref="R1083:S1086"/>
    <mergeCell ref="K1083:K1086"/>
    <mergeCell ref="AR1079:AR1080"/>
    <mergeCell ref="BC1079:BD1079"/>
    <mergeCell ref="BR1079:BR1082"/>
    <mergeCell ref="BS1079:BT1082"/>
    <mergeCell ref="BU1079:BU1082"/>
    <mergeCell ref="BV1079:BV1082"/>
    <mergeCell ref="BW1079:BW1082"/>
    <mergeCell ref="BC1080:BD1080"/>
    <mergeCell ref="AC1081:AE1081"/>
    <mergeCell ref="BC1081:BD1081"/>
    <mergeCell ref="AC1082:AE1082"/>
    <mergeCell ref="BC1082:BD1082"/>
    <mergeCell ref="AI1079:AI1080"/>
    <mergeCell ref="AJ1079:AJ1080"/>
    <mergeCell ref="AK1079:AK1080"/>
    <mergeCell ref="AL1079:AL1080"/>
    <mergeCell ref="AM1079:AM1080"/>
    <mergeCell ref="AN1079:AN1080"/>
    <mergeCell ref="AO1079:AO1080"/>
    <mergeCell ref="AP1079:AP1080"/>
    <mergeCell ref="AQ1079:AQ1080"/>
    <mergeCell ref="T1079:U1082"/>
    <mergeCell ref="V1079:V1082"/>
    <mergeCell ref="W1079:Y1082"/>
    <mergeCell ref="Z1079:Z1082"/>
    <mergeCell ref="AA1079:AB1082"/>
    <mergeCell ref="AC1079:AE1080"/>
    <mergeCell ref="AF1079:AF1080"/>
    <mergeCell ref="AG1079:AG1080"/>
    <mergeCell ref="AH1079:AH1080"/>
    <mergeCell ref="A1079:A1082"/>
    <mergeCell ref="B1079:C1082"/>
    <mergeCell ref="E1079:F1082"/>
    <mergeCell ref="G1079:H1082"/>
    <mergeCell ref="I1079:J1082"/>
    <mergeCell ref="L1079:L1082"/>
    <mergeCell ref="M1079:M1082"/>
    <mergeCell ref="N1079:O1082"/>
    <mergeCell ref="R1079:S1082"/>
    <mergeCell ref="K1079:K1082"/>
    <mergeCell ref="BR1083:BR1086"/>
    <mergeCell ref="BS1083:BT1086"/>
    <mergeCell ref="BU1083:BU1086"/>
    <mergeCell ref="BV1083:BV1086"/>
    <mergeCell ref="BW1083:BW1086"/>
    <mergeCell ref="R1075:S1078"/>
    <mergeCell ref="K1075:K1078"/>
    <mergeCell ref="AR1071:AR1072"/>
    <mergeCell ref="BC1071:BD1071"/>
    <mergeCell ref="BR1071:BR1074"/>
    <mergeCell ref="BS1071:BT1074"/>
    <mergeCell ref="BU1071:BU1074"/>
    <mergeCell ref="BV1071:BV1074"/>
    <mergeCell ref="BW1071:BW1074"/>
    <mergeCell ref="BC1072:BD1072"/>
    <mergeCell ref="AC1073:AE1073"/>
    <mergeCell ref="BC1073:BD1073"/>
    <mergeCell ref="AC1074:AE1074"/>
    <mergeCell ref="BC1074:BD1074"/>
    <mergeCell ref="AI1071:AI1072"/>
    <mergeCell ref="AJ1071:AJ1072"/>
    <mergeCell ref="AK1071:AK1072"/>
    <mergeCell ref="AL1071:AL1072"/>
    <mergeCell ref="AM1071:AM1072"/>
    <mergeCell ref="AN1071:AN1072"/>
    <mergeCell ref="AO1071:AO1072"/>
    <mergeCell ref="AP1071:AP1072"/>
    <mergeCell ref="AQ1071:AQ1072"/>
    <mergeCell ref="T1071:U1074"/>
    <mergeCell ref="V1071:V1074"/>
    <mergeCell ref="W1071:Y1074"/>
    <mergeCell ref="Z1071:Z1074"/>
    <mergeCell ref="AA1071:AB1074"/>
    <mergeCell ref="AC1071:AE1072"/>
    <mergeCell ref="AF1071:AF1072"/>
    <mergeCell ref="AG1071:AG1072"/>
    <mergeCell ref="AH1071:AH1072"/>
    <mergeCell ref="A1071:A1074"/>
    <mergeCell ref="B1071:C1074"/>
    <mergeCell ref="E1071:F1074"/>
    <mergeCell ref="G1071:H1074"/>
    <mergeCell ref="I1071:J1074"/>
    <mergeCell ref="L1071:L1074"/>
    <mergeCell ref="M1071:M1074"/>
    <mergeCell ref="N1071:O1074"/>
    <mergeCell ref="R1071:S1074"/>
    <mergeCell ref="K1071:K1074"/>
    <mergeCell ref="P1071:Q1074"/>
    <mergeCell ref="P1075:Q1078"/>
    <mergeCell ref="T1075:U1078"/>
    <mergeCell ref="V1075:V1078"/>
    <mergeCell ref="W1075:Y1078"/>
    <mergeCell ref="Z1075:Z1078"/>
    <mergeCell ref="AI1075:AI1076"/>
    <mergeCell ref="AJ1075:AJ1076"/>
    <mergeCell ref="AK1075:AK1076"/>
    <mergeCell ref="BR1075:BR1078"/>
    <mergeCell ref="BS1075:BT1078"/>
    <mergeCell ref="BU1075:BU1078"/>
    <mergeCell ref="BV1075:BV1078"/>
    <mergeCell ref="BW1075:BW1078"/>
    <mergeCell ref="A1075:A1078"/>
    <mergeCell ref="B1075:C1078"/>
    <mergeCell ref="E1075:F1078"/>
    <mergeCell ref="G1075:H1078"/>
    <mergeCell ref="I1075:J1078"/>
    <mergeCell ref="L1075:L1078"/>
    <mergeCell ref="M1075:M1078"/>
    <mergeCell ref="N1075:O1078"/>
    <mergeCell ref="AR1067:AR1068"/>
    <mergeCell ref="BC1067:BD1067"/>
    <mergeCell ref="BR1067:BR1070"/>
    <mergeCell ref="BS1067:BT1070"/>
    <mergeCell ref="BU1067:BU1070"/>
    <mergeCell ref="BV1067:BV1070"/>
    <mergeCell ref="BW1067:BW1070"/>
    <mergeCell ref="BC1068:BD1068"/>
    <mergeCell ref="AC1069:AE1069"/>
    <mergeCell ref="BC1069:BD1069"/>
    <mergeCell ref="AC1070:AE1070"/>
    <mergeCell ref="BC1070:BD1070"/>
    <mergeCell ref="AI1067:AI1068"/>
    <mergeCell ref="AJ1067:AJ1068"/>
    <mergeCell ref="AK1067:AK1068"/>
    <mergeCell ref="AL1067:AL1068"/>
    <mergeCell ref="AM1067:AM1068"/>
    <mergeCell ref="AN1067:AN1068"/>
    <mergeCell ref="AO1067:AO1068"/>
    <mergeCell ref="AP1067:AP1068"/>
    <mergeCell ref="AQ1067:AQ1068"/>
    <mergeCell ref="T1067:U1070"/>
    <mergeCell ref="V1067:V1070"/>
    <mergeCell ref="W1067:Y1070"/>
    <mergeCell ref="Z1067:Z1070"/>
    <mergeCell ref="AA1067:AB1070"/>
    <mergeCell ref="AC1067:AE1068"/>
    <mergeCell ref="AF1067:AF1068"/>
    <mergeCell ref="AG1067:AG1068"/>
    <mergeCell ref="AH1067:AH1068"/>
    <mergeCell ref="A1067:A1070"/>
    <mergeCell ref="B1067:C1070"/>
    <mergeCell ref="E1067:F1070"/>
    <mergeCell ref="G1067:H1070"/>
    <mergeCell ref="I1067:J1070"/>
    <mergeCell ref="L1067:L1070"/>
    <mergeCell ref="M1067:M1070"/>
    <mergeCell ref="N1067:O1070"/>
    <mergeCell ref="R1067:S1070"/>
    <mergeCell ref="K1067:K1070"/>
    <mergeCell ref="P1067:Q1070"/>
    <mergeCell ref="D1067:D1070"/>
    <mergeCell ref="AR1063:AR1064"/>
    <mergeCell ref="BC1063:BD1063"/>
    <mergeCell ref="BR1063:BR1066"/>
    <mergeCell ref="BS1063:BT1066"/>
    <mergeCell ref="BU1063:BU1066"/>
    <mergeCell ref="BV1063:BV1066"/>
    <mergeCell ref="BW1063:BW1066"/>
    <mergeCell ref="BC1064:BD1064"/>
    <mergeCell ref="AC1065:AE1065"/>
    <mergeCell ref="BC1065:BD1065"/>
    <mergeCell ref="AC1066:AE1066"/>
    <mergeCell ref="BC1066:BD1066"/>
    <mergeCell ref="AI1063:AI1064"/>
    <mergeCell ref="AJ1063:AJ1064"/>
    <mergeCell ref="AK1063:AK1064"/>
    <mergeCell ref="AL1063:AL1064"/>
    <mergeCell ref="AM1063:AM1064"/>
    <mergeCell ref="AN1063:AN1064"/>
    <mergeCell ref="AO1063:AO1064"/>
    <mergeCell ref="AP1063:AP1064"/>
    <mergeCell ref="AQ1063:AQ1064"/>
    <mergeCell ref="T1063:U1066"/>
    <mergeCell ref="V1063:V1066"/>
    <mergeCell ref="W1063:Y1066"/>
    <mergeCell ref="Z1063:Z1066"/>
    <mergeCell ref="AA1063:AB1066"/>
    <mergeCell ref="AC1063:AE1064"/>
    <mergeCell ref="AF1063:AF1064"/>
    <mergeCell ref="AG1063:AG1064"/>
    <mergeCell ref="AH1063:AH1064"/>
    <mergeCell ref="A1063:A1066"/>
    <mergeCell ref="B1063:C1066"/>
    <mergeCell ref="E1063:F1066"/>
    <mergeCell ref="G1063:H1066"/>
    <mergeCell ref="I1063:J1066"/>
    <mergeCell ref="L1063:L1066"/>
    <mergeCell ref="M1063:M1066"/>
    <mergeCell ref="N1063:O1066"/>
    <mergeCell ref="R1063:S1066"/>
    <mergeCell ref="K1063:K1066"/>
    <mergeCell ref="P1063:Q1066"/>
    <mergeCell ref="D1063:D1066"/>
    <mergeCell ref="AR1059:AR1060"/>
    <mergeCell ref="BC1059:BD1059"/>
    <mergeCell ref="BR1059:BR1062"/>
    <mergeCell ref="BS1059:BT1062"/>
    <mergeCell ref="BU1059:BU1062"/>
    <mergeCell ref="BV1059:BV1062"/>
    <mergeCell ref="BW1059:BW1062"/>
    <mergeCell ref="BC1060:BD1060"/>
    <mergeCell ref="AC1061:AE1061"/>
    <mergeCell ref="BC1061:BD1061"/>
    <mergeCell ref="AC1062:AE1062"/>
    <mergeCell ref="BC1062:BD1062"/>
    <mergeCell ref="AI1059:AI1060"/>
    <mergeCell ref="AJ1059:AJ1060"/>
    <mergeCell ref="AK1059:AK1060"/>
    <mergeCell ref="AL1059:AL1060"/>
    <mergeCell ref="AM1059:AM1060"/>
    <mergeCell ref="AN1059:AN1060"/>
    <mergeCell ref="AO1059:AO1060"/>
    <mergeCell ref="AP1059:AP1060"/>
    <mergeCell ref="AQ1059:AQ1060"/>
    <mergeCell ref="T1059:U1062"/>
    <mergeCell ref="V1059:V1062"/>
    <mergeCell ref="W1059:Y1062"/>
    <mergeCell ref="Z1059:Z1062"/>
    <mergeCell ref="AA1059:AB1062"/>
    <mergeCell ref="AC1059:AE1060"/>
    <mergeCell ref="AF1059:AF1060"/>
    <mergeCell ref="AG1059:AG1060"/>
    <mergeCell ref="AH1059:AH1060"/>
    <mergeCell ref="A1059:A1062"/>
    <mergeCell ref="B1059:C1062"/>
    <mergeCell ref="E1059:F1062"/>
    <mergeCell ref="G1059:H1062"/>
    <mergeCell ref="I1059:J1062"/>
    <mergeCell ref="L1059:L1062"/>
    <mergeCell ref="M1059:M1062"/>
    <mergeCell ref="N1059:O1062"/>
    <mergeCell ref="R1059:S1062"/>
    <mergeCell ref="K1059:K1062"/>
    <mergeCell ref="P1059:Q1062"/>
    <mergeCell ref="D1059:D1062"/>
    <mergeCell ref="AR1055:AR1056"/>
    <mergeCell ref="BC1055:BD1055"/>
    <mergeCell ref="BR1055:BR1058"/>
    <mergeCell ref="BS1055:BT1058"/>
    <mergeCell ref="BU1055:BU1058"/>
    <mergeCell ref="BV1055:BV1058"/>
    <mergeCell ref="BW1055:BW1058"/>
    <mergeCell ref="BC1056:BD1056"/>
    <mergeCell ref="AC1057:AE1057"/>
    <mergeCell ref="BC1057:BD1057"/>
    <mergeCell ref="AC1058:AE1058"/>
    <mergeCell ref="BC1058:BD1058"/>
    <mergeCell ref="AI1055:AI1056"/>
    <mergeCell ref="AJ1055:AJ1056"/>
    <mergeCell ref="AK1055:AK1056"/>
    <mergeCell ref="AL1055:AL1056"/>
    <mergeCell ref="AM1055:AM1056"/>
    <mergeCell ref="AN1055:AN1056"/>
    <mergeCell ref="AO1055:AO1056"/>
    <mergeCell ref="AP1055:AP1056"/>
    <mergeCell ref="AQ1055:AQ1056"/>
    <mergeCell ref="T1055:U1058"/>
    <mergeCell ref="V1055:V1058"/>
    <mergeCell ref="W1055:Y1058"/>
    <mergeCell ref="Z1055:Z1058"/>
    <mergeCell ref="AA1055:AB1058"/>
    <mergeCell ref="AC1055:AE1056"/>
    <mergeCell ref="AF1055:AF1056"/>
    <mergeCell ref="AG1055:AG1056"/>
    <mergeCell ref="AH1055:AH1056"/>
    <mergeCell ref="A1055:A1058"/>
    <mergeCell ref="B1055:C1058"/>
    <mergeCell ref="E1055:F1058"/>
    <mergeCell ref="G1055:H1058"/>
    <mergeCell ref="I1055:J1058"/>
    <mergeCell ref="L1055:L1058"/>
    <mergeCell ref="M1055:M1058"/>
    <mergeCell ref="N1055:O1058"/>
    <mergeCell ref="R1055:S1058"/>
    <mergeCell ref="K1055:K1058"/>
    <mergeCell ref="P1055:Q1058"/>
    <mergeCell ref="D1055:D1058"/>
    <mergeCell ref="AR1051:AR1052"/>
    <mergeCell ref="BC1051:BD1051"/>
    <mergeCell ref="BR1051:BR1054"/>
    <mergeCell ref="BS1051:BT1054"/>
    <mergeCell ref="BU1051:BU1054"/>
    <mergeCell ref="BV1051:BV1054"/>
    <mergeCell ref="BW1051:BW1054"/>
    <mergeCell ref="BC1052:BD1052"/>
    <mergeCell ref="AC1053:AE1053"/>
    <mergeCell ref="BC1053:BD1053"/>
    <mergeCell ref="AC1054:AE1054"/>
    <mergeCell ref="BC1054:BD1054"/>
    <mergeCell ref="AI1051:AI1052"/>
    <mergeCell ref="AJ1051:AJ1052"/>
    <mergeCell ref="AK1051:AK1052"/>
    <mergeCell ref="AL1051:AL1052"/>
    <mergeCell ref="AM1051:AM1052"/>
    <mergeCell ref="AN1051:AN1052"/>
    <mergeCell ref="AO1051:AO1052"/>
    <mergeCell ref="AP1051:AP1052"/>
    <mergeCell ref="AQ1051:AQ1052"/>
    <mergeCell ref="T1051:U1054"/>
    <mergeCell ref="V1051:V1054"/>
    <mergeCell ref="W1051:Y1054"/>
    <mergeCell ref="Z1051:Z1054"/>
    <mergeCell ref="AA1051:AB1054"/>
    <mergeCell ref="AC1051:AE1052"/>
    <mergeCell ref="AF1051:AF1052"/>
    <mergeCell ref="AG1051:AG1052"/>
    <mergeCell ref="AH1051:AH1052"/>
    <mergeCell ref="A1051:A1054"/>
    <mergeCell ref="B1051:C1054"/>
    <mergeCell ref="E1051:F1054"/>
    <mergeCell ref="G1051:H1054"/>
    <mergeCell ref="I1051:J1054"/>
    <mergeCell ref="L1051:L1054"/>
    <mergeCell ref="M1051:M1054"/>
    <mergeCell ref="N1051:O1054"/>
    <mergeCell ref="R1051:S1054"/>
    <mergeCell ref="K1051:K1054"/>
    <mergeCell ref="P1051:Q1054"/>
    <mergeCell ref="D1051:D1054"/>
    <mergeCell ref="AR1047:AR1048"/>
    <mergeCell ref="BC1047:BD1047"/>
    <mergeCell ref="BR1047:BR1050"/>
    <mergeCell ref="BS1047:BT1050"/>
    <mergeCell ref="BU1047:BU1050"/>
    <mergeCell ref="BV1047:BV1050"/>
    <mergeCell ref="BW1047:BW1050"/>
    <mergeCell ref="BC1048:BD1048"/>
    <mergeCell ref="AC1049:AE1049"/>
    <mergeCell ref="BC1049:BD1049"/>
    <mergeCell ref="AC1050:AE1050"/>
    <mergeCell ref="BC1050:BD1050"/>
    <mergeCell ref="AI1047:AI1048"/>
    <mergeCell ref="AJ1047:AJ1048"/>
    <mergeCell ref="AK1047:AK1048"/>
    <mergeCell ref="AL1047:AL1048"/>
    <mergeCell ref="AM1047:AM1048"/>
    <mergeCell ref="AN1047:AN1048"/>
    <mergeCell ref="AO1047:AO1048"/>
    <mergeCell ref="AP1047:AP1048"/>
    <mergeCell ref="AQ1047:AQ1048"/>
    <mergeCell ref="T1047:U1050"/>
    <mergeCell ref="V1047:V1050"/>
    <mergeCell ref="W1047:Y1050"/>
    <mergeCell ref="Z1047:Z1050"/>
    <mergeCell ref="AA1047:AB1050"/>
    <mergeCell ref="AC1047:AE1048"/>
    <mergeCell ref="AF1047:AF1048"/>
    <mergeCell ref="AG1047:AG1048"/>
    <mergeCell ref="AH1047:AH1048"/>
    <mergeCell ref="A1047:A1050"/>
    <mergeCell ref="B1047:C1050"/>
    <mergeCell ref="E1047:F1050"/>
    <mergeCell ref="G1047:H1050"/>
    <mergeCell ref="I1047:J1050"/>
    <mergeCell ref="L1047:L1050"/>
    <mergeCell ref="M1047:M1050"/>
    <mergeCell ref="N1047:O1050"/>
    <mergeCell ref="R1047:S1050"/>
    <mergeCell ref="K1047:K1050"/>
    <mergeCell ref="P1047:Q1050"/>
    <mergeCell ref="D1047:D1050"/>
    <mergeCell ref="AR1043:AR1044"/>
    <mergeCell ref="BC1043:BD1043"/>
    <mergeCell ref="BR1043:BR1046"/>
    <mergeCell ref="BS1043:BT1046"/>
    <mergeCell ref="BU1043:BU1046"/>
    <mergeCell ref="BV1043:BV1046"/>
    <mergeCell ref="BW1043:BW1046"/>
    <mergeCell ref="BC1044:BD1044"/>
    <mergeCell ref="AC1045:AE1045"/>
    <mergeCell ref="BC1045:BD1045"/>
    <mergeCell ref="AC1046:AE1046"/>
    <mergeCell ref="BC1046:BD1046"/>
    <mergeCell ref="AI1043:AI1044"/>
    <mergeCell ref="AJ1043:AJ1044"/>
    <mergeCell ref="AK1043:AK1044"/>
    <mergeCell ref="AL1043:AL1044"/>
    <mergeCell ref="AM1043:AM1044"/>
    <mergeCell ref="AN1043:AN1044"/>
    <mergeCell ref="AO1043:AO1044"/>
    <mergeCell ref="AP1043:AP1044"/>
    <mergeCell ref="AQ1043:AQ1044"/>
    <mergeCell ref="T1043:U1046"/>
    <mergeCell ref="V1043:V1046"/>
    <mergeCell ref="W1043:Y1046"/>
    <mergeCell ref="Z1043:Z1046"/>
    <mergeCell ref="AA1043:AB1046"/>
    <mergeCell ref="AC1043:AE1044"/>
    <mergeCell ref="AF1043:AF1044"/>
    <mergeCell ref="AG1043:AG1044"/>
    <mergeCell ref="AH1043:AH1044"/>
    <mergeCell ref="A1043:A1046"/>
    <mergeCell ref="B1043:C1046"/>
    <mergeCell ref="E1043:F1046"/>
    <mergeCell ref="G1043:H1046"/>
    <mergeCell ref="I1043:J1046"/>
    <mergeCell ref="L1043:L1046"/>
    <mergeCell ref="M1043:M1046"/>
    <mergeCell ref="N1043:O1046"/>
    <mergeCell ref="R1043:S1046"/>
    <mergeCell ref="K1043:K1046"/>
    <mergeCell ref="P1043:Q1046"/>
    <mergeCell ref="D1043:D1046"/>
    <mergeCell ref="AR1039:AR1040"/>
    <mergeCell ref="BC1039:BD1039"/>
    <mergeCell ref="BR1039:BR1042"/>
    <mergeCell ref="BS1039:BT1042"/>
    <mergeCell ref="BU1039:BU1042"/>
    <mergeCell ref="BV1039:BV1042"/>
    <mergeCell ref="BW1039:BW1042"/>
    <mergeCell ref="BC1040:BD1040"/>
    <mergeCell ref="AC1041:AE1041"/>
    <mergeCell ref="BC1041:BD1041"/>
    <mergeCell ref="AC1042:AE1042"/>
    <mergeCell ref="BC1042:BD1042"/>
    <mergeCell ref="AI1039:AI1040"/>
    <mergeCell ref="AJ1039:AJ1040"/>
    <mergeCell ref="AK1039:AK1040"/>
    <mergeCell ref="AL1039:AL1040"/>
    <mergeCell ref="AM1039:AM1040"/>
    <mergeCell ref="AN1039:AN1040"/>
    <mergeCell ref="AO1039:AO1040"/>
    <mergeCell ref="AP1039:AP1040"/>
    <mergeCell ref="AQ1039:AQ1040"/>
    <mergeCell ref="T1039:U1042"/>
    <mergeCell ref="V1039:V1042"/>
    <mergeCell ref="W1039:Y1042"/>
    <mergeCell ref="Z1039:Z1042"/>
    <mergeCell ref="AA1039:AB1042"/>
    <mergeCell ref="AC1039:AE1040"/>
    <mergeCell ref="AF1039:AF1040"/>
    <mergeCell ref="AG1039:AG1040"/>
    <mergeCell ref="AH1039:AH1040"/>
    <mergeCell ref="A1039:A1042"/>
    <mergeCell ref="B1039:C1042"/>
    <mergeCell ref="E1039:F1042"/>
    <mergeCell ref="G1039:H1042"/>
    <mergeCell ref="I1039:J1042"/>
    <mergeCell ref="L1039:L1042"/>
    <mergeCell ref="M1039:M1042"/>
    <mergeCell ref="N1039:O1042"/>
    <mergeCell ref="R1039:S1042"/>
    <mergeCell ref="K1039:K1042"/>
    <mergeCell ref="P1039:Q1042"/>
    <mergeCell ref="D1039:D1042"/>
    <mergeCell ref="AR1035:AR1036"/>
    <mergeCell ref="BC1035:BD1035"/>
    <mergeCell ref="BR1035:BR1038"/>
    <mergeCell ref="BS1035:BT1038"/>
    <mergeCell ref="BU1035:BU1038"/>
    <mergeCell ref="BV1035:BV1038"/>
    <mergeCell ref="BW1035:BW1038"/>
    <mergeCell ref="BC1036:BD1036"/>
    <mergeCell ref="AC1037:AE1037"/>
    <mergeCell ref="BC1037:BD1037"/>
    <mergeCell ref="AC1038:AE1038"/>
    <mergeCell ref="BC1038:BD1038"/>
    <mergeCell ref="AI1035:AI1036"/>
    <mergeCell ref="AJ1035:AJ1036"/>
    <mergeCell ref="AK1035:AK1036"/>
    <mergeCell ref="AL1035:AL1036"/>
    <mergeCell ref="AM1035:AM1036"/>
    <mergeCell ref="AN1035:AN1036"/>
    <mergeCell ref="AO1035:AO1036"/>
    <mergeCell ref="AP1035:AP1036"/>
    <mergeCell ref="AQ1035:AQ1036"/>
    <mergeCell ref="T1035:U1038"/>
    <mergeCell ref="V1035:V1038"/>
    <mergeCell ref="W1035:Y1038"/>
    <mergeCell ref="Z1035:Z1038"/>
    <mergeCell ref="AA1035:AB1038"/>
    <mergeCell ref="AC1035:AE1036"/>
    <mergeCell ref="AF1035:AF1036"/>
    <mergeCell ref="AG1035:AG1036"/>
    <mergeCell ref="AH1035:AH1036"/>
    <mergeCell ref="A1035:A1038"/>
    <mergeCell ref="B1035:C1038"/>
    <mergeCell ref="E1035:F1038"/>
    <mergeCell ref="G1035:H1038"/>
    <mergeCell ref="I1035:J1038"/>
    <mergeCell ref="L1035:L1038"/>
    <mergeCell ref="M1035:M1038"/>
    <mergeCell ref="N1035:O1038"/>
    <mergeCell ref="R1035:S1038"/>
    <mergeCell ref="K1035:K1038"/>
    <mergeCell ref="P1035:Q1038"/>
    <mergeCell ref="D1035:D1038"/>
    <mergeCell ref="AR1031:AR1032"/>
    <mergeCell ref="BC1031:BD1031"/>
    <mergeCell ref="BR1031:BR1034"/>
    <mergeCell ref="BS1031:BT1034"/>
    <mergeCell ref="BU1031:BU1034"/>
    <mergeCell ref="BV1031:BV1034"/>
    <mergeCell ref="BW1031:BW1034"/>
    <mergeCell ref="BC1032:BD1032"/>
    <mergeCell ref="AC1033:AE1033"/>
    <mergeCell ref="BC1033:BD1033"/>
    <mergeCell ref="AC1034:AE1034"/>
    <mergeCell ref="BC1034:BD1034"/>
    <mergeCell ref="AI1031:AI1032"/>
    <mergeCell ref="AJ1031:AJ1032"/>
    <mergeCell ref="AK1031:AK1032"/>
    <mergeCell ref="AL1031:AL1032"/>
    <mergeCell ref="AM1031:AM1032"/>
    <mergeCell ref="AN1031:AN1032"/>
    <mergeCell ref="AO1031:AO1032"/>
    <mergeCell ref="AP1031:AP1032"/>
    <mergeCell ref="AQ1031:AQ1032"/>
    <mergeCell ref="T1031:U1034"/>
    <mergeCell ref="V1031:V1034"/>
    <mergeCell ref="W1031:Y1034"/>
    <mergeCell ref="Z1031:Z1034"/>
    <mergeCell ref="AA1031:AB1034"/>
    <mergeCell ref="AC1031:AE1032"/>
    <mergeCell ref="AF1031:AF1032"/>
    <mergeCell ref="AG1031:AG1032"/>
    <mergeCell ref="AH1031:AH1032"/>
    <mergeCell ref="A1031:A1034"/>
    <mergeCell ref="B1031:C1034"/>
    <mergeCell ref="E1031:F1034"/>
    <mergeCell ref="G1031:H1034"/>
    <mergeCell ref="I1031:J1034"/>
    <mergeCell ref="L1031:L1034"/>
    <mergeCell ref="M1031:M1034"/>
    <mergeCell ref="N1031:O1034"/>
    <mergeCell ref="R1031:S1034"/>
    <mergeCell ref="K1031:K1034"/>
    <mergeCell ref="P1031:Q1034"/>
    <mergeCell ref="D1031:D1034"/>
    <mergeCell ref="AR1027:AR1028"/>
    <mergeCell ref="BC1027:BD1027"/>
    <mergeCell ref="BR1027:BR1030"/>
    <mergeCell ref="BS1027:BT1030"/>
    <mergeCell ref="BU1027:BU1030"/>
    <mergeCell ref="BV1027:BV1030"/>
    <mergeCell ref="BW1027:BW1030"/>
    <mergeCell ref="BC1028:BD1028"/>
    <mergeCell ref="AC1029:AE1029"/>
    <mergeCell ref="BC1029:BD1029"/>
    <mergeCell ref="AC1030:AE1030"/>
    <mergeCell ref="BC1030:BD1030"/>
    <mergeCell ref="AI1027:AI1028"/>
    <mergeCell ref="AJ1027:AJ1028"/>
    <mergeCell ref="AK1027:AK1028"/>
    <mergeCell ref="AL1027:AL1028"/>
    <mergeCell ref="AM1027:AM1028"/>
    <mergeCell ref="AN1027:AN1028"/>
    <mergeCell ref="AO1027:AO1028"/>
    <mergeCell ref="AP1027:AP1028"/>
    <mergeCell ref="AQ1027:AQ1028"/>
    <mergeCell ref="T1027:U1030"/>
    <mergeCell ref="V1027:V1030"/>
    <mergeCell ref="W1027:Y1030"/>
    <mergeCell ref="Z1027:Z1030"/>
    <mergeCell ref="AA1027:AB1030"/>
    <mergeCell ref="AC1027:AE1028"/>
    <mergeCell ref="AF1027:AF1028"/>
    <mergeCell ref="AG1027:AG1028"/>
    <mergeCell ref="AH1027:AH1028"/>
    <mergeCell ref="A1027:A1030"/>
    <mergeCell ref="B1027:C1030"/>
    <mergeCell ref="E1027:F1030"/>
    <mergeCell ref="G1027:H1030"/>
    <mergeCell ref="I1027:J1030"/>
    <mergeCell ref="L1027:L1030"/>
    <mergeCell ref="M1027:M1030"/>
    <mergeCell ref="N1027:O1030"/>
    <mergeCell ref="R1027:S1030"/>
    <mergeCell ref="K1027:K1030"/>
    <mergeCell ref="P1027:Q1030"/>
    <mergeCell ref="D1027:D1030"/>
    <mergeCell ref="AR1023:AR1024"/>
    <mergeCell ref="BC1023:BD1023"/>
    <mergeCell ref="BR1023:BR1026"/>
    <mergeCell ref="BS1023:BT1026"/>
    <mergeCell ref="BU1023:BU1026"/>
    <mergeCell ref="BV1023:BV1026"/>
    <mergeCell ref="BW1023:BW1026"/>
    <mergeCell ref="BC1024:BD1024"/>
    <mergeCell ref="AC1025:AE1025"/>
    <mergeCell ref="BC1025:BD1025"/>
    <mergeCell ref="AC1026:AE1026"/>
    <mergeCell ref="BC1026:BD1026"/>
    <mergeCell ref="AI1023:AI1024"/>
    <mergeCell ref="AJ1023:AJ1024"/>
    <mergeCell ref="AK1023:AK1024"/>
    <mergeCell ref="AL1023:AL1024"/>
    <mergeCell ref="AM1023:AM1024"/>
    <mergeCell ref="AN1023:AN1024"/>
    <mergeCell ref="AO1023:AO1024"/>
    <mergeCell ref="AP1023:AP1024"/>
    <mergeCell ref="AQ1023:AQ1024"/>
    <mergeCell ref="T1023:U1026"/>
    <mergeCell ref="V1023:V1026"/>
    <mergeCell ref="W1023:Y1026"/>
    <mergeCell ref="Z1023:Z1026"/>
    <mergeCell ref="AA1023:AB1026"/>
    <mergeCell ref="AC1023:AE1024"/>
    <mergeCell ref="AF1023:AF1024"/>
    <mergeCell ref="AG1023:AG1024"/>
    <mergeCell ref="AH1023:AH1024"/>
    <mergeCell ref="A1023:A1026"/>
    <mergeCell ref="B1023:C1026"/>
    <mergeCell ref="E1023:F1026"/>
    <mergeCell ref="G1023:H1026"/>
    <mergeCell ref="I1023:J1026"/>
    <mergeCell ref="L1023:L1026"/>
    <mergeCell ref="M1023:M1026"/>
    <mergeCell ref="N1023:O1026"/>
    <mergeCell ref="R1023:S1026"/>
    <mergeCell ref="K1023:K1026"/>
    <mergeCell ref="P1023:Q1026"/>
    <mergeCell ref="D1023:D1026"/>
    <mergeCell ref="AR1019:AR1020"/>
    <mergeCell ref="BC1019:BD1019"/>
    <mergeCell ref="BR1019:BR1022"/>
    <mergeCell ref="BS1019:BT1022"/>
    <mergeCell ref="BU1019:BU1022"/>
    <mergeCell ref="BV1019:BV1022"/>
    <mergeCell ref="BW1019:BW1022"/>
    <mergeCell ref="BC1020:BD1020"/>
    <mergeCell ref="AC1021:AE1021"/>
    <mergeCell ref="BC1021:BD1021"/>
    <mergeCell ref="AC1022:AE1022"/>
    <mergeCell ref="BC1022:BD1022"/>
    <mergeCell ref="AI1019:AI1020"/>
    <mergeCell ref="AJ1019:AJ1020"/>
    <mergeCell ref="AK1019:AK1020"/>
    <mergeCell ref="AL1019:AL1020"/>
    <mergeCell ref="AM1019:AM1020"/>
    <mergeCell ref="AN1019:AN1020"/>
    <mergeCell ref="AO1019:AO1020"/>
    <mergeCell ref="AP1019:AP1020"/>
    <mergeCell ref="AQ1019:AQ1020"/>
    <mergeCell ref="T1019:U1022"/>
    <mergeCell ref="V1019:V1022"/>
    <mergeCell ref="W1019:Y1022"/>
    <mergeCell ref="Z1019:Z1022"/>
    <mergeCell ref="AA1019:AB1022"/>
    <mergeCell ref="AC1019:AE1020"/>
    <mergeCell ref="AF1019:AF1020"/>
    <mergeCell ref="AG1019:AG1020"/>
    <mergeCell ref="AH1019:AH1020"/>
    <mergeCell ref="A1019:A1022"/>
    <mergeCell ref="B1019:C1022"/>
    <mergeCell ref="E1019:F1022"/>
    <mergeCell ref="G1019:H1022"/>
    <mergeCell ref="I1019:J1022"/>
    <mergeCell ref="L1019:L1022"/>
    <mergeCell ref="M1019:M1022"/>
    <mergeCell ref="N1019:O1022"/>
    <mergeCell ref="R1019:S1022"/>
    <mergeCell ref="K1019:K1022"/>
    <mergeCell ref="P1019:Q1022"/>
    <mergeCell ref="D1019:D1022"/>
    <mergeCell ref="AR1015:AR1016"/>
    <mergeCell ref="BC1015:BD1015"/>
    <mergeCell ref="BR1015:BR1018"/>
    <mergeCell ref="BS1015:BT1018"/>
    <mergeCell ref="BU1015:BU1018"/>
    <mergeCell ref="BV1015:BV1018"/>
    <mergeCell ref="BW1015:BW1018"/>
    <mergeCell ref="BC1016:BD1016"/>
    <mergeCell ref="AC1017:AE1017"/>
    <mergeCell ref="BC1017:BD1017"/>
    <mergeCell ref="AC1018:AE1018"/>
    <mergeCell ref="BC1018:BD1018"/>
    <mergeCell ref="AI1015:AI1016"/>
    <mergeCell ref="AJ1015:AJ1016"/>
    <mergeCell ref="AK1015:AK1016"/>
    <mergeCell ref="AL1015:AL1016"/>
    <mergeCell ref="AM1015:AM1016"/>
    <mergeCell ref="AN1015:AN1016"/>
    <mergeCell ref="AO1015:AO1016"/>
    <mergeCell ref="AP1015:AP1016"/>
    <mergeCell ref="AQ1015:AQ1016"/>
    <mergeCell ref="T1015:U1018"/>
    <mergeCell ref="V1015:V1018"/>
    <mergeCell ref="W1015:Y1018"/>
    <mergeCell ref="Z1015:Z1018"/>
    <mergeCell ref="AA1015:AB1018"/>
    <mergeCell ref="AC1015:AE1016"/>
    <mergeCell ref="AF1015:AF1016"/>
    <mergeCell ref="AG1015:AG1016"/>
    <mergeCell ref="AH1015:AH1016"/>
    <mergeCell ref="A1015:A1018"/>
    <mergeCell ref="B1015:C1018"/>
    <mergeCell ref="E1015:F1018"/>
    <mergeCell ref="G1015:H1018"/>
    <mergeCell ref="I1015:J1018"/>
    <mergeCell ref="L1015:L1018"/>
    <mergeCell ref="M1015:M1018"/>
    <mergeCell ref="N1015:O1018"/>
    <mergeCell ref="R1015:S1018"/>
    <mergeCell ref="K1015:K1018"/>
    <mergeCell ref="P1015:Q1018"/>
    <mergeCell ref="D1015:D1018"/>
    <mergeCell ref="AR1011:AR1012"/>
    <mergeCell ref="BC1011:BD1011"/>
    <mergeCell ref="BR1011:BR1014"/>
    <mergeCell ref="BS1011:BT1014"/>
    <mergeCell ref="BU1011:BU1014"/>
    <mergeCell ref="BV1011:BV1014"/>
    <mergeCell ref="BW1011:BW1014"/>
    <mergeCell ref="BC1012:BD1012"/>
    <mergeCell ref="AC1013:AE1013"/>
    <mergeCell ref="BC1013:BD1013"/>
    <mergeCell ref="AC1014:AE1014"/>
    <mergeCell ref="BC1014:BD1014"/>
    <mergeCell ref="AI1011:AI1012"/>
    <mergeCell ref="AJ1011:AJ1012"/>
    <mergeCell ref="AK1011:AK1012"/>
    <mergeCell ref="AL1011:AL1012"/>
    <mergeCell ref="AM1011:AM1012"/>
    <mergeCell ref="AN1011:AN1012"/>
    <mergeCell ref="AO1011:AO1012"/>
    <mergeCell ref="AP1011:AP1012"/>
    <mergeCell ref="AQ1011:AQ1012"/>
    <mergeCell ref="T1011:U1014"/>
    <mergeCell ref="V1011:V1014"/>
    <mergeCell ref="W1011:Y1014"/>
    <mergeCell ref="Z1011:Z1014"/>
    <mergeCell ref="AA1011:AB1014"/>
    <mergeCell ref="AC1011:AE1012"/>
    <mergeCell ref="AF1011:AF1012"/>
    <mergeCell ref="AG1011:AG1012"/>
    <mergeCell ref="AH1011:AH1012"/>
    <mergeCell ref="A1011:A1014"/>
    <mergeCell ref="B1011:C1014"/>
    <mergeCell ref="E1011:F1014"/>
    <mergeCell ref="G1011:H1014"/>
    <mergeCell ref="I1011:J1014"/>
    <mergeCell ref="L1011:L1014"/>
    <mergeCell ref="M1011:M1014"/>
    <mergeCell ref="N1011:O1014"/>
    <mergeCell ref="R1011:S1014"/>
    <mergeCell ref="K1011:K1014"/>
    <mergeCell ref="P1011:Q1014"/>
    <mergeCell ref="D1011:D1014"/>
    <mergeCell ref="AR1007:AR1008"/>
    <mergeCell ref="BC1007:BD1007"/>
    <mergeCell ref="BR1007:BR1010"/>
    <mergeCell ref="BS1007:BT1010"/>
    <mergeCell ref="BU1007:BU1010"/>
    <mergeCell ref="BV1007:BV1010"/>
    <mergeCell ref="BW1007:BW1010"/>
    <mergeCell ref="BC1008:BD1008"/>
    <mergeCell ref="AC1009:AE1009"/>
    <mergeCell ref="BC1009:BD1009"/>
    <mergeCell ref="AC1010:AE1010"/>
    <mergeCell ref="BC1010:BD1010"/>
    <mergeCell ref="AI1007:AI1008"/>
    <mergeCell ref="AJ1007:AJ1008"/>
    <mergeCell ref="AK1007:AK1008"/>
    <mergeCell ref="AL1007:AL1008"/>
    <mergeCell ref="AM1007:AM1008"/>
    <mergeCell ref="AN1007:AN1008"/>
    <mergeCell ref="AO1007:AO1008"/>
    <mergeCell ref="AP1007:AP1008"/>
    <mergeCell ref="AQ1007:AQ1008"/>
    <mergeCell ref="T1007:U1010"/>
    <mergeCell ref="V1007:V1010"/>
    <mergeCell ref="W1007:Y1010"/>
    <mergeCell ref="Z1007:Z1010"/>
    <mergeCell ref="AA1007:AB1010"/>
    <mergeCell ref="AC1007:AE1008"/>
    <mergeCell ref="AF1007:AF1008"/>
    <mergeCell ref="AG1007:AG1008"/>
    <mergeCell ref="AH1007:AH1008"/>
    <mergeCell ref="A1007:A1010"/>
    <mergeCell ref="B1007:C1010"/>
    <mergeCell ref="E1007:F1010"/>
    <mergeCell ref="G1007:H1010"/>
    <mergeCell ref="I1007:J1010"/>
    <mergeCell ref="L1007:L1010"/>
    <mergeCell ref="M1007:M1010"/>
    <mergeCell ref="N1007:O1010"/>
    <mergeCell ref="R1007:S1010"/>
    <mergeCell ref="K1007:K1010"/>
    <mergeCell ref="P1007:Q1010"/>
    <mergeCell ref="D1007:D1010"/>
    <mergeCell ref="AR1003:AR1004"/>
    <mergeCell ref="BC1003:BD1003"/>
    <mergeCell ref="BR1003:BR1006"/>
    <mergeCell ref="BS1003:BT1006"/>
    <mergeCell ref="BU1003:BU1006"/>
    <mergeCell ref="BV1003:BV1006"/>
    <mergeCell ref="BW1003:BW1006"/>
    <mergeCell ref="BC1004:BD1004"/>
    <mergeCell ref="AC1005:AE1005"/>
    <mergeCell ref="BC1005:BD1005"/>
    <mergeCell ref="AC1006:AE1006"/>
    <mergeCell ref="BC1006:BD1006"/>
    <mergeCell ref="AI1003:AI1004"/>
    <mergeCell ref="AJ1003:AJ1004"/>
    <mergeCell ref="AK1003:AK1004"/>
    <mergeCell ref="AL1003:AL1004"/>
    <mergeCell ref="AM1003:AM1004"/>
    <mergeCell ref="AN1003:AN1004"/>
    <mergeCell ref="AO1003:AO1004"/>
    <mergeCell ref="AP1003:AP1004"/>
    <mergeCell ref="AQ1003:AQ1004"/>
    <mergeCell ref="T1003:U1006"/>
    <mergeCell ref="V1003:V1006"/>
    <mergeCell ref="W1003:Y1006"/>
    <mergeCell ref="Z1003:Z1006"/>
    <mergeCell ref="AA1003:AB1006"/>
    <mergeCell ref="AC1003:AE1004"/>
    <mergeCell ref="AF1003:AF1004"/>
    <mergeCell ref="AG1003:AG1004"/>
    <mergeCell ref="AH1003:AH1004"/>
    <mergeCell ref="A1003:A1006"/>
    <mergeCell ref="B1003:C1006"/>
    <mergeCell ref="E1003:F1006"/>
    <mergeCell ref="G1003:H1006"/>
    <mergeCell ref="I1003:J1006"/>
    <mergeCell ref="L1003:L1006"/>
    <mergeCell ref="M1003:M1006"/>
    <mergeCell ref="N1003:O1006"/>
    <mergeCell ref="R1003:S1006"/>
    <mergeCell ref="K1003:K1006"/>
    <mergeCell ref="P1003:Q1006"/>
    <mergeCell ref="D1003:D1006"/>
    <mergeCell ref="AR999:AR1000"/>
    <mergeCell ref="BC999:BD999"/>
    <mergeCell ref="BR999:BR1002"/>
    <mergeCell ref="BS999:BT1002"/>
    <mergeCell ref="BU999:BU1002"/>
    <mergeCell ref="BV999:BV1002"/>
    <mergeCell ref="BW999:BW1002"/>
    <mergeCell ref="BC1000:BD1000"/>
    <mergeCell ref="AC1001:AE1001"/>
    <mergeCell ref="BC1001:BD1001"/>
    <mergeCell ref="AC1002:AE1002"/>
    <mergeCell ref="BC1002:BD1002"/>
    <mergeCell ref="AI999:AI1000"/>
    <mergeCell ref="AJ999:AJ1000"/>
    <mergeCell ref="AK999:AK1000"/>
    <mergeCell ref="AL999:AL1000"/>
    <mergeCell ref="AM999:AM1000"/>
    <mergeCell ref="AN999:AN1000"/>
    <mergeCell ref="AO999:AO1000"/>
    <mergeCell ref="AP999:AP1000"/>
    <mergeCell ref="AQ999:AQ1000"/>
    <mergeCell ref="T999:U1002"/>
    <mergeCell ref="V999:V1002"/>
    <mergeCell ref="W999:Y1002"/>
    <mergeCell ref="Z999:Z1002"/>
    <mergeCell ref="AA999:AB1002"/>
    <mergeCell ref="AC999:AE1000"/>
    <mergeCell ref="AF999:AF1000"/>
    <mergeCell ref="AG999:AG1000"/>
    <mergeCell ref="AH999:AH1000"/>
    <mergeCell ref="A999:A1002"/>
    <mergeCell ref="B999:C1002"/>
    <mergeCell ref="E999:F1002"/>
    <mergeCell ref="G999:H1002"/>
    <mergeCell ref="I999:J1002"/>
    <mergeCell ref="L999:L1002"/>
    <mergeCell ref="M999:M1002"/>
    <mergeCell ref="N999:O1002"/>
    <mergeCell ref="R999:S1002"/>
    <mergeCell ref="K999:K1002"/>
    <mergeCell ref="P999:Q1002"/>
    <mergeCell ref="D999:D1002"/>
    <mergeCell ref="AR995:AR996"/>
    <mergeCell ref="BC995:BD995"/>
    <mergeCell ref="BR995:BR998"/>
    <mergeCell ref="BS995:BT998"/>
    <mergeCell ref="BU995:BU998"/>
    <mergeCell ref="BV995:BV998"/>
    <mergeCell ref="BW995:BW998"/>
    <mergeCell ref="BC996:BD996"/>
    <mergeCell ref="AC997:AE997"/>
    <mergeCell ref="BC997:BD997"/>
    <mergeCell ref="AC998:AE998"/>
    <mergeCell ref="BC998:BD998"/>
    <mergeCell ref="AI995:AI996"/>
    <mergeCell ref="AJ995:AJ996"/>
    <mergeCell ref="AK995:AK996"/>
    <mergeCell ref="AL995:AL996"/>
    <mergeCell ref="AM995:AM996"/>
    <mergeCell ref="AN995:AN996"/>
    <mergeCell ref="AO995:AO996"/>
    <mergeCell ref="AP995:AP996"/>
    <mergeCell ref="AQ995:AQ996"/>
    <mergeCell ref="T995:U998"/>
    <mergeCell ref="V995:V998"/>
    <mergeCell ref="W995:Y998"/>
    <mergeCell ref="Z995:Z998"/>
    <mergeCell ref="AA995:AB998"/>
    <mergeCell ref="AC995:AE996"/>
    <mergeCell ref="AF995:AF996"/>
    <mergeCell ref="AG995:AG996"/>
    <mergeCell ref="AH995:AH996"/>
    <mergeCell ref="A995:A998"/>
    <mergeCell ref="B995:C998"/>
    <mergeCell ref="E995:F998"/>
    <mergeCell ref="G995:H998"/>
    <mergeCell ref="I995:J998"/>
    <mergeCell ref="L995:L998"/>
    <mergeCell ref="M995:M998"/>
    <mergeCell ref="N995:O998"/>
    <mergeCell ref="R995:S998"/>
    <mergeCell ref="K995:K998"/>
    <mergeCell ref="P995:Q998"/>
    <mergeCell ref="D995:D998"/>
    <mergeCell ref="AR991:AR992"/>
    <mergeCell ref="BC991:BD991"/>
    <mergeCell ref="BR991:BR994"/>
    <mergeCell ref="BS991:BT994"/>
    <mergeCell ref="BU991:BU994"/>
    <mergeCell ref="BV991:BV994"/>
    <mergeCell ref="BW991:BW994"/>
    <mergeCell ref="BC992:BD992"/>
    <mergeCell ref="AC993:AE993"/>
    <mergeCell ref="BC993:BD993"/>
    <mergeCell ref="AC994:AE994"/>
    <mergeCell ref="BC994:BD994"/>
    <mergeCell ref="AI991:AI992"/>
    <mergeCell ref="AJ991:AJ992"/>
    <mergeCell ref="AK991:AK992"/>
    <mergeCell ref="AL991:AL992"/>
    <mergeCell ref="AM991:AM992"/>
    <mergeCell ref="AN991:AN992"/>
    <mergeCell ref="AO991:AO992"/>
    <mergeCell ref="AP991:AP992"/>
    <mergeCell ref="AQ991:AQ992"/>
    <mergeCell ref="T991:U994"/>
    <mergeCell ref="V991:V994"/>
    <mergeCell ref="W991:Y994"/>
    <mergeCell ref="Z991:Z994"/>
    <mergeCell ref="AA991:AB994"/>
    <mergeCell ref="AC991:AE992"/>
    <mergeCell ref="AF991:AF992"/>
    <mergeCell ref="AG991:AG992"/>
    <mergeCell ref="AH991:AH992"/>
    <mergeCell ref="A991:A994"/>
    <mergeCell ref="B991:C994"/>
    <mergeCell ref="E991:F994"/>
    <mergeCell ref="G991:H994"/>
    <mergeCell ref="I991:J994"/>
    <mergeCell ref="L991:L994"/>
    <mergeCell ref="M991:M994"/>
    <mergeCell ref="N991:O994"/>
    <mergeCell ref="R991:S994"/>
    <mergeCell ref="K991:K994"/>
    <mergeCell ref="P991:Q994"/>
    <mergeCell ref="D991:D994"/>
    <mergeCell ref="AR987:AR988"/>
    <mergeCell ref="BC987:BD987"/>
    <mergeCell ref="BR987:BR990"/>
    <mergeCell ref="BS987:BT990"/>
    <mergeCell ref="BU987:BU990"/>
    <mergeCell ref="BV987:BV990"/>
    <mergeCell ref="BW987:BW990"/>
    <mergeCell ref="BC988:BD988"/>
    <mergeCell ref="AC989:AE989"/>
    <mergeCell ref="BC989:BD989"/>
    <mergeCell ref="AC990:AE990"/>
    <mergeCell ref="BC990:BD990"/>
    <mergeCell ref="AI987:AI988"/>
    <mergeCell ref="AJ987:AJ988"/>
    <mergeCell ref="AK987:AK988"/>
    <mergeCell ref="AL987:AL988"/>
    <mergeCell ref="AM987:AM988"/>
    <mergeCell ref="AN987:AN988"/>
    <mergeCell ref="AO987:AO988"/>
    <mergeCell ref="AP987:AP988"/>
    <mergeCell ref="AQ987:AQ988"/>
    <mergeCell ref="T987:U990"/>
    <mergeCell ref="V987:V990"/>
    <mergeCell ref="W987:Y990"/>
    <mergeCell ref="Z987:Z990"/>
    <mergeCell ref="AA987:AB990"/>
    <mergeCell ref="AC987:AE988"/>
    <mergeCell ref="AF987:AF988"/>
    <mergeCell ref="AG987:AG988"/>
    <mergeCell ref="AH987:AH988"/>
    <mergeCell ref="A987:A990"/>
    <mergeCell ref="B987:C990"/>
    <mergeCell ref="E987:F990"/>
    <mergeCell ref="G987:H990"/>
    <mergeCell ref="I987:J990"/>
    <mergeCell ref="L987:L990"/>
    <mergeCell ref="M987:M990"/>
    <mergeCell ref="N987:O990"/>
    <mergeCell ref="R987:S990"/>
    <mergeCell ref="K987:K990"/>
    <mergeCell ref="P987:Q990"/>
    <mergeCell ref="D987:D990"/>
    <mergeCell ref="AR983:AR984"/>
    <mergeCell ref="BC983:BD983"/>
    <mergeCell ref="BR983:BR986"/>
    <mergeCell ref="BS983:BT986"/>
    <mergeCell ref="BU983:BU986"/>
    <mergeCell ref="BV983:BV986"/>
    <mergeCell ref="BW983:BW986"/>
    <mergeCell ref="BC984:BD984"/>
    <mergeCell ref="AC985:AE985"/>
    <mergeCell ref="BC985:BD985"/>
    <mergeCell ref="AC986:AE986"/>
    <mergeCell ref="BC986:BD986"/>
    <mergeCell ref="AI983:AI984"/>
    <mergeCell ref="AJ983:AJ984"/>
    <mergeCell ref="AK983:AK984"/>
    <mergeCell ref="AL983:AL984"/>
    <mergeCell ref="AM983:AM984"/>
    <mergeCell ref="AN983:AN984"/>
    <mergeCell ref="AO983:AO984"/>
    <mergeCell ref="AP983:AP984"/>
    <mergeCell ref="AQ983:AQ984"/>
    <mergeCell ref="T983:U986"/>
    <mergeCell ref="V983:V986"/>
    <mergeCell ref="W983:Y986"/>
    <mergeCell ref="Z983:Z986"/>
    <mergeCell ref="AA983:AB986"/>
    <mergeCell ref="AC983:AE984"/>
    <mergeCell ref="AF983:AF984"/>
    <mergeCell ref="AG983:AG984"/>
    <mergeCell ref="AH983:AH984"/>
    <mergeCell ref="A983:A986"/>
    <mergeCell ref="B983:C986"/>
    <mergeCell ref="E983:F986"/>
    <mergeCell ref="G983:H986"/>
    <mergeCell ref="I983:J986"/>
    <mergeCell ref="L983:L986"/>
    <mergeCell ref="M983:M986"/>
    <mergeCell ref="N983:O986"/>
    <mergeCell ref="R983:S986"/>
    <mergeCell ref="K983:K986"/>
    <mergeCell ref="P983:Q986"/>
    <mergeCell ref="D983:D986"/>
    <mergeCell ref="AR979:AR980"/>
    <mergeCell ref="BC979:BD979"/>
    <mergeCell ref="BR979:BR982"/>
    <mergeCell ref="BS979:BT982"/>
    <mergeCell ref="BU979:BU982"/>
    <mergeCell ref="BV979:BV982"/>
    <mergeCell ref="BW979:BW982"/>
    <mergeCell ref="BC980:BD980"/>
    <mergeCell ref="AC981:AE981"/>
    <mergeCell ref="BC981:BD981"/>
    <mergeCell ref="AC982:AE982"/>
    <mergeCell ref="BC982:BD982"/>
    <mergeCell ref="AI979:AI980"/>
    <mergeCell ref="AJ979:AJ980"/>
    <mergeCell ref="AK979:AK980"/>
    <mergeCell ref="AL979:AL980"/>
    <mergeCell ref="AM979:AM980"/>
    <mergeCell ref="AN979:AN980"/>
    <mergeCell ref="AO979:AO980"/>
    <mergeCell ref="AP979:AP980"/>
    <mergeCell ref="AQ979:AQ980"/>
    <mergeCell ref="T979:U982"/>
    <mergeCell ref="V979:V982"/>
    <mergeCell ref="W979:Y982"/>
    <mergeCell ref="Z979:Z982"/>
    <mergeCell ref="AA979:AB982"/>
    <mergeCell ref="AC979:AE980"/>
    <mergeCell ref="AF979:AF980"/>
    <mergeCell ref="AG979:AG980"/>
    <mergeCell ref="AH979:AH980"/>
    <mergeCell ref="A979:A982"/>
    <mergeCell ref="B979:C982"/>
    <mergeCell ref="E979:F982"/>
    <mergeCell ref="G979:H982"/>
    <mergeCell ref="I979:J982"/>
    <mergeCell ref="L979:L982"/>
    <mergeCell ref="M979:M982"/>
    <mergeCell ref="N979:O982"/>
    <mergeCell ref="R979:S982"/>
    <mergeCell ref="K979:K982"/>
    <mergeCell ref="P979:Q982"/>
    <mergeCell ref="D979:D982"/>
    <mergeCell ref="AR975:AR976"/>
    <mergeCell ref="BC975:BD975"/>
    <mergeCell ref="BR975:BR978"/>
    <mergeCell ref="BS975:BT978"/>
    <mergeCell ref="BU975:BU978"/>
    <mergeCell ref="BV975:BV978"/>
    <mergeCell ref="BW975:BW978"/>
    <mergeCell ref="BC976:BD976"/>
    <mergeCell ref="AC977:AE977"/>
    <mergeCell ref="BC977:BD977"/>
    <mergeCell ref="AC978:AE978"/>
    <mergeCell ref="BC978:BD978"/>
    <mergeCell ref="AI975:AI976"/>
    <mergeCell ref="AJ975:AJ976"/>
    <mergeCell ref="AK975:AK976"/>
    <mergeCell ref="AL975:AL976"/>
    <mergeCell ref="AM975:AM976"/>
    <mergeCell ref="AN975:AN976"/>
    <mergeCell ref="AO975:AO976"/>
    <mergeCell ref="AP975:AP976"/>
    <mergeCell ref="AQ975:AQ976"/>
    <mergeCell ref="T975:U978"/>
    <mergeCell ref="V975:V978"/>
    <mergeCell ref="W975:Y978"/>
    <mergeCell ref="Z975:Z978"/>
    <mergeCell ref="AA975:AB978"/>
    <mergeCell ref="AC975:AE976"/>
    <mergeCell ref="AF975:AF976"/>
    <mergeCell ref="AG975:AG976"/>
    <mergeCell ref="AH975:AH976"/>
    <mergeCell ref="A975:A978"/>
    <mergeCell ref="B975:C978"/>
    <mergeCell ref="E975:F978"/>
    <mergeCell ref="G975:H978"/>
    <mergeCell ref="I975:J978"/>
    <mergeCell ref="L975:L978"/>
    <mergeCell ref="M975:M978"/>
    <mergeCell ref="N975:O978"/>
    <mergeCell ref="R975:S978"/>
    <mergeCell ref="K975:K978"/>
    <mergeCell ref="P975:Q978"/>
    <mergeCell ref="D975:D978"/>
    <mergeCell ref="AR971:AR972"/>
    <mergeCell ref="BC971:BD971"/>
    <mergeCell ref="BR971:BR974"/>
    <mergeCell ref="BS971:BT974"/>
    <mergeCell ref="BU971:BU974"/>
    <mergeCell ref="BV971:BV974"/>
    <mergeCell ref="BW971:BW974"/>
    <mergeCell ref="BC972:BD972"/>
    <mergeCell ref="AC973:AE973"/>
    <mergeCell ref="BC973:BD973"/>
    <mergeCell ref="AC974:AE974"/>
    <mergeCell ref="BC974:BD974"/>
    <mergeCell ref="AI971:AI972"/>
    <mergeCell ref="AJ971:AJ972"/>
    <mergeCell ref="AK971:AK972"/>
    <mergeCell ref="AL971:AL972"/>
    <mergeCell ref="AM971:AM972"/>
    <mergeCell ref="AN971:AN972"/>
    <mergeCell ref="AO971:AO972"/>
    <mergeCell ref="AP971:AP972"/>
    <mergeCell ref="AQ971:AQ972"/>
    <mergeCell ref="T971:U974"/>
    <mergeCell ref="V971:V974"/>
    <mergeCell ref="W971:Y974"/>
    <mergeCell ref="Z971:Z974"/>
    <mergeCell ref="AA971:AB974"/>
    <mergeCell ref="AC971:AE972"/>
    <mergeCell ref="AF971:AF972"/>
    <mergeCell ref="AG971:AG972"/>
    <mergeCell ref="AH971:AH972"/>
    <mergeCell ref="A971:A974"/>
    <mergeCell ref="B971:C974"/>
    <mergeCell ref="E971:F974"/>
    <mergeCell ref="G971:H974"/>
    <mergeCell ref="I971:J974"/>
    <mergeCell ref="L971:L974"/>
    <mergeCell ref="M971:M974"/>
    <mergeCell ref="N971:O974"/>
    <mergeCell ref="R971:S974"/>
    <mergeCell ref="K971:K974"/>
    <mergeCell ref="P971:Q974"/>
    <mergeCell ref="D971:D974"/>
    <mergeCell ref="AR967:AR968"/>
    <mergeCell ref="BC967:BD967"/>
    <mergeCell ref="BR967:BR970"/>
    <mergeCell ref="BS967:BT970"/>
    <mergeCell ref="BU967:BU970"/>
    <mergeCell ref="BV967:BV970"/>
    <mergeCell ref="BW967:BW970"/>
    <mergeCell ref="BC968:BD968"/>
    <mergeCell ref="AC969:AE969"/>
    <mergeCell ref="BC969:BD969"/>
    <mergeCell ref="AC970:AE970"/>
    <mergeCell ref="BC970:BD970"/>
    <mergeCell ref="AI967:AI968"/>
    <mergeCell ref="AJ967:AJ968"/>
    <mergeCell ref="AK967:AK968"/>
    <mergeCell ref="AL967:AL968"/>
    <mergeCell ref="AM967:AM968"/>
    <mergeCell ref="AN967:AN968"/>
    <mergeCell ref="AO967:AO968"/>
    <mergeCell ref="AP967:AP968"/>
    <mergeCell ref="AQ967:AQ968"/>
    <mergeCell ref="T967:U970"/>
    <mergeCell ref="V967:V970"/>
    <mergeCell ref="W967:Y970"/>
    <mergeCell ref="Z967:Z970"/>
    <mergeCell ref="AA967:AB970"/>
    <mergeCell ref="AC967:AE968"/>
    <mergeCell ref="AF967:AF968"/>
    <mergeCell ref="AG967:AG968"/>
    <mergeCell ref="AH967:AH968"/>
    <mergeCell ref="A967:A970"/>
    <mergeCell ref="B967:C970"/>
    <mergeCell ref="E967:F970"/>
    <mergeCell ref="G967:H970"/>
    <mergeCell ref="I967:J970"/>
    <mergeCell ref="L967:L970"/>
    <mergeCell ref="M967:M970"/>
    <mergeCell ref="N967:O970"/>
    <mergeCell ref="R967:S970"/>
    <mergeCell ref="K967:K970"/>
    <mergeCell ref="P967:Q970"/>
    <mergeCell ref="D967:D970"/>
    <mergeCell ref="AR963:AR964"/>
    <mergeCell ref="BC963:BD963"/>
    <mergeCell ref="BR963:BR966"/>
    <mergeCell ref="BS963:BT966"/>
    <mergeCell ref="BU963:BU966"/>
    <mergeCell ref="BV963:BV966"/>
    <mergeCell ref="BW963:BW966"/>
    <mergeCell ref="BC964:BD964"/>
    <mergeCell ref="AC965:AE965"/>
    <mergeCell ref="BC965:BD965"/>
    <mergeCell ref="AC966:AE966"/>
    <mergeCell ref="BC966:BD966"/>
    <mergeCell ref="AI963:AI964"/>
    <mergeCell ref="AJ963:AJ964"/>
    <mergeCell ref="AK963:AK964"/>
    <mergeCell ref="AL963:AL964"/>
    <mergeCell ref="AM963:AM964"/>
    <mergeCell ref="AN963:AN964"/>
    <mergeCell ref="AO963:AO964"/>
    <mergeCell ref="AP963:AP964"/>
    <mergeCell ref="AQ963:AQ964"/>
    <mergeCell ref="T963:U966"/>
    <mergeCell ref="V963:V966"/>
    <mergeCell ref="W963:Y966"/>
    <mergeCell ref="Z963:Z966"/>
    <mergeCell ref="AA963:AB966"/>
    <mergeCell ref="AC963:AE964"/>
    <mergeCell ref="AF963:AF964"/>
    <mergeCell ref="AG963:AG964"/>
    <mergeCell ref="AH963:AH964"/>
    <mergeCell ref="A963:A966"/>
    <mergeCell ref="B963:C966"/>
    <mergeCell ref="E963:F966"/>
    <mergeCell ref="G963:H966"/>
    <mergeCell ref="I963:J966"/>
    <mergeCell ref="L963:L966"/>
    <mergeCell ref="M963:M966"/>
    <mergeCell ref="N963:O966"/>
    <mergeCell ref="R963:S966"/>
    <mergeCell ref="K963:K966"/>
    <mergeCell ref="P963:Q966"/>
    <mergeCell ref="D963:D966"/>
    <mergeCell ref="AR959:AR960"/>
    <mergeCell ref="BC959:BD959"/>
    <mergeCell ref="BR959:BR962"/>
    <mergeCell ref="BS959:BT962"/>
    <mergeCell ref="BU959:BU962"/>
    <mergeCell ref="BV959:BV962"/>
    <mergeCell ref="BW959:BW962"/>
    <mergeCell ref="BC960:BD960"/>
    <mergeCell ref="AC961:AE961"/>
    <mergeCell ref="BC961:BD961"/>
    <mergeCell ref="AC962:AE962"/>
    <mergeCell ref="BC962:BD962"/>
    <mergeCell ref="AI959:AI960"/>
    <mergeCell ref="AJ959:AJ960"/>
    <mergeCell ref="AK959:AK960"/>
    <mergeCell ref="AL959:AL960"/>
    <mergeCell ref="AM959:AM960"/>
    <mergeCell ref="AN959:AN960"/>
    <mergeCell ref="AO959:AO960"/>
    <mergeCell ref="AP959:AP960"/>
    <mergeCell ref="AQ959:AQ960"/>
    <mergeCell ref="T959:U962"/>
    <mergeCell ref="V959:V962"/>
    <mergeCell ref="W959:Y962"/>
    <mergeCell ref="Z959:Z962"/>
    <mergeCell ref="AA959:AB962"/>
    <mergeCell ref="AC959:AE960"/>
    <mergeCell ref="AF959:AF960"/>
    <mergeCell ref="AG959:AG960"/>
    <mergeCell ref="AH959:AH960"/>
    <mergeCell ref="A959:A962"/>
    <mergeCell ref="B959:C962"/>
    <mergeCell ref="E959:F962"/>
    <mergeCell ref="G959:H962"/>
    <mergeCell ref="I959:J962"/>
    <mergeCell ref="L959:L962"/>
    <mergeCell ref="M959:M962"/>
    <mergeCell ref="N959:O962"/>
    <mergeCell ref="R959:S962"/>
    <mergeCell ref="K959:K962"/>
    <mergeCell ref="P959:Q962"/>
    <mergeCell ref="D959:D962"/>
    <mergeCell ref="AR955:AR956"/>
    <mergeCell ref="BC955:BD955"/>
    <mergeCell ref="BR955:BR958"/>
    <mergeCell ref="BS955:BT958"/>
    <mergeCell ref="BU955:BU958"/>
    <mergeCell ref="BV955:BV958"/>
    <mergeCell ref="BW955:BW958"/>
    <mergeCell ref="BC956:BD956"/>
    <mergeCell ref="AC957:AE957"/>
    <mergeCell ref="BC957:BD957"/>
    <mergeCell ref="AC958:AE958"/>
    <mergeCell ref="BC958:BD958"/>
    <mergeCell ref="AI955:AI956"/>
    <mergeCell ref="AJ955:AJ956"/>
    <mergeCell ref="AK955:AK956"/>
    <mergeCell ref="AL955:AL956"/>
    <mergeCell ref="AM955:AM956"/>
    <mergeCell ref="AN955:AN956"/>
    <mergeCell ref="AO955:AO956"/>
    <mergeCell ref="AP955:AP956"/>
    <mergeCell ref="AQ955:AQ956"/>
    <mergeCell ref="T955:U958"/>
    <mergeCell ref="V955:V958"/>
    <mergeCell ref="W955:Y958"/>
    <mergeCell ref="Z955:Z958"/>
    <mergeCell ref="AA955:AB958"/>
    <mergeCell ref="AC955:AE956"/>
    <mergeCell ref="AF955:AF956"/>
    <mergeCell ref="AG955:AG956"/>
    <mergeCell ref="AH955:AH956"/>
    <mergeCell ref="A955:A958"/>
    <mergeCell ref="B955:C958"/>
    <mergeCell ref="E955:F958"/>
    <mergeCell ref="G955:H958"/>
    <mergeCell ref="I955:J958"/>
    <mergeCell ref="L955:L958"/>
    <mergeCell ref="M955:M958"/>
    <mergeCell ref="N955:O958"/>
    <mergeCell ref="R955:S958"/>
    <mergeCell ref="K955:K958"/>
    <mergeCell ref="P955:Q958"/>
    <mergeCell ref="D955:D958"/>
    <mergeCell ref="AR951:AR952"/>
    <mergeCell ref="BC951:BD951"/>
    <mergeCell ref="BR951:BR954"/>
    <mergeCell ref="BS951:BT954"/>
    <mergeCell ref="BU951:BU954"/>
    <mergeCell ref="BV951:BV954"/>
    <mergeCell ref="BW951:BW954"/>
    <mergeCell ref="BC952:BD952"/>
    <mergeCell ref="AC953:AE953"/>
    <mergeCell ref="BC953:BD953"/>
    <mergeCell ref="AC954:AE954"/>
    <mergeCell ref="BC954:BD954"/>
    <mergeCell ref="AI951:AI952"/>
    <mergeCell ref="AJ951:AJ952"/>
    <mergeCell ref="AK951:AK952"/>
    <mergeCell ref="AL951:AL952"/>
    <mergeCell ref="AM951:AM952"/>
    <mergeCell ref="AN951:AN952"/>
    <mergeCell ref="AO951:AO952"/>
    <mergeCell ref="AP951:AP952"/>
    <mergeCell ref="AQ951:AQ952"/>
    <mergeCell ref="T951:U954"/>
    <mergeCell ref="V951:V954"/>
    <mergeCell ref="W951:Y954"/>
    <mergeCell ref="Z951:Z954"/>
    <mergeCell ref="AA951:AB954"/>
    <mergeCell ref="AC951:AE952"/>
    <mergeCell ref="AF951:AF952"/>
    <mergeCell ref="AG951:AG952"/>
    <mergeCell ref="AH951:AH952"/>
    <mergeCell ref="A951:A954"/>
    <mergeCell ref="B951:C954"/>
    <mergeCell ref="E951:F954"/>
    <mergeCell ref="G951:H954"/>
    <mergeCell ref="I951:J954"/>
    <mergeCell ref="L951:L954"/>
    <mergeCell ref="M951:M954"/>
    <mergeCell ref="N951:O954"/>
    <mergeCell ref="R951:S954"/>
    <mergeCell ref="K951:K954"/>
    <mergeCell ref="P951:Q954"/>
    <mergeCell ref="D951:D954"/>
    <mergeCell ref="AR947:AR948"/>
    <mergeCell ref="BC947:BD947"/>
    <mergeCell ref="BR947:BR950"/>
    <mergeCell ref="BS947:BT950"/>
    <mergeCell ref="BU947:BU950"/>
    <mergeCell ref="BV947:BV950"/>
    <mergeCell ref="BW947:BW950"/>
    <mergeCell ref="BC948:BD948"/>
    <mergeCell ref="AC949:AE949"/>
    <mergeCell ref="BC949:BD949"/>
    <mergeCell ref="AC950:AE950"/>
    <mergeCell ref="BC950:BD950"/>
    <mergeCell ref="AI947:AI948"/>
    <mergeCell ref="AJ947:AJ948"/>
    <mergeCell ref="AK947:AK948"/>
    <mergeCell ref="AL947:AL948"/>
    <mergeCell ref="AM947:AM948"/>
    <mergeCell ref="AN947:AN948"/>
    <mergeCell ref="AO947:AO948"/>
    <mergeCell ref="AP947:AP948"/>
    <mergeCell ref="AQ947:AQ948"/>
    <mergeCell ref="T947:U950"/>
    <mergeCell ref="V947:V950"/>
    <mergeCell ref="W947:Y950"/>
    <mergeCell ref="Z947:Z950"/>
    <mergeCell ref="AA947:AB950"/>
    <mergeCell ref="AC947:AE948"/>
    <mergeCell ref="AF947:AF948"/>
    <mergeCell ref="AG947:AG948"/>
    <mergeCell ref="AH947:AH948"/>
    <mergeCell ref="A947:A950"/>
    <mergeCell ref="B947:C950"/>
    <mergeCell ref="E947:F950"/>
    <mergeCell ref="G947:H950"/>
    <mergeCell ref="I947:J950"/>
    <mergeCell ref="L947:L950"/>
    <mergeCell ref="M947:M950"/>
    <mergeCell ref="N947:O950"/>
    <mergeCell ref="R947:S950"/>
    <mergeCell ref="K947:K950"/>
    <mergeCell ref="P947:Q950"/>
    <mergeCell ref="D947:D950"/>
    <mergeCell ref="AR943:AR944"/>
    <mergeCell ref="BC943:BD943"/>
    <mergeCell ref="BR943:BR946"/>
    <mergeCell ref="BS943:BT946"/>
    <mergeCell ref="BU943:BU946"/>
    <mergeCell ref="BV943:BV946"/>
    <mergeCell ref="BW943:BW946"/>
    <mergeCell ref="BC944:BD944"/>
    <mergeCell ref="AC945:AE945"/>
    <mergeCell ref="BC945:BD945"/>
    <mergeCell ref="AC946:AE946"/>
    <mergeCell ref="BC946:BD946"/>
    <mergeCell ref="AI943:AI944"/>
    <mergeCell ref="AJ943:AJ944"/>
    <mergeCell ref="AK943:AK944"/>
    <mergeCell ref="AL943:AL944"/>
    <mergeCell ref="AM943:AM944"/>
    <mergeCell ref="AN943:AN944"/>
    <mergeCell ref="AO943:AO944"/>
    <mergeCell ref="AP943:AP944"/>
    <mergeCell ref="AQ943:AQ944"/>
    <mergeCell ref="T943:U946"/>
    <mergeCell ref="V943:V946"/>
    <mergeCell ref="W943:Y946"/>
    <mergeCell ref="Z943:Z946"/>
    <mergeCell ref="AA943:AB946"/>
    <mergeCell ref="AC943:AE944"/>
    <mergeCell ref="AF943:AF944"/>
    <mergeCell ref="AG943:AG944"/>
    <mergeCell ref="AH943:AH944"/>
    <mergeCell ref="A943:A946"/>
    <mergeCell ref="B943:C946"/>
    <mergeCell ref="E943:F946"/>
    <mergeCell ref="G943:H946"/>
    <mergeCell ref="I943:J946"/>
    <mergeCell ref="L943:L946"/>
    <mergeCell ref="M943:M946"/>
    <mergeCell ref="N943:O946"/>
    <mergeCell ref="R943:S946"/>
    <mergeCell ref="K943:K946"/>
    <mergeCell ref="P943:Q946"/>
    <mergeCell ref="D943:D946"/>
    <mergeCell ref="AR939:AR940"/>
    <mergeCell ref="BC939:BD939"/>
    <mergeCell ref="BR939:BR942"/>
    <mergeCell ref="BS939:BT942"/>
    <mergeCell ref="BU939:BU942"/>
    <mergeCell ref="BV939:BV942"/>
    <mergeCell ref="BW939:BW942"/>
    <mergeCell ref="BC940:BD940"/>
    <mergeCell ref="AC941:AE941"/>
    <mergeCell ref="BC941:BD941"/>
    <mergeCell ref="AC942:AE942"/>
    <mergeCell ref="BC942:BD942"/>
    <mergeCell ref="AI939:AI940"/>
    <mergeCell ref="AJ939:AJ940"/>
    <mergeCell ref="AK939:AK940"/>
    <mergeCell ref="AL939:AL940"/>
    <mergeCell ref="AM939:AM940"/>
    <mergeCell ref="AN939:AN940"/>
    <mergeCell ref="AO939:AO940"/>
    <mergeCell ref="AP939:AP940"/>
    <mergeCell ref="AQ939:AQ940"/>
    <mergeCell ref="T939:U942"/>
    <mergeCell ref="V939:V942"/>
    <mergeCell ref="W939:Y942"/>
    <mergeCell ref="Z939:Z942"/>
    <mergeCell ref="AA939:AB942"/>
    <mergeCell ref="AC939:AE940"/>
    <mergeCell ref="AF939:AF940"/>
    <mergeCell ref="AG939:AG940"/>
    <mergeCell ref="AH939:AH940"/>
    <mergeCell ref="A939:A942"/>
    <mergeCell ref="B939:C942"/>
    <mergeCell ref="E939:F942"/>
    <mergeCell ref="G939:H942"/>
    <mergeCell ref="I939:J942"/>
    <mergeCell ref="L939:L942"/>
    <mergeCell ref="M939:M942"/>
    <mergeCell ref="N939:O942"/>
    <mergeCell ref="R939:S942"/>
    <mergeCell ref="K939:K942"/>
    <mergeCell ref="P939:Q942"/>
    <mergeCell ref="D939:D942"/>
    <mergeCell ref="AR935:AR936"/>
    <mergeCell ref="BC935:BD935"/>
    <mergeCell ref="BR935:BR938"/>
    <mergeCell ref="BS935:BT938"/>
    <mergeCell ref="BU935:BU938"/>
    <mergeCell ref="BV935:BV938"/>
    <mergeCell ref="BW935:BW938"/>
    <mergeCell ref="BC936:BD936"/>
    <mergeCell ref="AC937:AE937"/>
    <mergeCell ref="BC937:BD937"/>
    <mergeCell ref="AC938:AE938"/>
    <mergeCell ref="BC938:BD938"/>
    <mergeCell ref="AI935:AI936"/>
    <mergeCell ref="AJ935:AJ936"/>
    <mergeCell ref="AK935:AK936"/>
    <mergeCell ref="AL935:AL936"/>
    <mergeCell ref="AM935:AM936"/>
    <mergeCell ref="AN935:AN936"/>
    <mergeCell ref="AO935:AO936"/>
    <mergeCell ref="AP935:AP936"/>
    <mergeCell ref="AQ935:AQ936"/>
    <mergeCell ref="T935:U938"/>
    <mergeCell ref="V935:V938"/>
    <mergeCell ref="W935:Y938"/>
    <mergeCell ref="Z935:Z938"/>
    <mergeCell ref="AA935:AB938"/>
    <mergeCell ref="AC935:AE936"/>
    <mergeCell ref="AF935:AF936"/>
    <mergeCell ref="AG935:AG936"/>
    <mergeCell ref="AH935:AH936"/>
    <mergeCell ref="A935:A938"/>
    <mergeCell ref="B935:C938"/>
    <mergeCell ref="E935:F938"/>
    <mergeCell ref="G935:H938"/>
    <mergeCell ref="I935:J938"/>
    <mergeCell ref="L935:L938"/>
    <mergeCell ref="M935:M938"/>
    <mergeCell ref="N935:O938"/>
    <mergeCell ref="R935:S938"/>
    <mergeCell ref="K935:K938"/>
    <mergeCell ref="P935:Q938"/>
    <mergeCell ref="D935:D938"/>
    <mergeCell ref="AR931:AR932"/>
    <mergeCell ref="BC931:BD931"/>
    <mergeCell ref="BR931:BR934"/>
    <mergeCell ref="BS931:BT934"/>
    <mergeCell ref="BU931:BU934"/>
    <mergeCell ref="BV931:BV934"/>
    <mergeCell ref="BW931:BW934"/>
    <mergeCell ref="BC932:BD932"/>
    <mergeCell ref="AC933:AE933"/>
    <mergeCell ref="BC933:BD933"/>
    <mergeCell ref="AC934:AE934"/>
    <mergeCell ref="BC934:BD934"/>
    <mergeCell ref="AI931:AI932"/>
    <mergeCell ref="AJ931:AJ932"/>
    <mergeCell ref="AK931:AK932"/>
    <mergeCell ref="AL931:AL932"/>
    <mergeCell ref="AM931:AM932"/>
    <mergeCell ref="AN931:AN932"/>
    <mergeCell ref="AO931:AO932"/>
    <mergeCell ref="AP931:AP932"/>
    <mergeCell ref="AQ931:AQ932"/>
    <mergeCell ref="T931:U934"/>
    <mergeCell ref="V931:V934"/>
    <mergeCell ref="W931:Y934"/>
    <mergeCell ref="Z931:Z934"/>
    <mergeCell ref="AA931:AB934"/>
    <mergeCell ref="AC931:AE932"/>
    <mergeCell ref="AF931:AF932"/>
    <mergeCell ref="AG931:AG932"/>
    <mergeCell ref="AH931:AH932"/>
    <mergeCell ref="A931:A934"/>
    <mergeCell ref="B931:C934"/>
    <mergeCell ref="E931:F934"/>
    <mergeCell ref="G931:H934"/>
    <mergeCell ref="I931:J934"/>
    <mergeCell ref="L931:L934"/>
    <mergeCell ref="M931:M934"/>
    <mergeCell ref="N931:O934"/>
    <mergeCell ref="R931:S934"/>
    <mergeCell ref="K931:K934"/>
    <mergeCell ref="P931:Q934"/>
    <mergeCell ref="D931:D934"/>
    <mergeCell ref="AR927:AR928"/>
    <mergeCell ref="BC927:BD927"/>
    <mergeCell ref="BR927:BR930"/>
    <mergeCell ref="BS927:BT930"/>
    <mergeCell ref="BU927:BU930"/>
    <mergeCell ref="BV927:BV930"/>
    <mergeCell ref="BW927:BW930"/>
    <mergeCell ref="BC928:BD928"/>
    <mergeCell ref="AC929:AE929"/>
    <mergeCell ref="BC929:BD929"/>
    <mergeCell ref="AC930:AE930"/>
    <mergeCell ref="BC930:BD930"/>
    <mergeCell ref="AI927:AI928"/>
    <mergeCell ref="AJ927:AJ928"/>
    <mergeCell ref="AK927:AK928"/>
    <mergeCell ref="AL927:AL928"/>
    <mergeCell ref="AM927:AM928"/>
    <mergeCell ref="AN927:AN928"/>
    <mergeCell ref="AO927:AO928"/>
    <mergeCell ref="AP927:AP928"/>
    <mergeCell ref="AQ927:AQ928"/>
    <mergeCell ref="T927:U930"/>
    <mergeCell ref="V927:V930"/>
    <mergeCell ref="W927:Y930"/>
    <mergeCell ref="Z927:Z930"/>
    <mergeCell ref="AA927:AB930"/>
    <mergeCell ref="AC927:AE928"/>
    <mergeCell ref="AF927:AF928"/>
    <mergeCell ref="AG927:AG928"/>
    <mergeCell ref="AH927:AH928"/>
    <mergeCell ref="A927:A930"/>
    <mergeCell ref="B927:C930"/>
    <mergeCell ref="E927:F930"/>
    <mergeCell ref="G927:H930"/>
    <mergeCell ref="I927:J930"/>
    <mergeCell ref="L927:L930"/>
    <mergeCell ref="M927:M930"/>
    <mergeCell ref="N927:O930"/>
    <mergeCell ref="R927:S930"/>
    <mergeCell ref="K927:K930"/>
    <mergeCell ref="P927:Q930"/>
    <mergeCell ref="D927:D930"/>
    <mergeCell ref="AR923:AR924"/>
    <mergeCell ref="BC923:BD923"/>
    <mergeCell ref="BR923:BR926"/>
    <mergeCell ref="BS923:BT926"/>
    <mergeCell ref="BU923:BU926"/>
    <mergeCell ref="BV923:BV926"/>
    <mergeCell ref="BW923:BW926"/>
    <mergeCell ref="BC924:BD924"/>
    <mergeCell ref="AC925:AE925"/>
    <mergeCell ref="BC925:BD925"/>
    <mergeCell ref="AC926:AE926"/>
    <mergeCell ref="BC926:BD926"/>
    <mergeCell ref="AI923:AI924"/>
    <mergeCell ref="AJ923:AJ924"/>
    <mergeCell ref="AK923:AK924"/>
    <mergeCell ref="AL923:AL924"/>
    <mergeCell ref="AM923:AM924"/>
    <mergeCell ref="AN923:AN924"/>
    <mergeCell ref="AO923:AO924"/>
    <mergeCell ref="AP923:AP924"/>
    <mergeCell ref="AQ923:AQ924"/>
    <mergeCell ref="T923:U926"/>
    <mergeCell ref="V923:V926"/>
    <mergeCell ref="W923:Y926"/>
    <mergeCell ref="Z923:Z926"/>
    <mergeCell ref="AA923:AB926"/>
    <mergeCell ref="AC923:AE924"/>
    <mergeCell ref="AF923:AF924"/>
    <mergeCell ref="AG923:AG924"/>
    <mergeCell ref="AH923:AH924"/>
    <mergeCell ref="A923:A926"/>
    <mergeCell ref="B923:C926"/>
    <mergeCell ref="E923:F926"/>
    <mergeCell ref="G923:H926"/>
    <mergeCell ref="I923:J926"/>
    <mergeCell ref="L923:L926"/>
    <mergeCell ref="M923:M926"/>
    <mergeCell ref="N923:O926"/>
    <mergeCell ref="R923:S926"/>
    <mergeCell ref="K923:K926"/>
    <mergeCell ref="P923:Q926"/>
    <mergeCell ref="D923:D926"/>
    <mergeCell ref="AR919:AR920"/>
    <mergeCell ref="BC919:BD919"/>
    <mergeCell ref="BR919:BR922"/>
    <mergeCell ref="BS919:BT922"/>
    <mergeCell ref="BU919:BU922"/>
    <mergeCell ref="BV919:BV922"/>
    <mergeCell ref="BW919:BW922"/>
    <mergeCell ref="BC920:BD920"/>
    <mergeCell ref="AC921:AE921"/>
    <mergeCell ref="BC921:BD921"/>
    <mergeCell ref="AC922:AE922"/>
    <mergeCell ref="BC922:BD922"/>
    <mergeCell ref="AI919:AI920"/>
    <mergeCell ref="AJ919:AJ920"/>
    <mergeCell ref="AK919:AK920"/>
    <mergeCell ref="AL919:AL920"/>
    <mergeCell ref="AM919:AM920"/>
    <mergeCell ref="AN919:AN920"/>
    <mergeCell ref="AO919:AO920"/>
    <mergeCell ref="AP919:AP920"/>
    <mergeCell ref="AQ919:AQ920"/>
    <mergeCell ref="T919:U922"/>
    <mergeCell ref="V919:V922"/>
    <mergeCell ref="W919:Y922"/>
    <mergeCell ref="Z919:Z922"/>
    <mergeCell ref="AA919:AB922"/>
    <mergeCell ref="AC919:AE920"/>
    <mergeCell ref="AF919:AF920"/>
    <mergeCell ref="AG919:AG920"/>
    <mergeCell ref="AH919:AH920"/>
    <mergeCell ref="A919:A922"/>
    <mergeCell ref="B919:C922"/>
    <mergeCell ref="E919:F922"/>
    <mergeCell ref="G919:H922"/>
    <mergeCell ref="I919:J922"/>
    <mergeCell ref="L919:L922"/>
    <mergeCell ref="M919:M922"/>
    <mergeCell ref="N919:O922"/>
    <mergeCell ref="R919:S922"/>
    <mergeCell ref="K919:K922"/>
    <mergeCell ref="P919:Q922"/>
    <mergeCell ref="D919:D922"/>
    <mergeCell ref="AR915:AR916"/>
    <mergeCell ref="BC915:BD915"/>
    <mergeCell ref="BR915:BR918"/>
    <mergeCell ref="BS915:BT918"/>
    <mergeCell ref="BU915:BU918"/>
    <mergeCell ref="BV915:BV918"/>
    <mergeCell ref="BW915:BW918"/>
    <mergeCell ref="BC916:BD916"/>
    <mergeCell ref="AC917:AE917"/>
    <mergeCell ref="BC917:BD917"/>
    <mergeCell ref="AC918:AE918"/>
    <mergeCell ref="BC918:BD918"/>
    <mergeCell ref="AI915:AI916"/>
    <mergeCell ref="AJ915:AJ916"/>
    <mergeCell ref="AK915:AK916"/>
    <mergeCell ref="AL915:AL916"/>
    <mergeCell ref="AM915:AM916"/>
    <mergeCell ref="AN915:AN916"/>
    <mergeCell ref="AO915:AO916"/>
    <mergeCell ref="AP915:AP916"/>
    <mergeCell ref="AQ915:AQ916"/>
    <mergeCell ref="T915:U918"/>
    <mergeCell ref="V915:V918"/>
    <mergeCell ref="W915:Y918"/>
    <mergeCell ref="Z915:Z918"/>
    <mergeCell ref="AA915:AB918"/>
    <mergeCell ref="AC915:AE916"/>
    <mergeCell ref="AF915:AF916"/>
    <mergeCell ref="AG915:AG916"/>
    <mergeCell ref="AH915:AH916"/>
    <mergeCell ref="A915:A918"/>
    <mergeCell ref="B915:C918"/>
    <mergeCell ref="E915:F918"/>
    <mergeCell ref="G915:H918"/>
    <mergeCell ref="I915:J918"/>
    <mergeCell ref="L915:L918"/>
    <mergeCell ref="M915:M918"/>
    <mergeCell ref="N915:O918"/>
    <mergeCell ref="R915:S918"/>
    <mergeCell ref="K915:K918"/>
    <mergeCell ref="P915:Q918"/>
    <mergeCell ref="D915:D918"/>
    <mergeCell ref="AR911:AR912"/>
    <mergeCell ref="BC911:BD911"/>
    <mergeCell ref="BR911:BR914"/>
    <mergeCell ref="BS911:BT914"/>
    <mergeCell ref="BU911:BU914"/>
    <mergeCell ref="BV911:BV914"/>
    <mergeCell ref="BW911:BW914"/>
    <mergeCell ref="BC912:BD912"/>
    <mergeCell ref="AC913:AE913"/>
    <mergeCell ref="BC913:BD913"/>
    <mergeCell ref="AC914:AE914"/>
    <mergeCell ref="BC914:BD914"/>
    <mergeCell ref="AI911:AI912"/>
    <mergeCell ref="AJ911:AJ912"/>
    <mergeCell ref="AK911:AK912"/>
    <mergeCell ref="AL911:AL912"/>
    <mergeCell ref="AM911:AM912"/>
    <mergeCell ref="AN911:AN912"/>
    <mergeCell ref="AO911:AO912"/>
    <mergeCell ref="AP911:AP912"/>
    <mergeCell ref="AQ911:AQ912"/>
    <mergeCell ref="T911:U914"/>
    <mergeCell ref="V911:V914"/>
    <mergeCell ref="W911:Y914"/>
    <mergeCell ref="Z911:Z914"/>
    <mergeCell ref="AA911:AB914"/>
    <mergeCell ref="AC911:AE912"/>
    <mergeCell ref="AF911:AF912"/>
    <mergeCell ref="AG911:AG912"/>
    <mergeCell ref="AH911:AH912"/>
    <mergeCell ref="A911:A914"/>
    <mergeCell ref="B911:C914"/>
    <mergeCell ref="E911:F914"/>
    <mergeCell ref="G911:H914"/>
    <mergeCell ref="I911:J914"/>
    <mergeCell ref="L911:L914"/>
    <mergeCell ref="M911:M914"/>
    <mergeCell ref="N911:O914"/>
    <mergeCell ref="R911:S914"/>
    <mergeCell ref="K911:K914"/>
    <mergeCell ref="P911:Q914"/>
    <mergeCell ref="D911:D914"/>
    <mergeCell ref="AR907:AR908"/>
    <mergeCell ref="BC907:BD907"/>
    <mergeCell ref="BR907:BR910"/>
    <mergeCell ref="BS907:BT910"/>
    <mergeCell ref="BU907:BU910"/>
    <mergeCell ref="BV907:BV910"/>
    <mergeCell ref="BW907:BW910"/>
    <mergeCell ref="BC908:BD908"/>
    <mergeCell ref="AC909:AE909"/>
    <mergeCell ref="BC909:BD909"/>
    <mergeCell ref="AC910:AE910"/>
    <mergeCell ref="BC910:BD910"/>
    <mergeCell ref="AI907:AI908"/>
    <mergeCell ref="AJ907:AJ908"/>
    <mergeCell ref="AK907:AK908"/>
    <mergeCell ref="AL907:AL908"/>
    <mergeCell ref="AM907:AM908"/>
    <mergeCell ref="AN907:AN908"/>
    <mergeCell ref="AO907:AO908"/>
    <mergeCell ref="AP907:AP908"/>
    <mergeCell ref="AQ907:AQ908"/>
    <mergeCell ref="T907:U910"/>
    <mergeCell ref="V907:V910"/>
    <mergeCell ref="W907:Y910"/>
    <mergeCell ref="Z907:Z910"/>
    <mergeCell ref="AA907:AB910"/>
    <mergeCell ref="AC907:AE908"/>
    <mergeCell ref="AF907:AF908"/>
    <mergeCell ref="AG907:AG908"/>
    <mergeCell ref="AH907:AH908"/>
    <mergeCell ref="A907:A910"/>
    <mergeCell ref="B907:C910"/>
    <mergeCell ref="E907:F910"/>
    <mergeCell ref="G907:H910"/>
    <mergeCell ref="I907:J910"/>
    <mergeCell ref="L907:L910"/>
    <mergeCell ref="M907:M910"/>
    <mergeCell ref="N907:O910"/>
    <mergeCell ref="R907:S910"/>
    <mergeCell ref="K907:K910"/>
    <mergeCell ref="P907:Q910"/>
    <mergeCell ref="D907:D910"/>
    <mergeCell ref="AR903:AR904"/>
    <mergeCell ref="BC903:BD903"/>
    <mergeCell ref="BR903:BR906"/>
    <mergeCell ref="BS903:BT906"/>
    <mergeCell ref="BU903:BU906"/>
    <mergeCell ref="BV903:BV906"/>
    <mergeCell ref="BW903:BW906"/>
    <mergeCell ref="BC904:BD904"/>
    <mergeCell ref="AC905:AE905"/>
    <mergeCell ref="BC905:BD905"/>
    <mergeCell ref="AC906:AE906"/>
    <mergeCell ref="BC906:BD906"/>
    <mergeCell ref="AI903:AI904"/>
    <mergeCell ref="AJ903:AJ904"/>
    <mergeCell ref="AK903:AK904"/>
    <mergeCell ref="AL903:AL904"/>
    <mergeCell ref="AM903:AM904"/>
    <mergeCell ref="AN903:AN904"/>
    <mergeCell ref="AO903:AO904"/>
    <mergeCell ref="AP903:AP904"/>
    <mergeCell ref="AQ903:AQ904"/>
    <mergeCell ref="T903:U906"/>
    <mergeCell ref="V903:V906"/>
    <mergeCell ref="W903:Y906"/>
    <mergeCell ref="Z903:Z906"/>
    <mergeCell ref="AA903:AB906"/>
    <mergeCell ref="AC903:AE904"/>
    <mergeCell ref="AF903:AF904"/>
    <mergeCell ref="AG903:AG904"/>
    <mergeCell ref="AH903:AH904"/>
    <mergeCell ref="A903:A906"/>
    <mergeCell ref="B903:C906"/>
    <mergeCell ref="E903:F906"/>
    <mergeCell ref="G903:H906"/>
    <mergeCell ref="I903:J906"/>
    <mergeCell ref="L903:L906"/>
    <mergeCell ref="M903:M906"/>
    <mergeCell ref="N903:O906"/>
    <mergeCell ref="R903:S906"/>
    <mergeCell ref="K903:K906"/>
    <mergeCell ref="P903:Q906"/>
    <mergeCell ref="D903:D906"/>
    <mergeCell ref="AR899:AR900"/>
    <mergeCell ref="BC899:BD899"/>
    <mergeCell ref="BR899:BR902"/>
    <mergeCell ref="BS899:BT902"/>
    <mergeCell ref="BU899:BU902"/>
    <mergeCell ref="BV899:BV902"/>
    <mergeCell ref="BW899:BW902"/>
    <mergeCell ref="BC900:BD900"/>
    <mergeCell ref="AC901:AE901"/>
    <mergeCell ref="BC901:BD901"/>
    <mergeCell ref="AC902:AE902"/>
    <mergeCell ref="BC902:BD902"/>
    <mergeCell ref="AI899:AI900"/>
    <mergeCell ref="AJ899:AJ900"/>
    <mergeCell ref="AK899:AK900"/>
    <mergeCell ref="AL899:AL900"/>
    <mergeCell ref="AM899:AM900"/>
    <mergeCell ref="AN899:AN900"/>
    <mergeCell ref="AO899:AO900"/>
    <mergeCell ref="AP899:AP900"/>
    <mergeCell ref="AQ899:AQ900"/>
    <mergeCell ref="T899:U902"/>
    <mergeCell ref="V899:V902"/>
    <mergeCell ref="W899:Y902"/>
    <mergeCell ref="Z899:Z902"/>
    <mergeCell ref="AA899:AB902"/>
    <mergeCell ref="AC899:AE900"/>
    <mergeCell ref="AF899:AF900"/>
    <mergeCell ref="AG899:AG900"/>
    <mergeCell ref="AH899:AH900"/>
    <mergeCell ref="A899:A902"/>
    <mergeCell ref="B899:C902"/>
    <mergeCell ref="E899:F902"/>
    <mergeCell ref="G899:H902"/>
    <mergeCell ref="I899:J902"/>
    <mergeCell ref="L899:L902"/>
    <mergeCell ref="M899:M902"/>
    <mergeCell ref="N899:O902"/>
    <mergeCell ref="R899:S902"/>
    <mergeCell ref="K899:K902"/>
    <mergeCell ref="P899:Q902"/>
    <mergeCell ref="D899:D902"/>
    <mergeCell ref="AR895:AR896"/>
    <mergeCell ref="BC895:BD895"/>
    <mergeCell ref="BR895:BR898"/>
    <mergeCell ref="BS895:BT898"/>
    <mergeCell ref="BU895:BU898"/>
    <mergeCell ref="BV895:BV898"/>
    <mergeCell ref="BW895:BW898"/>
    <mergeCell ref="BC896:BD896"/>
    <mergeCell ref="AC897:AE897"/>
    <mergeCell ref="BC897:BD897"/>
    <mergeCell ref="AC898:AE898"/>
    <mergeCell ref="BC898:BD898"/>
    <mergeCell ref="AI895:AI896"/>
    <mergeCell ref="AJ895:AJ896"/>
    <mergeCell ref="AK895:AK896"/>
    <mergeCell ref="AL895:AL896"/>
    <mergeCell ref="AM895:AM896"/>
    <mergeCell ref="AN895:AN896"/>
    <mergeCell ref="AO895:AO896"/>
    <mergeCell ref="AP895:AP896"/>
    <mergeCell ref="AQ895:AQ896"/>
    <mergeCell ref="T895:U898"/>
    <mergeCell ref="V895:V898"/>
    <mergeCell ref="W895:Y898"/>
    <mergeCell ref="Z895:Z898"/>
    <mergeCell ref="AA895:AB898"/>
    <mergeCell ref="AC895:AE896"/>
    <mergeCell ref="AF895:AF896"/>
    <mergeCell ref="AG895:AG896"/>
    <mergeCell ref="AH895:AH896"/>
    <mergeCell ref="A895:A898"/>
    <mergeCell ref="B895:C898"/>
    <mergeCell ref="E895:F898"/>
    <mergeCell ref="G895:H898"/>
    <mergeCell ref="I895:J898"/>
    <mergeCell ref="L895:L898"/>
    <mergeCell ref="M895:M898"/>
    <mergeCell ref="N895:O898"/>
    <mergeCell ref="R895:S898"/>
    <mergeCell ref="K895:K898"/>
    <mergeCell ref="P895:Q898"/>
    <mergeCell ref="D895:D898"/>
    <mergeCell ref="AR891:AR892"/>
    <mergeCell ref="BC891:BD891"/>
    <mergeCell ref="BR891:BR894"/>
    <mergeCell ref="BS891:BT894"/>
    <mergeCell ref="BU891:BU894"/>
    <mergeCell ref="BV891:BV894"/>
    <mergeCell ref="BW891:BW894"/>
    <mergeCell ref="BC892:BD892"/>
    <mergeCell ref="AC893:AE893"/>
    <mergeCell ref="BC893:BD893"/>
    <mergeCell ref="AC894:AE894"/>
    <mergeCell ref="BC894:BD894"/>
    <mergeCell ref="AI891:AI892"/>
    <mergeCell ref="AJ891:AJ892"/>
    <mergeCell ref="AK891:AK892"/>
    <mergeCell ref="AL891:AL892"/>
    <mergeCell ref="AM891:AM892"/>
    <mergeCell ref="AN891:AN892"/>
    <mergeCell ref="AO891:AO892"/>
    <mergeCell ref="AP891:AP892"/>
    <mergeCell ref="AQ891:AQ892"/>
    <mergeCell ref="T891:U894"/>
    <mergeCell ref="V891:V894"/>
    <mergeCell ref="W891:Y894"/>
    <mergeCell ref="Z891:Z894"/>
    <mergeCell ref="AA891:AB894"/>
    <mergeCell ref="AC891:AE892"/>
    <mergeCell ref="AF891:AF892"/>
    <mergeCell ref="AG891:AG892"/>
    <mergeCell ref="AH891:AH892"/>
    <mergeCell ref="A891:A894"/>
    <mergeCell ref="B891:C894"/>
    <mergeCell ref="E891:F894"/>
    <mergeCell ref="G891:H894"/>
    <mergeCell ref="I891:J894"/>
    <mergeCell ref="L891:L894"/>
    <mergeCell ref="M891:M894"/>
    <mergeCell ref="N891:O894"/>
    <mergeCell ref="R891:S894"/>
    <mergeCell ref="K891:K894"/>
    <mergeCell ref="P891:Q894"/>
    <mergeCell ref="D891:D894"/>
    <mergeCell ref="AR887:AR888"/>
    <mergeCell ref="BC887:BD887"/>
    <mergeCell ref="BR887:BR890"/>
    <mergeCell ref="BS887:BT890"/>
    <mergeCell ref="BU887:BU890"/>
    <mergeCell ref="BV887:BV890"/>
    <mergeCell ref="BW887:BW890"/>
    <mergeCell ref="BC888:BD888"/>
    <mergeCell ref="AC889:AE889"/>
    <mergeCell ref="BC889:BD889"/>
    <mergeCell ref="AC890:AE890"/>
    <mergeCell ref="BC890:BD890"/>
    <mergeCell ref="AI887:AI888"/>
    <mergeCell ref="AJ887:AJ888"/>
    <mergeCell ref="AK887:AK888"/>
    <mergeCell ref="AL887:AL888"/>
    <mergeCell ref="AM887:AM888"/>
    <mergeCell ref="AN887:AN888"/>
    <mergeCell ref="AO887:AO888"/>
    <mergeCell ref="AP887:AP888"/>
    <mergeCell ref="AQ887:AQ888"/>
    <mergeCell ref="T887:U890"/>
    <mergeCell ref="V887:V890"/>
    <mergeCell ref="W887:Y890"/>
    <mergeCell ref="Z887:Z890"/>
    <mergeCell ref="AA887:AB890"/>
    <mergeCell ref="AC887:AE888"/>
    <mergeCell ref="AF887:AF888"/>
    <mergeCell ref="AG887:AG888"/>
    <mergeCell ref="AH887:AH888"/>
    <mergeCell ref="A887:A890"/>
    <mergeCell ref="B887:C890"/>
    <mergeCell ref="E887:F890"/>
    <mergeCell ref="G887:H890"/>
    <mergeCell ref="I887:J890"/>
    <mergeCell ref="L887:L890"/>
    <mergeCell ref="M887:M890"/>
    <mergeCell ref="N887:O890"/>
    <mergeCell ref="R887:S890"/>
    <mergeCell ref="K887:K890"/>
    <mergeCell ref="P887:Q890"/>
    <mergeCell ref="D887:D890"/>
    <mergeCell ref="AR883:AR884"/>
    <mergeCell ref="BC883:BD883"/>
    <mergeCell ref="BR883:BR886"/>
    <mergeCell ref="BS883:BT886"/>
    <mergeCell ref="BU883:BU886"/>
    <mergeCell ref="BV883:BV886"/>
    <mergeCell ref="BW883:BW886"/>
    <mergeCell ref="BC884:BD884"/>
    <mergeCell ref="AC885:AE885"/>
    <mergeCell ref="BC885:BD885"/>
    <mergeCell ref="AC886:AE886"/>
    <mergeCell ref="BC886:BD886"/>
    <mergeCell ref="AI883:AI884"/>
    <mergeCell ref="AJ883:AJ884"/>
    <mergeCell ref="AK883:AK884"/>
    <mergeCell ref="AL883:AL884"/>
    <mergeCell ref="AM883:AM884"/>
    <mergeCell ref="AN883:AN884"/>
    <mergeCell ref="AO883:AO884"/>
    <mergeCell ref="AP883:AP884"/>
    <mergeCell ref="AQ883:AQ884"/>
    <mergeCell ref="T883:U886"/>
    <mergeCell ref="V883:V886"/>
    <mergeCell ref="W883:Y886"/>
    <mergeCell ref="Z883:Z886"/>
    <mergeCell ref="AA883:AB886"/>
    <mergeCell ref="AC883:AE884"/>
    <mergeCell ref="AF883:AF884"/>
    <mergeCell ref="AG883:AG884"/>
    <mergeCell ref="AH883:AH884"/>
    <mergeCell ref="A883:A886"/>
    <mergeCell ref="B883:C886"/>
    <mergeCell ref="E883:F886"/>
    <mergeCell ref="G883:H886"/>
    <mergeCell ref="I883:J886"/>
    <mergeCell ref="L883:L886"/>
    <mergeCell ref="M883:M886"/>
    <mergeCell ref="N883:O886"/>
    <mergeCell ref="R883:S886"/>
    <mergeCell ref="K883:K886"/>
    <mergeCell ref="P883:Q886"/>
    <mergeCell ref="D883:D886"/>
    <mergeCell ref="AR879:AR880"/>
    <mergeCell ref="BC879:BD879"/>
    <mergeCell ref="BR879:BR882"/>
    <mergeCell ref="BS879:BT882"/>
    <mergeCell ref="BU879:BU882"/>
    <mergeCell ref="BV879:BV882"/>
    <mergeCell ref="BW879:BW882"/>
    <mergeCell ref="BC880:BD880"/>
    <mergeCell ref="AC881:AE881"/>
    <mergeCell ref="BC881:BD881"/>
    <mergeCell ref="AC882:AE882"/>
    <mergeCell ref="BC882:BD882"/>
    <mergeCell ref="AI879:AI880"/>
    <mergeCell ref="AJ879:AJ880"/>
    <mergeCell ref="AK879:AK880"/>
    <mergeCell ref="AL879:AL880"/>
    <mergeCell ref="AM879:AM880"/>
    <mergeCell ref="AN879:AN880"/>
    <mergeCell ref="AO879:AO880"/>
    <mergeCell ref="AP879:AP880"/>
    <mergeCell ref="AQ879:AQ880"/>
    <mergeCell ref="T879:U882"/>
    <mergeCell ref="V879:V882"/>
    <mergeCell ref="W879:Y882"/>
    <mergeCell ref="Z879:Z882"/>
    <mergeCell ref="AA879:AB882"/>
    <mergeCell ref="AC879:AE880"/>
    <mergeCell ref="AF879:AF880"/>
    <mergeCell ref="AG879:AG880"/>
    <mergeCell ref="AH879:AH880"/>
    <mergeCell ref="A879:A882"/>
    <mergeCell ref="B879:C882"/>
    <mergeCell ref="E879:F882"/>
    <mergeCell ref="G879:H882"/>
    <mergeCell ref="I879:J882"/>
    <mergeCell ref="L879:L882"/>
    <mergeCell ref="M879:M882"/>
    <mergeCell ref="N879:O882"/>
    <mergeCell ref="R879:S882"/>
    <mergeCell ref="K879:K882"/>
    <mergeCell ref="P879:Q882"/>
    <mergeCell ref="D879:D882"/>
    <mergeCell ref="AR875:AR876"/>
    <mergeCell ref="BC875:BD875"/>
    <mergeCell ref="BR875:BR878"/>
    <mergeCell ref="BS875:BT878"/>
    <mergeCell ref="BU875:BU878"/>
    <mergeCell ref="BV875:BV878"/>
    <mergeCell ref="BW875:BW878"/>
    <mergeCell ref="BC876:BD876"/>
    <mergeCell ref="AC877:AE877"/>
    <mergeCell ref="BC877:BD877"/>
    <mergeCell ref="AC878:AE878"/>
    <mergeCell ref="BC878:BD878"/>
    <mergeCell ref="AI875:AI876"/>
    <mergeCell ref="AJ875:AJ876"/>
    <mergeCell ref="AK875:AK876"/>
    <mergeCell ref="AL875:AL876"/>
    <mergeCell ref="AM875:AM876"/>
    <mergeCell ref="AN875:AN876"/>
    <mergeCell ref="AO875:AO876"/>
    <mergeCell ref="AP875:AP876"/>
    <mergeCell ref="AQ875:AQ876"/>
    <mergeCell ref="T875:U878"/>
    <mergeCell ref="V875:V878"/>
    <mergeCell ref="W875:Y878"/>
    <mergeCell ref="Z875:Z878"/>
    <mergeCell ref="AA875:AB878"/>
    <mergeCell ref="AC875:AE876"/>
    <mergeCell ref="AF875:AF876"/>
    <mergeCell ref="AG875:AG876"/>
    <mergeCell ref="AH875:AH876"/>
    <mergeCell ref="A875:A878"/>
    <mergeCell ref="B875:C878"/>
    <mergeCell ref="E875:F878"/>
    <mergeCell ref="G875:H878"/>
    <mergeCell ref="I875:J878"/>
    <mergeCell ref="L875:L878"/>
    <mergeCell ref="M875:M878"/>
    <mergeCell ref="N875:O878"/>
    <mergeCell ref="R875:S878"/>
    <mergeCell ref="K875:K878"/>
    <mergeCell ref="P875:Q878"/>
    <mergeCell ref="D875:D878"/>
    <mergeCell ref="AR871:AR872"/>
    <mergeCell ref="BC871:BD871"/>
    <mergeCell ref="BR871:BR874"/>
    <mergeCell ref="BS871:BT874"/>
    <mergeCell ref="BU871:BU874"/>
    <mergeCell ref="BV871:BV874"/>
    <mergeCell ref="BW871:BW874"/>
    <mergeCell ref="BC872:BD872"/>
    <mergeCell ref="AC873:AE873"/>
    <mergeCell ref="BC873:BD873"/>
    <mergeCell ref="AC874:AE874"/>
    <mergeCell ref="BC874:BD874"/>
    <mergeCell ref="AI871:AI872"/>
    <mergeCell ref="AJ871:AJ872"/>
    <mergeCell ref="AK871:AK872"/>
    <mergeCell ref="AL871:AL872"/>
    <mergeCell ref="AM871:AM872"/>
    <mergeCell ref="AN871:AN872"/>
    <mergeCell ref="AO871:AO872"/>
    <mergeCell ref="AP871:AP872"/>
    <mergeCell ref="AQ871:AQ872"/>
    <mergeCell ref="T871:U874"/>
    <mergeCell ref="V871:V874"/>
    <mergeCell ref="W871:Y874"/>
    <mergeCell ref="Z871:Z874"/>
    <mergeCell ref="AA871:AB874"/>
    <mergeCell ref="AC871:AE872"/>
    <mergeCell ref="AF871:AF872"/>
    <mergeCell ref="AG871:AG872"/>
    <mergeCell ref="AH871:AH872"/>
    <mergeCell ref="A871:A874"/>
    <mergeCell ref="B871:C874"/>
    <mergeCell ref="E871:F874"/>
    <mergeCell ref="G871:H874"/>
    <mergeCell ref="I871:J874"/>
    <mergeCell ref="L871:L874"/>
    <mergeCell ref="M871:M874"/>
    <mergeCell ref="N871:O874"/>
    <mergeCell ref="R871:S874"/>
    <mergeCell ref="K871:K874"/>
    <mergeCell ref="P871:Q874"/>
    <mergeCell ref="D871:D874"/>
    <mergeCell ref="AR867:AR868"/>
    <mergeCell ref="BC867:BD867"/>
    <mergeCell ref="BR867:BR870"/>
    <mergeCell ref="BS867:BT870"/>
    <mergeCell ref="BU867:BU870"/>
    <mergeCell ref="BV867:BV870"/>
    <mergeCell ref="BW867:BW870"/>
    <mergeCell ref="BC868:BD868"/>
    <mergeCell ref="AC869:AE869"/>
    <mergeCell ref="BC869:BD869"/>
    <mergeCell ref="AC870:AE870"/>
    <mergeCell ref="BC870:BD870"/>
    <mergeCell ref="AI867:AI868"/>
    <mergeCell ref="AJ867:AJ868"/>
    <mergeCell ref="AK867:AK868"/>
    <mergeCell ref="AL867:AL868"/>
    <mergeCell ref="AM867:AM868"/>
    <mergeCell ref="AN867:AN868"/>
    <mergeCell ref="AO867:AO868"/>
    <mergeCell ref="AP867:AP868"/>
    <mergeCell ref="AQ867:AQ868"/>
    <mergeCell ref="T867:U870"/>
    <mergeCell ref="V867:V870"/>
    <mergeCell ref="W867:Y870"/>
    <mergeCell ref="Z867:Z870"/>
    <mergeCell ref="AA867:AB870"/>
    <mergeCell ref="AC867:AE868"/>
    <mergeCell ref="AF867:AF868"/>
    <mergeCell ref="AG867:AG868"/>
    <mergeCell ref="AH867:AH868"/>
    <mergeCell ref="A867:A870"/>
    <mergeCell ref="B867:C870"/>
    <mergeCell ref="E867:F870"/>
    <mergeCell ref="G867:H870"/>
    <mergeCell ref="I867:J870"/>
    <mergeCell ref="L867:L870"/>
    <mergeCell ref="M867:M870"/>
    <mergeCell ref="N867:O870"/>
    <mergeCell ref="R867:S870"/>
    <mergeCell ref="K867:K870"/>
    <mergeCell ref="P867:Q870"/>
    <mergeCell ref="D867:D870"/>
    <mergeCell ref="AR863:AR864"/>
    <mergeCell ref="BC863:BD863"/>
    <mergeCell ref="BR863:BR866"/>
    <mergeCell ref="BS863:BT866"/>
    <mergeCell ref="BU863:BU866"/>
    <mergeCell ref="BV863:BV866"/>
    <mergeCell ref="BW863:BW866"/>
    <mergeCell ref="BC864:BD864"/>
    <mergeCell ref="AC865:AE865"/>
    <mergeCell ref="BC865:BD865"/>
    <mergeCell ref="AC866:AE866"/>
    <mergeCell ref="BC866:BD866"/>
    <mergeCell ref="AI863:AI864"/>
    <mergeCell ref="AJ863:AJ864"/>
    <mergeCell ref="AK863:AK864"/>
    <mergeCell ref="AL863:AL864"/>
    <mergeCell ref="AM863:AM864"/>
    <mergeCell ref="AN863:AN864"/>
    <mergeCell ref="AO863:AO864"/>
    <mergeCell ref="AP863:AP864"/>
    <mergeCell ref="AQ863:AQ864"/>
    <mergeCell ref="T863:U866"/>
    <mergeCell ref="V863:V866"/>
    <mergeCell ref="W863:Y866"/>
    <mergeCell ref="Z863:Z866"/>
    <mergeCell ref="AA863:AB866"/>
    <mergeCell ref="AC863:AE864"/>
    <mergeCell ref="AF863:AF864"/>
    <mergeCell ref="AG863:AG864"/>
    <mergeCell ref="AH863:AH864"/>
    <mergeCell ref="A863:A866"/>
    <mergeCell ref="B863:C866"/>
    <mergeCell ref="E863:F866"/>
    <mergeCell ref="G863:H866"/>
    <mergeCell ref="I863:J866"/>
    <mergeCell ref="L863:L866"/>
    <mergeCell ref="M863:M866"/>
    <mergeCell ref="N863:O866"/>
    <mergeCell ref="R863:S866"/>
    <mergeCell ref="K863:K866"/>
    <mergeCell ref="P863:Q866"/>
    <mergeCell ref="D863:D866"/>
    <mergeCell ref="AR859:AR860"/>
    <mergeCell ref="BC859:BD859"/>
    <mergeCell ref="BR859:BR862"/>
    <mergeCell ref="BS859:BT862"/>
    <mergeCell ref="BU859:BU862"/>
    <mergeCell ref="BV859:BV862"/>
    <mergeCell ref="BW859:BW862"/>
    <mergeCell ref="BC860:BD860"/>
    <mergeCell ref="AC861:AE861"/>
    <mergeCell ref="BC861:BD861"/>
    <mergeCell ref="AC862:AE862"/>
    <mergeCell ref="BC862:BD862"/>
    <mergeCell ref="AI859:AI860"/>
    <mergeCell ref="AJ859:AJ860"/>
    <mergeCell ref="AK859:AK860"/>
    <mergeCell ref="AL859:AL860"/>
    <mergeCell ref="AM859:AM860"/>
    <mergeCell ref="AN859:AN860"/>
    <mergeCell ref="AO859:AO860"/>
    <mergeCell ref="AP859:AP860"/>
    <mergeCell ref="AQ859:AQ860"/>
    <mergeCell ref="T859:U862"/>
    <mergeCell ref="V859:V862"/>
    <mergeCell ref="W859:Y862"/>
    <mergeCell ref="Z859:Z862"/>
    <mergeCell ref="AA859:AB862"/>
    <mergeCell ref="AC859:AE860"/>
    <mergeCell ref="AF859:AF860"/>
    <mergeCell ref="AG859:AG860"/>
    <mergeCell ref="AH859:AH860"/>
    <mergeCell ref="A859:A862"/>
    <mergeCell ref="B859:C862"/>
    <mergeCell ref="E859:F862"/>
    <mergeCell ref="G859:H862"/>
    <mergeCell ref="I859:J862"/>
    <mergeCell ref="L859:L862"/>
    <mergeCell ref="M859:M862"/>
    <mergeCell ref="N859:O862"/>
    <mergeCell ref="R859:S862"/>
    <mergeCell ref="K859:K862"/>
    <mergeCell ref="P859:Q862"/>
    <mergeCell ref="D859:D862"/>
    <mergeCell ref="AR855:AR856"/>
    <mergeCell ref="BC855:BD855"/>
    <mergeCell ref="BR855:BR858"/>
    <mergeCell ref="BS855:BT858"/>
    <mergeCell ref="BU855:BU858"/>
    <mergeCell ref="BV855:BV858"/>
    <mergeCell ref="BW855:BW858"/>
    <mergeCell ref="BC856:BD856"/>
    <mergeCell ref="AC857:AE857"/>
    <mergeCell ref="BC857:BD857"/>
    <mergeCell ref="AC858:AE858"/>
    <mergeCell ref="BC858:BD858"/>
    <mergeCell ref="AI855:AI856"/>
    <mergeCell ref="AJ855:AJ856"/>
    <mergeCell ref="AK855:AK856"/>
    <mergeCell ref="AL855:AL856"/>
    <mergeCell ref="AM855:AM856"/>
    <mergeCell ref="AN855:AN856"/>
    <mergeCell ref="AO855:AO856"/>
    <mergeCell ref="AP855:AP856"/>
    <mergeCell ref="AQ855:AQ856"/>
    <mergeCell ref="T855:U858"/>
    <mergeCell ref="V855:V858"/>
    <mergeCell ref="W855:Y858"/>
    <mergeCell ref="Z855:Z858"/>
    <mergeCell ref="AA855:AB858"/>
    <mergeCell ref="AC855:AE856"/>
    <mergeCell ref="AF855:AF856"/>
    <mergeCell ref="AG855:AG856"/>
    <mergeCell ref="AH855:AH856"/>
    <mergeCell ref="A855:A858"/>
    <mergeCell ref="B855:C858"/>
    <mergeCell ref="E855:F858"/>
    <mergeCell ref="G855:H858"/>
    <mergeCell ref="I855:J858"/>
    <mergeCell ref="L855:L858"/>
    <mergeCell ref="M855:M858"/>
    <mergeCell ref="N855:O858"/>
    <mergeCell ref="R855:S858"/>
    <mergeCell ref="K855:K858"/>
    <mergeCell ref="P855:Q858"/>
    <mergeCell ref="D855:D858"/>
    <mergeCell ref="AR851:AR852"/>
    <mergeCell ref="BC851:BD851"/>
    <mergeCell ref="BR851:BR854"/>
    <mergeCell ref="BS851:BT854"/>
    <mergeCell ref="BU851:BU854"/>
    <mergeCell ref="BV851:BV854"/>
    <mergeCell ref="BW851:BW854"/>
    <mergeCell ref="BC852:BD852"/>
    <mergeCell ref="AC853:AE853"/>
    <mergeCell ref="BC853:BD853"/>
    <mergeCell ref="AC854:AE854"/>
    <mergeCell ref="BC854:BD854"/>
    <mergeCell ref="AI851:AI852"/>
    <mergeCell ref="AJ851:AJ852"/>
    <mergeCell ref="AK851:AK852"/>
    <mergeCell ref="AL851:AL852"/>
    <mergeCell ref="AM851:AM852"/>
    <mergeCell ref="AN851:AN852"/>
    <mergeCell ref="AO851:AO852"/>
    <mergeCell ref="AP851:AP852"/>
    <mergeCell ref="AQ851:AQ852"/>
    <mergeCell ref="T851:U854"/>
    <mergeCell ref="V851:V854"/>
    <mergeCell ref="W851:Y854"/>
    <mergeCell ref="Z851:Z854"/>
    <mergeCell ref="AA851:AB854"/>
    <mergeCell ref="AC851:AE852"/>
    <mergeCell ref="AF851:AF852"/>
    <mergeCell ref="AG851:AG852"/>
    <mergeCell ref="AH851:AH852"/>
    <mergeCell ref="A851:A854"/>
    <mergeCell ref="B851:C854"/>
    <mergeCell ref="E851:F854"/>
    <mergeCell ref="G851:H854"/>
    <mergeCell ref="I851:J854"/>
    <mergeCell ref="L851:L854"/>
    <mergeCell ref="M851:M854"/>
    <mergeCell ref="N851:O854"/>
    <mergeCell ref="R851:S854"/>
    <mergeCell ref="K851:K854"/>
    <mergeCell ref="P851:Q854"/>
    <mergeCell ref="D851:D854"/>
    <mergeCell ref="AR847:AR848"/>
    <mergeCell ref="BC847:BD847"/>
    <mergeCell ref="BR847:BR850"/>
    <mergeCell ref="BS847:BT850"/>
    <mergeCell ref="BU847:BU850"/>
    <mergeCell ref="BV847:BV850"/>
    <mergeCell ref="BW847:BW850"/>
    <mergeCell ref="BC848:BD848"/>
    <mergeCell ref="AC849:AE849"/>
    <mergeCell ref="BC849:BD849"/>
    <mergeCell ref="AC850:AE850"/>
    <mergeCell ref="BC850:BD850"/>
    <mergeCell ref="AI847:AI848"/>
    <mergeCell ref="AJ847:AJ848"/>
    <mergeCell ref="AK847:AK848"/>
    <mergeCell ref="AL847:AL848"/>
    <mergeCell ref="AM847:AM848"/>
    <mergeCell ref="AN847:AN848"/>
    <mergeCell ref="AO847:AO848"/>
    <mergeCell ref="AP847:AP848"/>
    <mergeCell ref="AQ847:AQ848"/>
    <mergeCell ref="T847:U850"/>
    <mergeCell ref="V847:V850"/>
    <mergeCell ref="W847:Y850"/>
    <mergeCell ref="Z847:Z850"/>
    <mergeCell ref="AA847:AB850"/>
    <mergeCell ref="AC847:AE848"/>
    <mergeCell ref="AF847:AF848"/>
    <mergeCell ref="AG847:AG848"/>
    <mergeCell ref="AH847:AH848"/>
    <mergeCell ref="A847:A850"/>
    <mergeCell ref="B847:C850"/>
    <mergeCell ref="E847:F850"/>
    <mergeCell ref="G847:H850"/>
    <mergeCell ref="I847:J850"/>
    <mergeCell ref="L847:L850"/>
    <mergeCell ref="M847:M850"/>
    <mergeCell ref="N847:O850"/>
    <mergeCell ref="R847:S850"/>
    <mergeCell ref="K847:K850"/>
    <mergeCell ref="P847:Q850"/>
    <mergeCell ref="D847:D850"/>
    <mergeCell ref="AR843:AR844"/>
    <mergeCell ref="BC843:BD843"/>
    <mergeCell ref="BR843:BR846"/>
    <mergeCell ref="BS843:BT846"/>
    <mergeCell ref="BU843:BU846"/>
    <mergeCell ref="BV843:BV846"/>
    <mergeCell ref="BW843:BW846"/>
    <mergeCell ref="BC844:BD844"/>
    <mergeCell ref="AC845:AE845"/>
    <mergeCell ref="BC845:BD845"/>
    <mergeCell ref="AC846:AE846"/>
    <mergeCell ref="BC846:BD846"/>
    <mergeCell ref="AI843:AI844"/>
    <mergeCell ref="AJ843:AJ844"/>
    <mergeCell ref="AK843:AK844"/>
    <mergeCell ref="AL843:AL844"/>
    <mergeCell ref="AM843:AM844"/>
    <mergeCell ref="AN843:AN844"/>
    <mergeCell ref="AO843:AO844"/>
    <mergeCell ref="AP843:AP844"/>
    <mergeCell ref="AQ843:AQ844"/>
    <mergeCell ref="T843:U846"/>
    <mergeCell ref="V843:V846"/>
    <mergeCell ref="W843:Y846"/>
    <mergeCell ref="Z843:Z846"/>
    <mergeCell ref="AA843:AB846"/>
    <mergeCell ref="AC843:AE844"/>
    <mergeCell ref="AF843:AF844"/>
    <mergeCell ref="AG843:AG844"/>
    <mergeCell ref="AH843:AH844"/>
    <mergeCell ref="A843:A846"/>
    <mergeCell ref="B843:C846"/>
    <mergeCell ref="E843:F846"/>
    <mergeCell ref="G843:H846"/>
    <mergeCell ref="I843:J846"/>
    <mergeCell ref="L843:L846"/>
    <mergeCell ref="M843:M846"/>
    <mergeCell ref="N843:O846"/>
    <mergeCell ref="R843:S846"/>
    <mergeCell ref="K843:K846"/>
    <mergeCell ref="P843:Q846"/>
    <mergeCell ref="D843:D846"/>
    <mergeCell ref="AR839:AR840"/>
    <mergeCell ref="BC839:BD839"/>
    <mergeCell ref="BR839:BR842"/>
    <mergeCell ref="BS839:BT842"/>
    <mergeCell ref="BU839:BU842"/>
    <mergeCell ref="BV839:BV842"/>
    <mergeCell ref="BW839:BW842"/>
    <mergeCell ref="BC840:BD840"/>
    <mergeCell ref="AC841:AE841"/>
    <mergeCell ref="BC841:BD841"/>
    <mergeCell ref="AC842:AE842"/>
    <mergeCell ref="BC842:BD842"/>
    <mergeCell ref="AI839:AI840"/>
    <mergeCell ref="AJ839:AJ840"/>
    <mergeCell ref="AK839:AK840"/>
    <mergeCell ref="AL839:AL840"/>
    <mergeCell ref="AM839:AM840"/>
    <mergeCell ref="AN839:AN840"/>
    <mergeCell ref="AO839:AO840"/>
    <mergeCell ref="AP839:AP840"/>
    <mergeCell ref="AQ839:AQ840"/>
    <mergeCell ref="T839:U842"/>
    <mergeCell ref="V839:V842"/>
    <mergeCell ref="W839:Y842"/>
    <mergeCell ref="Z839:Z842"/>
    <mergeCell ref="AA839:AB842"/>
    <mergeCell ref="AC839:AE840"/>
    <mergeCell ref="AF839:AF840"/>
    <mergeCell ref="AG839:AG840"/>
    <mergeCell ref="AH839:AH840"/>
    <mergeCell ref="A839:A842"/>
    <mergeCell ref="B839:C842"/>
    <mergeCell ref="E839:F842"/>
    <mergeCell ref="G839:H842"/>
    <mergeCell ref="I839:J842"/>
    <mergeCell ref="L839:L842"/>
    <mergeCell ref="M839:M842"/>
    <mergeCell ref="N839:O842"/>
    <mergeCell ref="R839:S842"/>
    <mergeCell ref="K839:K842"/>
    <mergeCell ref="P839:Q842"/>
    <mergeCell ref="D839:D842"/>
    <mergeCell ref="AR835:AR836"/>
    <mergeCell ref="BC835:BD835"/>
    <mergeCell ref="BR835:BR838"/>
    <mergeCell ref="BS835:BT838"/>
    <mergeCell ref="BU835:BU838"/>
    <mergeCell ref="BV835:BV838"/>
    <mergeCell ref="BW835:BW838"/>
    <mergeCell ref="BC836:BD836"/>
    <mergeCell ref="AC837:AE837"/>
    <mergeCell ref="BC837:BD837"/>
    <mergeCell ref="AC838:AE838"/>
    <mergeCell ref="BC838:BD838"/>
    <mergeCell ref="AI835:AI836"/>
    <mergeCell ref="AJ835:AJ836"/>
    <mergeCell ref="AK835:AK836"/>
    <mergeCell ref="AL835:AL836"/>
    <mergeCell ref="AM835:AM836"/>
    <mergeCell ref="AN835:AN836"/>
    <mergeCell ref="AO835:AO836"/>
    <mergeCell ref="AP835:AP836"/>
    <mergeCell ref="AQ835:AQ836"/>
    <mergeCell ref="T835:U838"/>
    <mergeCell ref="V835:V838"/>
    <mergeCell ref="W835:Y838"/>
    <mergeCell ref="Z835:Z838"/>
    <mergeCell ref="AA835:AB838"/>
    <mergeCell ref="AC835:AE836"/>
    <mergeCell ref="AF835:AF836"/>
    <mergeCell ref="AG835:AG836"/>
    <mergeCell ref="AH835:AH836"/>
    <mergeCell ref="A835:A838"/>
    <mergeCell ref="B835:C838"/>
    <mergeCell ref="E835:F838"/>
    <mergeCell ref="G835:H838"/>
    <mergeCell ref="I835:J838"/>
    <mergeCell ref="L835:L838"/>
    <mergeCell ref="M835:M838"/>
    <mergeCell ref="N835:O838"/>
    <mergeCell ref="R835:S838"/>
    <mergeCell ref="K835:K838"/>
    <mergeCell ref="P835:Q838"/>
    <mergeCell ref="D835:D838"/>
    <mergeCell ref="AR831:AR832"/>
    <mergeCell ref="BC831:BD831"/>
    <mergeCell ref="BR831:BR834"/>
    <mergeCell ref="BS831:BT834"/>
    <mergeCell ref="BU831:BU834"/>
    <mergeCell ref="BV831:BV834"/>
    <mergeCell ref="BW831:BW834"/>
    <mergeCell ref="BC832:BD832"/>
    <mergeCell ref="AC833:AE833"/>
    <mergeCell ref="BC833:BD833"/>
    <mergeCell ref="AC834:AE834"/>
    <mergeCell ref="BC834:BD834"/>
    <mergeCell ref="AI831:AI832"/>
    <mergeCell ref="AJ831:AJ832"/>
    <mergeCell ref="AK831:AK832"/>
    <mergeCell ref="AL831:AL832"/>
    <mergeCell ref="AM831:AM832"/>
    <mergeCell ref="AN831:AN832"/>
    <mergeCell ref="AO831:AO832"/>
    <mergeCell ref="AP831:AP832"/>
    <mergeCell ref="AQ831:AQ832"/>
    <mergeCell ref="T831:U834"/>
    <mergeCell ref="V831:V834"/>
    <mergeCell ref="W831:Y834"/>
    <mergeCell ref="Z831:Z834"/>
    <mergeCell ref="AA831:AB834"/>
    <mergeCell ref="AC831:AE832"/>
    <mergeCell ref="AF831:AF832"/>
    <mergeCell ref="AG831:AG832"/>
    <mergeCell ref="AH831:AH832"/>
    <mergeCell ref="A831:A834"/>
    <mergeCell ref="B831:C834"/>
    <mergeCell ref="E831:F834"/>
    <mergeCell ref="G831:H834"/>
    <mergeCell ref="I831:J834"/>
    <mergeCell ref="L831:L834"/>
    <mergeCell ref="M831:M834"/>
    <mergeCell ref="N831:O834"/>
    <mergeCell ref="R831:S834"/>
    <mergeCell ref="K831:K834"/>
    <mergeCell ref="P831:Q834"/>
    <mergeCell ref="D831:D834"/>
    <mergeCell ref="AR827:AR828"/>
    <mergeCell ref="BC827:BD827"/>
    <mergeCell ref="BR827:BR830"/>
    <mergeCell ref="BS827:BT830"/>
    <mergeCell ref="BU827:BU830"/>
    <mergeCell ref="BV827:BV830"/>
    <mergeCell ref="BW827:BW830"/>
    <mergeCell ref="BC828:BD828"/>
    <mergeCell ref="AC829:AE829"/>
    <mergeCell ref="BC829:BD829"/>
    <mergeCell ref="AC830:AE830"/>
    <mergeCell ref="BC830:BD830"/>
    <mergeCell ref="AI827:AI828"/>
    <mergeCell ref="AJ827:AJ828"/>
    <mergeCell ref="AK827:AK828"/>
    <mergeCell ref="AL827:AL828"/>
    <mergeCell ref="AM827:AM828"/>
    <mergeCell ref="AN827:AN828"/>
    <mergeCell ref="AO827:AO828"/>
    <mergeCell ref="AP827:AP828"/>
    <mergeCell ref="AQ827:AQ828"/>
    <mergeCell ref="T827:U830"/>
    <mergeCell ref="V827:V830"/>
    <mergeCell ref="W827:Y830"/>
    <mergeCell ref="Z827:Z830"/>
    <mergeCell ref="AA827:AB830"/>
    <mergeCell ref="AC827:AE828"/>
    <mergeCell ref="AF827:AF828"/>
    <mergeCell ref="AG827:AG828"/>
    <mergeCell ref="AH827:AH828"/>
    <mergeCell ref="A827:A830"/>
    <mergeCell ref="B827:C830"/>
    <mergeCell ref="E827:F830"/>
    <mergeCell ref="G827:H830"/>
    <mergeCell ref="I827:J830"/>
    <mergeCell ref="L827:L830"/>
    <mergeCell ref="M827:M830"/>
    <mergeCell ref="N827:O830"/>
    <mergeCell ref="R827:S830"/>
    <mergeCell ref="K827:K830"/>
    <mergeCell ref="P827:Q830"/>
    <mergeCell ref="D827:D830"/>
    <mergeCell ref="AR823:AR824"/>
    <mergeCell ref="BC823:BD823"/>
    <mergeCell ref="BR823:BR826"/>
    <mergeCell ref="BS823:BT826"/>
    <mergeCell ref="BU823:BU826"/>
    <mergeCell ref="BV823:BV826"/>
    <mergeCell ref="BW823:BW826"/>
    <mergeCell ref="BC824:BD824"/>
    <mergeCell ref="AC825:AE825"/>
    <mergeCell ref="BC825:BD825"/>
    <mergeCell ref="AC826:AE826"/>
    <mergeCell ref="BC826:BD826"/>
    <mergeCell ref="AI823:AI824"/>
    <mergeCell ref="AJ823:AJ824"/>
    <mergeCell ref="AK823:AK824"/>
    <mergeCell ref="AL823:AL824"/>
    <mergeCell ref="AM823:AM824"/>
    <mergeCell ref="AN823:AN824"/>
    <mergeCell ref="AO823:AO824"/>
    <mergeCell ref="AP823:AP824"/>
    <mergeCell ref="AQ823:AQ824"/>
    <mergeCell ref="T823:U826"/>
    <mergeCell ref="V823:V826"/>
    <mergeCell ref="W823:Y826"/>
    <mergeCell ref="Z823:Z826"/>
    <mergeCell ref="AA823:AB826"/>
    <mergeCell ref="AC823:AE824"/>
    <mergeCell ref="AF823:AF824"/>
    <mergeCell ref="AG823:AG824"/>
    <mergeCell ref="AH823:AH824"/>
    <mergeCell ref="A823:A826"/>
    <mergeCell ref="B823:C826"/>
    <mergeCell ref="E823:F826"/>
    <mergeCell ref="G823:H826"/>
    <mergeCell ref="I823:J826"/>
    <mergeCell ref="L823:L826"/>
    <mergeCell ref="M823:M826"/>
    <mergeCell ref="N823:O826"/>
    <mergeCell ref="R823:S826"/>
    <mergeCell ref="K823:K826"/>
    <mergeCell ref="P823:Q826"/>
    <mergeCell ref="D823:D826"/>
    <mergeCell ref="AR819:AR820"/>
    <mergeCell ref="BC819:BD819"/>
    <mergeCell ref="BR819:BR822"/>
    <mergeCell ref="BS819:BT822"/>
    <mergeCell ref="BU819:BU822"/>
    <mergeCell ref="BV819:BV822"/>
    <mergeCell ref="BW819:BW822"/>
    <mergeCell ref="BC820:BD820"/>
    <mergeCell ref="AC821:AE821"/>
    <mergeCell ref="BC821:BD821"/>
    <mergeCell ref="AC822:AE822"/>
    <mergeCell ref="BC822:BD822"/>
    <mergeCell ref="AI819:AI820"/>
    <mergeCell ref="AJ819:AJ820"/>
    <mergeCell ref="AK819:AK820"/>
    <mergeCell ref="AL819:AL820"/>
    <mergeCell ref="AM819:AM820"/>
    <mergeCell ref="AN819:AN820"/>
    <mergeCell ref="AO819:AO820"/>
    <mergeCell ref="AP819:AP820"/>
    <mergeCell ref="AQ819:AQ820"/>
    <mergeCell ref="T819:U822"/>
    <mergeCell ref="V819:V822"/>
    <mergeCell ref="W819:Y822"/>
    <mergeCell ref="Z819:Z822"/>
    <mergeCell ref="AA819:AB822"/>
    <mergeCell ref="AC819:AE820"/>
    <mergeCell ref="AF819:AF820"/>
    <mergeCell ref="AG819:AG820"/>
    <mergeCell ref="AH819:AH820"/>
    <mergeCell ref="A819:A822"/>
    <mergeCell ref="B819:C822"/>
    <mergeCell ref="E819:F822"/>
    <mergeCell ref="G819:H822"/>
    <mergeCell ref="I819:J822"/>
    <mergeCell ref="L819:L822"/>
    <mergeCell ref="M819:M822"/>
    <mergeCell ref="N819:O822"/>
    <mergeCell ref="R819:S822"/>
    <mergeCell ref="K819:K822"/>
    <mergeCell ref="P819:Q822"/>
    <mergeCell ref="D819:D822"/>
    <mergeCell ref="AR815:AR816"/>
    <mergeCell ref="BC815:BD815"/>
    <mergeCell ref="BR815:BR818"/>
    <mergeCell ref="BS815:BT818"/>
    <mergeCell ref="BU815:BU818"/>
    <mergeCell ref="BV815:BV818"/>
    <mergeCell ref="BW815:BW818"/>
    <mergeCell ref="BC816:BD816"/>
    <mergeCell ref="AC817:AE817"/>
    <mergeCell ref="BC817:BD817"/>
    <mergeCell ref="AC818:AE818"/>
    <mergeCell ref="BC818:BD818"/>
    <mergeCell ref="AI815:AI816"/>
    <mergeCell ref="AJ815:AJ816"/>
    <mergeCell ref="AK815:AK816"/>
    <mergeCell ref="AL815:AL816"/>
    <mergeCell ref="AM815:AM816"/>
    <mergeCell ref="AN815:AN816"/>
    <mergeCell ref="AO815:AO816"/>
    <mergeCell ref="AP815:AP816"/>
    <mergeCell ref="AQ815:AQ816"/>
    <mergeCell ref="T815:U818"/>
    <mergeCell ref="V815:V818"/>
    <mergeCell ref="W815:Y818"/>
    <mergeCell ref="Z815:Z818"/>
    <mergeCell ref="AA815:AB818"/>
    <mergeCell ref="AC815:AE816"/>
    <mergeCell ref="AF815:AF816"/>
    <mergeCell ref="AG815:AG816"/>
    <mergeCell ref="AH815:AH816"/>
    <mergeCell ref="A815:A818"/>
    <mergeCell ref="B815:C818"/>
    <mergeCell ref="E815:F818"/>
    <mergeCell ref="G815:H818"/>
    <mergeCell ref="I815:J818"/>
    <mergeCell ref="L815:L818"/>
    <mergeCell ref="M815:M818"/>
    <mergeCell ref="N815:O818"/>
    <mergeCell ref="R815:S818"/>
    <mergeCell ref="K815:K818"/>
    <mergeCell ref="P815:Q818"/>
    <mergeCell ref="D815:D818"/>
    <mergeCell ref="AR811:AR812"/>
    <mergeCell ref="BC811:BD811"/>
    <mergeCell ref="BR811:BR814"/>
    <mergeCell ref="BS811:BT814"/>
    <mergeCell ref="BU811:BU814"/>
    <mergeCell ref="BV811:BV814"/>
    <mergeCell ref="BW811:BW814"/>
    <mergeCell ref="BC812:BD812"/>
    <mergeCell ref="AC813:AE813"/>
    <mergeCell ref="BC813:BD813"/>
    <mergeCell ref="AC814:AE814"/>
    <mergeCell ref="BC814:BD814"/>
    <mergeCell ref="AI811:AI812"/>
    <mergeCell ref="AJ811:AJ812"/>
    <mergeCell ref="AK811:AK812"/>
    <mergeCell ref="AL811:AL812"/>
    <mergeCell ref="AM811:AM812"/>
    <mergeCell ref="AN811:AN812"/>
    <mergeCell ref="AO811:AO812"/>
    <mergeCell ref="AP811:AP812"/>
    <mergeCell ref="AQ811:AQ812"/>
    <mergeCell ref="T811:U814"/>
    <mergeCell ref="V811:V814"/>
    <mergeCell ref="W811:Y814"/>
    <mergeCell ref="Z811:Z814"/>
    <mergeCell ref="AA811:AB814"/>
    <mergeCell ref="AC811:AE812"/>
    <mergeCell ref="AF811:AF812"/>
    <mergeCell ref="AG811:AG812"/>
    <mergeCell ref="AH811:AH812"/>
    <mergeCell ref="A811:A814"/>
    <mergeCell ref="B811:C814"/>
    <mergeCell ref="E811:F814"/>
    <mergeCell ref="G811:H814"/>
    <mergeCell ref="I811:J814"/>
    <mergeCell ref="L811:L814"/>
    <mergeCell ref="M811:M814"/>
    <mergeCell ref="N811:O814"/>
    <mergeCell ref="R811:S814"/>
    <mergeCell ref="K811:K814"/>
    <mergeCell ref="P811:Q814"/>
    <mergeCell ref="D811:D814"/>
    <mergeCell ref="AR807:AR808"/>
    <mergeCell ref="BC807:BD807"/>
    <mergeCell ref="BR807:BR810"/>
    <mergeCell ref="BS807:BT810"/>
    <mergeCell ref="BU807:BU810"/>
    <mergeCell ref="BV807:BV810"/>
    <mergeCell ref="BW807:BW810"/>
    <mergeCell ref="BC808:BD808"/>
    <mergeCell ref="AC809:AE809"/>
    <mergeCell ref="BC809:BD809"/>
    <mergeCell ref="AC810:AE810"/>
    <mergeCell ref="BC810:BD810"/>
    <mergeCell ref="AI807:AI808"/>
    <mergeCell ref="AJ807:AJ808"/>
    <mergeCell ref="AK807:AK808"/>
    <mergeCell ref="AL807:AL808"/>
    <mergeCell ref="AM807:AM808"/>
    <mergeCell ref="AN807:AN808"/>
    <mergeCell ref="AO807:AO808"/>
    <mergeCell ref="AP807:AP808"/>
    <mergeCell ref="AQ807:AQ808"/>
    <mergeCell ref="T807:U810"/>
    <mergeCell ref="V807:V810"/>
    <mergeCell ref="W807:Y810"/>
    <mergeCell ref="Z807:Z810"/>
    <mergeCell ref="AA807:AB810"/>
    <mergeCell ref="AC807:AE808"/>
    <mergeCell ref="AF807:AF808"/>
    <mergeCell ref="AG807:AG808"/>
    <mergeCell ref="AH807:AH808"/>
    <mergeCell ref="A807:A810"/>
    <mergeCell ref="B807:C810"/>
    <mergeCell ref="E807:F810"/>
    <mergeCell ref="G807:H810"/>
    <mergeCell ref="I807:J810"/>
    <mergeCell ref="L807:L810"/>
    <mergeCell ref="M807:M810"/>
    <mergeCell ref="N807:O810"/>
    <mergeCell ref="R807:S810"/>
    <mergeCell ref="K807:K810"/>
    <mergeCell ref="P807:Q810"/>
    <mergeCell ref="D807:D810"/>
    <mergeCell ref="AR803:AR804"/>
    <mergeCell ref="BC803:BD803"/>
    <mergeCell ref="BR803:BR806"/>
    <mergeCell ref="BS803:BT806"/>
    <mergeCell ref="BU803:BU806"/>
    <mergeCell ref="BV803:BV806"/>
    <mergeCell ref="BW803:BW806"/>
    <mergeCell ref="BC804:BD804"/>
    <mergeCell ref="AC805:AE805"/>
    <mergeCell ref="BC805:BD805"/>
    <mergeCell ref="AC806:AE806"/>
    <mergeCell ref="BC806:BD806"/>
    <mergeCell ref="AI803:AI804"/>
    <mergeCell ref="AJ803:AJ804"/>
    <mergeCell ref="AK803:AK804"/>
    <mergeCell ref="AL803:AL804"/>
    <mergeCell ref="AM803:AM804"/>
    <mergeCell ref="AN803:AN804"/>
    <mergeCell ref="AO803:AO804"/>
    <mergeCell ref="AP803:AP804"/>
    <mergeCell ref="AQ803:AQ804"/>
    <mergeCell ref="T803:U806"/>
    <mergeCell ref="V803:V806"/>
    <mergeCell ref="W803:Y806"/>
    <mergeCell ref="Z803:Z806"/>
    <mergeCell ref="AA803:AB806"/>
    <mergeCell ref="AC803:AE804"/>
    <mergeCell ref="AF803:AF804"/>
    <mergeCell ref="AG803:AG804"/>
    <mergeCell ref="AH803:AH804"/>
    <mergeCell ref="A803:A806"/>
    <mergeCell ref="B803:C806"/>
    <mergeCell ref="E803:F806"/>
    <mergeCell ref="G803:H806"/>
    <mergeCell ref="I803:J806"/>
    <mergeCell ref="L803:L806"/>
    <mergeCell ref="M803:M806"/>
    <mergeCell ref="N803:O806"/>
    <mergeCell ref="R803:S806"/>
    <mergeCell ref="K803:K806"/>
    <mergeCell ref="P803:Q806"/>
    <mergeCell ref="D803:D806"/>
    <mergeCell ref="AR799:AR800"/>
    <mergeCell ref="BC799:BD799"/>
    <mergeCell ref="BR799:BR802"/>
    <mergeCell ref="BS799:BT802"/>
    <mergeCell ref="BU799:BU802"/>
    <mergeCell ref="BV799:BV802"/>
    <mergeCell ref="BW799:BW802"/>
    <mergeCell ref="BC800:BD800"/>
    <mergeCell ref="AC801:AE801"/>
    <mergeCell ref="BC801:BD801"/>
    <mergeCell ref="AC802:AE802"/>
    <mergeCell ref="BC802:BD802"/>
    <mergeCell ref="AI799:AI800"/>
    <mergeCell ref="AJ799:AJ800"/>
    <mergeCell ref="AK799:AK800"/>
    <mergeCell ref="AL799:AL800"/>
    <mergeCell ref="AM799:AM800"/>
    <mergeCell ref="AN799:AN800"/>
    <mergeCell ref="AO799:AO800"/>
    <mergeCell ref="AP799:AP800"/>
    <mergeCell ref="AQ799:AQ800"/>
    <mergeCell ref="T799:U802"/>
    <mergeCell ref="V799:V802"/>
    <mergeCell ref="W799:Y802"/>
    <mergeCell ref="Z799:Z802"/>
    <mergeCell ref="AA799:AB802"/>
    <mergeCell ref="AC799:AE800"/>
    <mergeCell ref="AF799:AF800"/>
    <mergeCell ref="AG799:AG800"/>
    <mergeCell ref="AH799:AH800"/>
    <mergeCell ref="A799:A802"/>
    <mergeCell ref="B799:C802"/>
    <mergeCell ref="E799:F802"/>
    <mergeCell ref="G799:H802"/>
    <mergeCell ref="I799:J802"/>
    <mergeCell ref="L799:L802"/>
    <mergeCell ref="M799:M802"/>
    <mergeCell ref="N799:O802"/>
    <mergeCell ref="R799:S802"/>
    <mergeCell ref="K799:K802"/>
    <mergeCell ref="P799:Q802"/>
    <mergeCell ref="D799:D802"/>
    <mergeCell ref="AR795:AR796"/>
    <mergeCell ref="BC795:BD795"/>
    <mergeCell ref="BR795:BR798"/>
    <mergeCell ref="BS795:BT798"/>
    <mergeCell ref="BU795:BU798"/>
    <mergeCell ref="BV795:BV798"/>
    <mergeCell ref="BW795:BW798"/>
    <mergeCell ref="BC796:BD796"/>
    <mergeCell ref="AC797:AE797"/>
    <mergeCell ref="BC797:BD797"/>
    <mergeCell ref="AC798:AE798"/>
    <mergeCell ref="BC798:BD798"/>
    <mergeCell ref="AI795:AI796"/>
    <mergeCell ref="AJ795:AJ796"/>
    <mergeCell ref="AK795:AK796"/>
    <mergeCell ref="AL795:AL796"/>
    <mergeCell ref="AM795:AM796"/>
    <mergeCell ref="AN795:AN796"/>
    <mergeCell ref="AO795:AO796"/>
    <mergeCell ref="AP795:AP796"/>
    <mergeCell ref="AQ795:AQ796"/>
    <mergeCell ref="T795:U798"/>
    <mergeCell ref="V795:V798"/>
    <mergeCell ref="W795:Y798"/>
    <mergeCell ref="Z795:Z798"/>
    <mergeCell ref="AA795:AB798"/>
    <mergeCell ref="AC795:AE796"/>
    <mergeCell ref="AF795:AF796"/>
    <mergeCell ref="AG795:AG796"/>
    <mergeCell ref="AH795:AH796"/>
    <mergeCell ref="A795:A798"/>
    <mergeCell ref="B795:C798"/>
    <mergeCell ref="E795:F798"/>
    <mergeCell ref="G795:H798"/>
    <mergeCell ref="I795:J798"/>
    <mergeCell ref="L795:L798"/>
    <mergeCell ref="M795:M798"/>
    <mergeCell ref="N795:O798"/>
    <mergeCell ref="R795:S798"/>
    <mergeCell ref="K795:K798"/>
    <mergeCell ref="P795:Q798"/>
    <mergeCell ref="D795:D798"/>
    <mergeCell ref="AR791:AR792"/>
    <mergeCell ref="BC791:BD791"/>
    <mergeCell ref="BR791:BR794"/>
    <mergeCell ref="BS791:BT794"/>
    <mergeCell ref="BU791:BU794"/>
    <mergeCell ref="BV791:BV794"/>
    <mergeCell ref="BW791:BW794"/>
    <mergeCell ref="BC792:BD792"/>
    <mergeCell ref="AC793:AE793"/>
    <mergeCell ref="BC793:BD793"/>
    <mergeCell ref="AC794:AE794"/>
    <mergeCell ref="BC794:BD794"/>
    <mergeCell ref="AI791:AI792"/>
    <mergeCell ref="AJ791:AJ792"/>
    <mergeCell ref="AK791:AK792"/>
    <mergeCell ref="AL791:AL792"/>
    <mergeCell ref="AM791:AM792"/>
    <mergeCell ref="AN791:AN792"/>
    <mergeCell ref="AO791:AO792"/>
    <mergeCell ref="AP791:AP792"/>
    <mergeCell ref="AQ791:AQ792"/>
    <mergeCell ref="T791:U794"/>
    <mergeCell ref="V791:V794"/>
    <mergeCell ref="W791:Y794"/>
    <mergeCell ref="Z791:Z794"/>
    <mergeCell ref="AA791:AB794"/>
    <mergeCell ref="AC791:AE792"/>
    <mergeCell ref="AF791:AF792"/>
    <mergeCell ref="AG791:AG792"/>
    <mergeCell ref="AH791:AH792"/>
    <mergeCell ref="A791:A794"/>
    <mergeCell ref="B791:C794"/>
    <mergeCell ref="E791:F794"/>
    <mergeCell ref="G791:H794"/>
    <mergeCell ref="I791:J794"/>
    <mergeCell ref="L791:L794"/>
    <mergeCell ref="M791:M794"/>
    <mergeCell ref="N791:O794"/>
    <mergeCell ref="R791:S794"/>
    <mergeCell ref="K791:K794"/>
    <mergeCell ref="P791:Q794"/>
    <mergeCell ref="D791:D794"/>
    <mergeCell ref="AR787:AR788"/>
    <mergeCell ref="BC787:BD787"/>
    <mergeCell ref="BR787:BR790"/>
    <mergeCell ref="BS787:BT790"/>
    <mergeCell ref="BU787:BU790"/>
    <mergeCell ref="BV787:BV790"/>
    <mergeCell ref="BW787:BW790"/>
    <mergeCell ref="BC788:BD788"/>
    <mergeCell ref="AC789:AE789"/>
    <mergeCell ref="BC789:BD789"/>
    <mergeCell ref="AC790:AE790"/>
    <mergeCell ref="BC790:BD790"/>
    <mergeCell ref="AI787:AI788"/>
    <mergeCell ref="AJ787:AJ788"/>
    <mergeCell ref="AK787:AK788"/>
    <mergeCell ref="AL787:AL788"/>
    <mergeCell ref="AM787:AM788"/>
    <mergeCell ref="AN787:AN788"/>
    <mergeCell ref="AO787:AO788"/>
    <mergeCell ref="AP787:AP788"/>
    <mergeCell ref="AQ787:AQ788"/>
    <mergeCell ref="T787:U790"/>
    <mergeCell ref="V787:V790"/>
    <mergeCell ref="W787:Y790"/>
    <mergeCell ref="Z787:Z790"/>
    <mergeCell ref="AA787:AB790"/>
    <mergeCell ref="AC787:AE788"/>
    <mergeCell ref="AF787:AF788"/>
    <mergeCell ref="AG787:AG788"/>
    <mergeCell ref="AH787:AH788"/>
    <mergeCell ref="A787:A790"/>
    <mergeCell ref="B787:C790"/>
    <mergeCell ref="E787:F790"/>
    <mergeCell ref="G787:H790"/>
    <mergeCell ref="I787:J790"/>
    <mergeCell ref="L787:L790"/>
    <mergeCell ref="M787:M790"/>
    <mergeCell ref="N787:O790"/>
    <mergeCell ref="R787:S790"/>
    <mergeCell ref="K787:K790"/>
    <mergeCell ref="P787:Q790"/>
    <mergeCell ref="D787:D790"/>
    <mergeCell ref="AR783:AR784"/>
    <mergeCell ref="BC783:BD783"/>
    <mergeCell ref="BR783:BR786"/>
    <mergeCell ref="BS783:BT786"/>
    <mergeCell ref="BU783:BU786"/>
    <mergeCell ref="BV783:BV786"/>
    <mergeCell ref="BW783:BW786"/>
    <mergeCell ref="BC784:BD784"/>
    <mergeCell ref="AC785:AE785"/>
    <mergeCell ref="BC785:BD785"/>
    <mergeCell ref="AC786:AE786"/>
    <mergeCell ref="BC786:BD786"/>
    <mergeCell ref="AI783:AI784"/>
    <mergeCell ref="AJ783:AJ784"/>
    <mergeCell ref="AK783:AK784"/>
    <mergeCell ref="AL783:AL784"/>
    <mergeCell ref="AM783:AM784"/>
    <mergeCell ref="AN783:AN784"/>
    <mergeCell ref="AO783:AO784"/>
    <mergeCell ref="AP783:AP784"/>
    <mergeCell ref="AQ783:AQ784"/>
    <mergeCell ref="T783:U786"/>
    <mergeCell ref="V783:V786"/>
    <mergeCell ref="W783:Y786"/>
    <mergeCell ref="Z783:Z786"/>
    <mergeCell ref="AA783:AB786"/>
    <mergeCell ref="AC783:AE784"/>
    <mergeCell ref="AF783:AF784"/>
    <mergeCell ref="AG783:AG784"/>
    <mergeCell ref="AH783:AH784"/>
    <mergeCell ref="A783:A786"/>
    <mergeCell ref="B783:C786"/>
    <mergeCell ref="E783:F786"/>
    <mergeCell ref="G783:H786"/>
    <mergeCell ref="I783:J786"/>
    <mergeCell ref="L783:L786"/>
    <mergeCell ref="M783:M786"/>
    <mergeCell ref="N783:O786"/>
    <mergeCell ref="R783:S786"/>
    <mergeCell ref="K783:K786"/>
    <mergeCell ref="P783:Q786"/>
    <mergeCell ref="D783:D786"/>
    <mergeCell ref="AR779:AR780"/>
    <mergeCell ref="BC779:BD779"/>
    <mergeCell ref="BR779:BR782"/>
    <mergeCell ref="BS779:BT782"/>
    <mergeCell ref="BU779:BU782"/>
    <mergeCell ref="BV779:BV782"/>
    <mergeCell ref="BW779:BW782"/>
    <mergeCell ref="BC780:BD780"/>
    <mergeCell ref="AC781:AE781"/>
    <mergeCell ref="BC781:BD781"/>
    <mergeCell ref="AC782:AE782"/>
    <mergeCell ref="BC782:BD782"/>
    <mergeCell ref="AI779:AI780"/>
    <mergeCell ref="AJ779:AJ780"/>
    <mergeCell ref="AK779:AK780"/>
    <mergeCell ref="AL779:AL780"/>
    <mergeCell ref="AM779:AM780"/>
    <mergeCell ref="AN779:AN780"/>
    <mergeCell ref="AO779:AO780"/>
    <mergeCell ref="AP779:AP780"/>
    <mergeCell ref="AQ779:AQ780"/>
    <mergeCell ref="T779:U782"/>
    <mergeCell ref="V779:V782"/>
    <mergeCell ref="W779:Y782"/>
    <mergeCell ref="Z779:Z782"/>
    <mergeCell ref="AA779:AB782"/>
    <mergeCell ref="AC779:AE780"/>
    <mergeCell ref="AF779:AF780"/>
    <mergeCell ref="AG779:AG780"/>
    <mergeCell ref="AH779:AH780"/>
    <mergeCell ref="A779:A782"/>
    <mergeCell ref="B779:C782"/>
    <mergeCell ref="E779:F782"/>
    <mergeCell ref="G779:H782"/>
    <mergeCell ref="I779:J782"/>
    <mergeCell ref="L779:L782"/>
    <mergeCell ref="M779:M782"/>
    <mergeCell ref="N779:O782"/>
    <mergeCell ref="R779:S782"/>
    <mergeCell ref="K779:K782"/>
    <mergeCell ref="P779:Q782"/>
    <mergeCell ref="D779:D782"/>
    <mergeCell ref="AR775:AR776"/>
    <mergeCell ref="BC775:BD775"/>
    <mergeCell ref="BR775:BR778"/>
    <mergeCell ref="BS775:BT778"/>
    <mergeCell ref="BU775:BU778"/>
    <mergeCell ref="BV775:BV778"/>
    <mergeCell ref="BW775:BW778"/>
    <mergeCell ref="BC776:BD776"/>
    <mergeCell ref="AC777:AE777"/>
    <mergeCell ref="BC777:BD777"/>
    <mergeCell ref="AC778:AE778"/>
    <mergeCell ref="BC778:BD778"/>
    <mergeCell ref="AI775:AI776"/>
    <mergeCell ref="AJ775:AJ776"/>
    <mergeCell ref="AK775:AK776"/>
    <mergeCell ref="AL775:AL776"/>
    <mergeCell ref="AM775:AM776"/>
    <mergeCell ref="AN775:AN776"/>
    <mergeCell ref="AO775:AO776"/>
    <mergeCell ref="AP775:AP776"/>
    <mergeCell ref="AQ775:AQ776"/>
    <mergeCell ref="T775:U778"/>
    <mergeCell ref="V775:V778"/>
    <mergeCell ref="W775:Y778"/>
    <mergeCell ref="Z775:Z778"/>
    <mergeCell ref="AA775:AB778"/>
    <mergeCell ref="AC775:AE776"/>
    <mergeCell ref="AF775:AF776"/>
    <mergeCell ref="AG775:AG776"/>
    <mergeCell ref="AH775:AH776"/>
    <mergeCell ref="A775:A778"/>
    <mergeCell ref="B775:C778"/>
    <mergeCell ref="E775:F778"/>
    <mergeCell ref="G775:H778"/>
    <mergeCell ref="I775:J778"/>
    <mergeCell ref="L775:L778"/>
    <mergeCell ref="M775:M778"/>
    <mergeCell ref="N775:O778"/>
    <mergeCell ref="R775:S778"/>
    <mergeCell ref="K775:K778"/>
    <mergeCell ref="P775:Q778"/>
    <mergeCell ref="D775:D778"/>
    <mergeCell ref="AR771:AR772"/>
    <mergeCell ref="BC771:BD771"/>
    <mergeCell ref="BR771:BR774"/>
    <mergeCell ref="BS771:BT774"/>
    <mergeCell ref="BU771:BU774"/>
    <mergeCell ref="BV771:BV774"/>
    <mergeCell ref="BW771:BW774"/>
    <mergeCell ref="BC772:BD772"/>
    <mergeCell ref="AC773:AE773"/>
    <mergeCell ref="BC773:BD773"/>
    <mergeCell ref="AC774:AE774"/>
    <mergeCell ref="BC774:BD774"/>
    <mergeCell ref="AI771:AI772"/>
    <mergeCell ref="AJ771:AJ772"/>
    <mergeCell ref="AK771:AK772"/>
    <mergeCell ref="AL771:AL772"/>
    <mergeCell ref="AM771:AM772"/>
    <mergeCell ref="AN771:AN772"/>
    <mergeCell ref="AO771:AO772"/>
    <mergeCell ref="AP771:AP772"/>
    <mergeCell ref="AQ771:AQ772"/>
    <mergeCell ref="T771:U774"/>
    <mergeCell ref="V771:V774"/>
    <mergeCell ref="W771:Y774"/>
    <mergeCell ref="Z771:Z774"/>
    <mergeCell ref="AA771:AB774"/>
    <mergeCell ref="AC771:AE772"/>
    <mergeCell ref="AF771:AF772"/>
    <mergeCell ref="AG771:AG772"/>
    <mergeCell ref="AH771:AH772"/>
    <mergeCell ref="A771:A774"/>
    <mergeCell ref="B771:C774"/>
    <mergeCell ref="E771:F774"/>
    <mergeCell ref="G771:H774"/>
    <mergeCell ref="I771:J774"/>
    <mergeCell ref="L771:L774"/>
    <mergeCell ref="M771:M774"/>
    <mergeCell ref="N771:O774"/>
    <mergeCell ref="R771:S774"/>
    <mergeCell ref="K771:K774"/>
    <mergeCell ref="P771:Q774"/>
    <mergeCell ref="D771:D774"/>
    <mergeCell ref="AR767:AR768"/>
    <mergeCell ref="BC767:BD767"/>
    <mergeCell ref="BR767:BR770"/>
    <mergeCell ref="BS767:BT770"/>
    <mergeCell ref="BU767:BU770"/>
    <mergeCell ref="BV767:BV770"/>
    <mergeCell ref="BW767:BW770"/>
    <mergeCell ref="BC768:BD768"/>
    <mergeCell ref="AC769:AE769"/>
    <mergeCell ref="BC769:BD769"/>
    <mergeCell ref="AC770:AE770"/>
    <mergeCell ref="BC770:BD770"/>
    <mergeCell ref="AI767:AI768"/>
    <mergeCell ref="AJ767:AJ768"/>
    <mergeCell ref="AK767:AK768"/>
    <mergeCell ref="AL767:AL768"/>
    <mergeCell ref="AM767:AM768"/>
    <mergeCell ref="AN767:AN768"/>
    <mergeCell ref="AO767:AO768"/>
    <mergeCell ref="AP767:AP768"/>
    <mergeCell ref="AQ767:AQ768"/>
    <mergeCell ref="T767:U770"/>
    <mergeCell ref="V767:V770"/>
    <mergeCell ref="W767:Y770"/>
    <mergeCell ref="Z767:Z770"/>
    <mergeCell ref="AA767:AB770"/>
    <mergeCell ref="AC767:AE768"/>
    <mergeCell ref="AF767:AF768"/>
    <mergeCell ref="AG767:AG768"/>
    <mergeCell ref="AH767:AH768"/>
    <mergeCell ref="A767:A770"/>
    <mergeCell ref="B767:C770"/>
    <mergeCell ref="E767:F770"/>
    <mergeCell ref="G767:H770"/>
    <mergeCell ref="I767:J770"/>
    <mergeCell ref="L767:L770"/>
    <mergeCell ref="M767:M770"/>
    <mergeCell ref="N767:O770"/>
    <mergeCell ref="R767:S770"/>
    <mergeCell ref="K767:K770"/>
    <mergeCell ref="P767:Q770"/>
    <mergeCell ref="D767:D770"/>
    <mergeCell ref="AR763:AR764"/>
    <mergeCell ref="BC763:BD763"/>
    <mergeCell ref="BR763:BR766"/>
    <mergeCell ref="BS763:BT766"/>
    <mergeCell ref="BU763:BU766"/>
    <mergeCell ref="BV763:BV766"/>
    <mergeCell ref="BW763:BW766"/>
    <mergeCell ref="BC764:BD764"/>
    <mergeCell ref="AC765:AE765"/>
    <mergeCell ref="BC765:BD765"/>
    <mergeCell ref="AC766:AE766"/>
    <mergeCell ref="BC766:BD766"/>
    <mergeCell ref="AI763:AI764"/>
    <mergeCell ref="AJ763:AJ764"/>
    <mergeCell ref="AK763:AK764"/>
    <mergeCell ref="AL763:AL764"/>
    <mergeCell ref="AM763:AM764"/>
    <mergeCell ref="AN763:AN764"/>
    <mergeCell ref="AO763:AO764"/>
    <mergeCell ref="AP763:AP764"/>
    <mergeCell ref="AQ763:AQ764"/>
    <mergeCell ref="T763:U766"/>
    <mergeCell ref="V763:V766"/>
    <mergeCell ref="W763:Y766"/>
    <mergeCell ref="Z763:Z766"/>
    <mergeCell ref="AA763:AB766"/>
    <mergeCell ref="AC763:AE764"/>
    <mergeCell ref="AF763:AF764"/>
    <mergeCell ref="AG763:AG764"/>
    <mergeCell ref="AH763:AH764"/>
    <mergeCell ref="A763:A766"/>
    <mergeCell ref="B763:C766"/>
    <mergeCell ref="E763:F766"/>
    <mergeCell ref="G763:H766"/>
    <mergeCell ref="I763:J766"/>
    <mergeCell ref="L763:L766"/>
    <mergeCell ref="M763:M766"/>
    <mergeCell ref="N763:O766"/>
    <mergeCell ref="R763:S766"/>
    <mergeCell ref="K763:K766"/>
    <mergeCell ref="P763:Q766"/>
    <mergeCell ref="D763:D766"/>
    <mergeCell ref="AR759:AR760"/>
    <mergeCell ref="BC759:BD759"/>
    <mergeCell ref="BR759:BR762"/>
    <mergeCell ref="BS759:BT762"/>
    <mergeCell ref="BU759:BU762"/>
    <mergeCell ref="BV759:BV762"/>
    <mergeCell ref="BW759:BW762"/>
    <mergeCell ref="BC760:BD760"/>
    <mergeCell ref="AC761:AE761"/>
    <mergeCell ref="BC761:BD761"/>
    <mergeCell ref="AC762:AE762"/>
    <mergeCell ref="BC762:BD762"/>
    <mergeCell ref="AI759:AI760"/>
    <mergeCell ref="AJ759:AJ760"/>
    <mergeCell ref="AK759:AK760"/>
    <mergeCell ref="AL759:AL760"/>
    <mergeCell ref="AM759:AM760"/>
    <mergeCell ref="AN759:AN760"/>
    <mergeCell ref="AO759:AO760"/>
    <mergeCell ref="AP759:AP760"/>
    <mergeCell ref="AQ759:AQ760"/>
    <mergeCell ref="T759:U762"/>
    <mergeCell ref="V759:V762"/>
    <mergeCell ref="W759:Y762"/>
    <mergeCell ref="Z759:Z762"/>
    <mergeCell ref="AA759:AB762"/>
    <mergeCell ref="AC759:AE760"/>
    <mergeCell ref="AF759:AF760"/>
    <mergeCell ref="AG759:AG760"/>
    <mergeCell ref="AH759:AH760"/>
    <mergeCell ref="A759:A762"/>
    <mergeCell ref="B759:C762"/>
    <mergeCell ref="E759:F762"/>
    <mergeCell ref="G759:H762"/>
    <mergeCell ref="I759:J762"/>
    <mergeCell ref="L759:L762"/>
    <mergeCell ref="M759:M762"/>
    <mergeCell ref="N759:O762"/>
    <mergeCell ref="R759:S762"/>
    <mergeCell ref="K759:K762"/>
    <mergeCell ref="P759:Q762"/>
    <mergeCell ref="D759:D762"/>
    <mergeCell ref="AR755:AR756"/>
    <mergeCell ref="BC755:BD755"/>
    <mergeCell ref="BR755:BR758"/>
    <mergeCell ref="BS755:BT758"/>
    <mergeCell ref="BU755:BU758"/>
    <mergeCell ref="BV755:BV758"/>
    <mergeCell ref="BW755:BW758"/>
    <mergeCell ref="BC756:BD756"/>
    <mergeCell ref="AC757:AE757"/>
    <mergeCell ref="BC757:BD757"/>
    <mergeCell ref="AC758:AE758"/>
    <mergeCell ref="BC758:BD758"/>
    <mergeCell ref="AI755:AI756"/>
    <mergeCell ref="AJ755:AJ756"/>
    <mergeCell ref="AK755:AK756"/>
    <mergeCell ref="AL755:AL756"/>
    <mergeCell ref="AM755:AM756"/>
    <mergeCell ref="AN755:AN756"/>
    <mergeCell ref="AO755:AO756"/>
    <mergeCell ref="AP755:AP756"/>
    <mergeCell ref="AQ755:AQ756"/>
    <mergeCell ref="T755:U758"/>
    <mergeCell ref="V755:V758"/>
    <mergeCell ref="W755:Y758"/>
    <mergeCell ref="Z755:Z758"/>
    <mergeCell ref="AA755:AB758"/>
    <mergeCell ref="AC755:AE756"/>
    <mergeCell ref="AF755:AF756"/>
    <mergeCell ref="AG755:AG756"/>
    <mergeCell ref="AH755:AH756"/>
    <mergeCell ref="A755:A758"/>
    <mergeCell ref="B755:C758"/>
    <mergeCell ref="E755:F758"/>
    <mergeCell ref="G755:H758"/>
    <mergeCell ref="I755:J758"/>
    <mergeCell ref="L755:L758"/>
    <mergeCell ref="M755:M758"/>
    <mergeCell ref="N755:O758"/>
    <mergeCell ref="R755:S758"/>
    <mergeCell ref="K755:K758"/>
    <mergeCell ref="P755:Q758"/>
    <mergeCell ref="D755:D758"/>
    <mergeCell ref="AR751:AR752"/>
    <mergeCell ref="BC751:BD751"/>
    <mergeCell ref="BR751:BR754"/>
    <mergeCell ref="BS751:BT754"/>
    <mergeCell ref="BU751:BU754"/>
    <mergeCell ref="BV751:BV754"/>
    <mergeCell ref="BW751:BW754"/>
    <mergeCell ref="BC752:BD752"/>
    <mergeCell ref="AC753:AE753"/>
    <mergeCell ref="BC753:BD753"/>
    <mergeCell ref="AC754:AE754"/>
    <mergeCell ref="BC754:BD754"/>
    <mergeCell ref="AI751:AI752"/>
    <mergeCell ref="AJ751:AJ752"/>
    <mergeCell ref="AK751:AK752"/>
    <mergeCell ref="AL751:AL752"/>
    <mergeCell ref="AM751:AM752"/>
    <mergeCell ref="AN751:AN752"/>
    <mergeCell ref="AO751:AO752"/>
    <mergeCell ref="AP751:AP752"/>
    <mergeCell ref="AQ751:AQ752"/>
    <mergeCell ref="T751:U754"/>
    <mergeCell ref="V751:V754"/>
    <mergeCell ref="W751:Y754"/>
    <mergeCell ref="Z751:Z754"/>
    <mergeCell ref="AA751:AB754"/>
    <mergeCell ref="AC751:AE752"/>
    <mergeCell ref="AF751:AF752"/>
    <mergeCell ref="AG751:AG752"/>
    <mergeCell ref="AH751:AH752"/>
    <mergeCell ref="A751:A754"/>
    <mergeCell ref="B751:C754"/>
    <mergeCell ref="E751:F754"/>
    <mergeCell ref="G751:H754"/>
    <mergeCell ref="I751:J754"/>
    <mergeCell ref="L751:L754"/>
    <mergeCell ref="M751:M754"/>
    <mergeCell ref="N751:O754"/>
    <mergeCell ref="R751:S754"/>
    <mergeCell ref="K751:K754"/>
    <mergeCell ref="P751:Q754"/>
    <mergeCell ref="D751:D754"/>
    <mergeCell ref="AR747:AR748"/>
    <mergeCell ref="BC747:BD747"/>
    <mergeCell ref="BR747:BR750"/>
    <mergeCell ref="BS747:BT750"/>
    <mergeCell ref="BU747:BU750"/>
    <mergeCell ref="BV747:BV750"/>
    <mergeCell ref="BW747:BW750"/>
    <mergeCell ref="BC748:BD748"/>
    <mergeCell ref="AC749:AE749"/>
    <mergeCell ref="BC749:BD749"/>
    <mergeCell ref="AC750:AE750"/>
    <mergeCell ref="BC750:BD750"/>
    <mergeCell ref="AI747:AI748"/>
    <mergeCell ref="AJ747:AJ748"/>
    <mergeCell ref="AK747:AK748"/>
    <mergeCell ref="AL747:AL748"/>
    <mergeCell ref="AM747:AM748"/>
    <mergeCell ref="AN747:AN748"/>
    <mergeCell ref="AO747:AO748"/>
    <mergeCell ref="AP747:AP748"/>
    <mergeCell ref="AQ747:AQ748"/>
    <mergeCell ref="T747:U750"/>
    <mergeCell ref="V747:V750"/>
    <mergeCell ref="W747:Y750"/>
    <mergeCell ref="Z747:Z750"/>
    <mergeCell ref="AA747:AB750"/>
    <mergeCell ref="AC747:AE748"/>
    <mergeCell ref="AF747:AF748"/>
    <mergeCell ref="AG747:AG748"/>
    <mergeCell ref="AH747:AH748"/>
    <mergeCell ref="A747:A750"/>
    <mergeCell ref="B747:C750"/>
    <mergeCell ref="E747:F750"/>
    <mergeCell ref="G747:H750"/>
    <mergeCell ref="I747:J750"/>
    <mergeCell ref="L747:L750"/>
    <mergeCell ref="M747:M750"/>
    <mergeCell ref="N747:O750"/>
    <mergeCell ref="R747:S750"/>
    <mergeCell ref="K747:K750"/>
    <mergeCell ref="P747:Q750"/>
    <mergeCell ref="D747:D750"/>
    <mergeCell ref="AR743:AR744"/>
    <mergeCell ref="BC743:BD743"/>
    <mergeCell ref="BR743:BR746"/>
    <mergeCell ref="BS743:BT746"/>
    <mergeCell ref="BU743:BU746"/>
    <mergeCell ref="BV743:BV746"/>
    <mergeCell ref="BW743:BW746"/>
    <mergeCell ref="BC744:BD744"/>
    <mergeCell ref="AC745:AE745"/>
    <mergeCell ref="BC745:BD745"/>
    <mergeCell ref="AC746:AE746"/>
    <mergeCell ref="BC746:BD746"/>
    <mergeCell ref="AI743:AI744"/>
    <mergeCell ref="AJ743:AJ744"/>
    <mergeCell ref="AK743:AK744"/>
    <mergeCell ref="AL743:AL744"/>
    <mergeCell ref="AM743:AM744"/>
    <mergeCell ref="AN743:AN744"/>
    <mergeCell ref="AO743:AO744"/>
    <mergeCell ref="AP743:AP744"/>
    <mergeCell ref="AQ743:AQ744"/>
    <mergeCell ref="T743:U746"/>
    <mergeCell ref="V743:V746"/>
    <mergeCell ref="W743:Y746"/>
    <mergeCell ref="Z743:Z746"/>
    <mergeCell ref="AA743:AB746"/>
    <mergeCell ref="AC743:AE744"/>
    <mergeCell ref="AF743:AF744"/>
    <mergeCell ref="AG743:AG744"/>
    <mergeCell ref="AH743:AH744"/>
    <mergeCell ref="A743:A746"/>
    <mergeCell ref="B743:C746"/>
    <mergeCell ref="E743:F746"/>
    <mergeCell ref="G743:H746"/>
    <mergeCell ref="I743:J746"/>
    <mergeCell ref="L743:L746"/>
    <mergeCell ref="M743:M746"/>
    <mergeCell ref="N743:O746"/>
    <mergeCell ref="R743:S746"/>
    <mergeCell ref="K743:K746"/>
    <mergeCell ref="P743:Q746"/>
    <mergeCell ref="D743:D746"/>
    <mergeCell ref="AR739:AR740"/>
    <mergeCell ref="BC739:BD739"/>
    <mergeCell ref="BR739:BR742"/>
    <mergeCell ref="BS739:BT742"/>
    <mergeCell ref="BU739:BU742"/>
    <mergeCell ref="BV739:BV742"/>
    <mergeCell ref="BW739:BW742"/>
    <mergeCell ref="BC740:BD740"/>
    <mergeCell ref="AC741:AE741"/>
    <mergeCell ref="BC741:BD741"/>
    <mergeCell ref="AC742:AE742"/>
    <mergeCell ref="BC742:BD742"/>
    <mergeCell ref="AI739:AI740"/>
    <mergeCell ref="AJ739:AJ740"/>
    <mergeCell ref="AK739:AK740"/>
    <mergeCell ref="AL739:AL740"/>
    <mergeCell ref="AM739:AM740"/>
    <mergeCell ref="AN739:AN740"/>
    <mergeCell ref="AO739:AO740"/>
    <mergeCell ref="AP739:AP740"/>
    <mergeCell ref="AQ739:AQ740"/>
    <mergeCell ref="T739:U742"/>
    <mergeCell ref="V739:V742"/>
    <mergeCell ref="W739:Y742"/>
    <mergeCell ref="Z739:Z742"/>
    <mergeCell ref="AA739:AB742"/>
    <mergeCell ref="AC739:AE740"/>
    <mergeCell ref="AF739:AF740"/>
    <mergeCell ref="AG739:AG740"/>
    <mergeCell ref="AH739:AH740"/>
    <mergeCell ref="A739:A742"/>
    <mergeCell ref="B739:C742"/>
    <mergeCell ref="E739:F742"/>
    <mergeCell ref="G739:H742"/>
    <mergeCell ref="I739:J742"/>
    <mergeCell ref="L739:L742"/>
    <mergeCell ref="M739:M742"/>
    <mergeCell ref="N739:O742"/>
    <mergeCell ref="R739:S742"/>
    <mergeCell ref="K739:K742"/>
    <mergeCell ref="P739:Q742"/>
    <mergeCell ref="D739:D742"/>
    <mergeCell ref="AR735:AR736"/>
    <mergeCell ref="BC735:BD735"/>
    <mergeCell ref="BR735:BR738"/>
    <mergeCell ref="BS735:BT738"/>
    <mergeCell ref="BU735:BU738"/>
    <mergeCell ref="BV735:BV738"/>
    <mergeCell ref="BW735:BW738"/>
    <mergeCell ref="BC736:BD736"/>
    <mergeCell ref="AC737:AE737"/>
    <mergeCell ref="BC737:BD737"/>
    <mergeCell ref="AC738:AE738"/>
    <mergeCell ref="BC738:BD738"/>
    <mergeCell ref="AI735:AI736"/>
    <mergeCell ref="AJ735:AJ736"/>
    <mergeCell ref="AK735:AK736"/>
    <mergeCell ref="AL735:AL736"/>
    <mergeCell ref="AM735:AM736"/>
    <mergeCell ref="AN735:AN736"/>
    <mergeCell ref="AO735:AO736"/>
    <mergeCell ref="AP735:AP736"/>
    <mergeCell ref="AQ735:AQ736"/>
    <mergeCell ref="T735:U738"/>
    <mergeCell ref="V735:V738"/>
    <mergeCell ref="W735:Y738"/>
    <mergeCell ref="Z735:Z738"/>
    <mergeCell ref="AA735:AB738"/>
    <mergeCell ref="AC735:AE736"/>
    <mergeCell ref="AF735:AF736"/>
    <mergeCell ref="AG735:AG736"/>
    <mergeCell ref="AH735:AH736"/>
    <mergeCell ref="A735:A738"/>
    <mergeCell ref="B735:C738"/>
    <mergeCell ref="E735:F738"/>
    <mergeCell ref="G735:H738"/>
    <mergeCell ref="I735:J738"/>
    <mergeCell ref="L735:L738"/>
    <mergeCell ref="M735:M738"/>
    <mergeCell ref="N735:O738"/>
    <mergeCell ref="R735:S738"/>
    <mergeCell ref="K735:K738"/>
    <mergeCell ref="P735:Q738"/>
    <mergeCell ref="D735:D738"/>
    <mergeCell ref="AR731:AR732"/>
    <mergeCell ref="BC731:BD731"/>
    <mergeCell ref="BR731:BR734"/>
    <mergeCell ref="BS731:BT734"/>
    <mergeCell ref="BU731:BU734"/>
    <mergeCell ref="BV731:BV734"/>
    <mergeCell ref="BW731:BW734"/>
    <mergeCell ref="BC732:BD732"/>
    <mergeCell ref="AC733:AE733"/>
    <mergeCell ref="BC733:BD733"/>
    <mergeCell ref="AC734:AE734"/>
    <mergeCell ref="BC734:BD734"/>
    <mergeCell ref="AI731:AI732"/>
    <mergeCell ref="AJ731:AJ732"/>
    <mergeCell ref="AK731:AK732"/>
    <mergeCell ref="AL731:AL732"/>
    <mergeCell ref="AM731:AM732"/>
    <mergeCell ref="AN731:AN732"/>
    <mergeCell ref="AO731:AO732"/>
    <mergeCell ref="AP731:AP732"/>
    <mergeCell ref="AQ731:AQ732"/>
    <mergeCell ref="T731:U734"/>
    <mergeCell ref="V731:V734"/>
    <mergeCell ref="W731:Y734"/>
    <mergeCell ref="Z731:Z734"/>
    <mergeCell ref="AA731:AB734"/>
    <mergeCell ref="AC731:AE732"/>
    <mergeCell ref="AF731:AF732"/>
    <mergeCell ref="AG731:AG732"/>
    <mergeCell ref="AH731:AH732"/>
    <mergeCell ref="A731:A734"/>
    <mergeCell ref="B731:C734"/>
    <mergeCell ref="E731:F734"/>
    <mergeCell ref="G731:H734"/>
    <mergeCell ref="I731:J734"/>
    <mergeCell ref="L731:L734"/>
    <mergeCell ref="M731:M734"/>
    <mergeCell ref="N731:O734"/>
    <mergeCell ref="R731:S734"/>
    <mergeCell ref="K731:K734"/>
    <mergeCell ref="P731:Q734"/>
    <mergeCell ref="D731:D734"/>
    <mergeCell ref="AR727:AR728"/>
    <mergeCell ref="BC727:BD727"/>
    <mergeCell ref="BR727:BR730"/>
    <mergeCell ref="BS727:BT730"/>
    <mergeCell ref="BU727:BU730"/>
    <mergeCell ref="BV727:BV730"/>
    <mergeCell ref="BW727:BW730"/>
    <mergeCell ref="BC728:BD728"/>
    <mergeCell ref="AC729:AE729"/>
    <mergeCell ref="BC729:BD729"/>
    <mergeCell ref="AC730:AE730"/>
    <mergeCell ref="BC730:BD730"/>
    <mergeCell ref="AI727:AI728"/>
    <mergeCell ref="AJ727:AJ728"/>
    <mergeCell ref="AK727:AK728"/>
    <mergeCell ref="AL727:AL728"/>
    <mergeCell ref="AM727:AM728"/>
    <mergeCell ref="AN727:AN728"/>
    <mergeCell ref="AO727:AO728"/>
    <mergeCell ref="AP727:AP728"/>
    <mergeCell ref="AQ727:AQ728"/>
    <mergeCell ref="T727:U730"/>
    <mergeCell ref="V727:V730"/>
    <mergeCell ref="W727:Y730"/>
    <mergeCell ref="Z727:Z730"/>
    <mergeCell ref="AA727:AB730"/>
    <mergeCell ref="AC727:AE728"/>
    <mergeCell ref="AF727:AF728"/>
    <mergeCell ref="AG727:AG728"/>
    <mergeCell ref="AH727:AH728"/>
    <mergeCell ref="A727:A730"/>
    <mergeCell ref="B727:C730"/>
    <mergeCell ref="E727:F730"/>
    <mergeCell ref="G727:H730"/>
    <mergeCell ref="I727:J730"/>
    <mergeCell ref="L727:L730"/>
    <mergeCell ref="M727:M730"/>
    <mergeCell ref="N727:O730"/>
    <mergeCell ref="R727:S730"/>
    <mergeCell ref="K727:K730"/>
    <mergeCell ref="P727:Q730"/>
    <mergeCell ref="D727:D730"/>
    <mergeCell ref="AR723:AR724"/>
    <mergeCell ref="BC723:BD723"/>
    <mergeCell ref="BR723:BR726"/>
    <mergeCell ref="BS723:BT726"/>
    <mergeCell ref="BU723:BU726"/>
    <mergeCell ref="BV723:BV726"/>
    <mergeCell ref="BW723:BW726"/>
    <mergeCell ref="BC724:BD724"/>
    <mergeCell ref="AC725:AE725"/>
    <mergeCell ref="BC725:BD725"/>
    <mergeCell ref="AC726:AE726"/>
    <mergeCell ref="BC726:BD726"/>
    <mergeCell ref="AI723:AI724"/>
    <mergeCell ref="AJ723:AJ724"/>
    <mergeCell ref="AK723:AK724"/>
    <mergeCell ref="AL723:AL724"/>
    <mergeCell ref="AM723:AM724"/>
    <mergeCell ref="AN723:AN724"/>
    <mergeCell ref="AO723:AO724"/>
    <mergeCell ref="AP723:AP724"/>
    <mergeCell ref="AQ723:AQ724"/>
    <mergeCell ref="T723:U726"/>
    <mergeCell ref="V723:V726"/>
    <mergeCell ref="W723:Y726"/>
    <mergeCell ref="Z723:Z726"/>
    <mergeCell ref="AA723:AB726"/>
    <mergeCell ref="AC723:AE724"/>
    <mergeCell ref="AF723:AF724"/>
    <mergeCell ref="AG723:AG724"/>
    <mergeCell ref="AH723:AH724"/>
    <mergeCell ref="A723:A726"/>
    <mergeCell ref="B723:C726"/>
    <mergeCell ref="E723:F726"/>
    <mergeCell ref="G723:H726"/>
    <mergeCell ref="I723:J726"/>
    <mergeCell ref="L723:L726"/>
    <mergeCell ref="M723:M726"/>
    <mergeCell ref="N723:O726"/>
    <mergeCell ref="R723:S726"/>
    <mergeCell ref="K723:K726"/>
    <mergeCell ref="P723:Q726"/>
    <mergeCell ref="D723:D726"/>
    <mergeCell ref="AR719:AR720"/>
    <mergeCell ref="BC719:BD719"/>
    <mergeCell ref="BR719:BR722"/>
    <mergeCell ref="BS719:BT722"/>
    <mergeCell ref="BU719:BU722"/>
    <mergeCell ref="BV719:BV722"/>
    <mergeCell ref="BW719:BW722"/>
    <mergeCell ref="BC720:BD720"/>
    <mergeCell ref="AC721:AE721"/>
    <mergeCell ref="BC721:BD721"/>
    <mergeCell ref="AC722:AE722"/>
    <mergeCell ref="BC722:BD722"/>
    <mergeCell ref="AI719:AI720"/>
    <mergeCell ref="AJ719:AJ720"/>
    <mergeCell ref="AK719:AK720"/>
    <mergeCell ref="AL719:AL720"/>
    <mergeCell ref="AM719:AM720"/>
    <mergeCell ref="AN719:AN720"/>
    <mergeCell ref="AO719:AO720"/>
    <mergeCell ref="AP719:AP720"/>
    <mergeCell ref="AQ719:AQ720"/>
    <mergeCell ref="T719:U722"/>
    <mergeCell ref="V719:V722"/>
    <mergeCell ref="W719:Y722"/>
    <mergeCell ref="Z719:Z722"/>
    <mergeCell ref="AA719:AB722"/>
    <mergeCell ref="AC719:AE720"/>
    <mergeCell ref="AF719:AF720"/>
    <mergeCell ref="AG719:AG720"/>
    <mergeCell ref="AH719:AH720"/>
    <mergeCell ref="A719:A722"/>
    <mergeCell ref="B719:C722"/>
    <mergeCell ref="E719:F722"/>
    <mergeCell ref="G719:H722"/>
    <mergeCell ref="I719:J722"/>
    <mergeCell ref="L719:L722"/>
    <mergeCell ref="M719:M722"/>
    <mergeCell ref="N719:O722"/>
    <mergeCell ref="R719:S722"/>
    <mergeCell ref="K719:K722"/>
    <mergeCell ref="P719:Q722"/>
    <mergeCell ref="D719:D722"/>
    <mergeCell ref="AR715:AR716"/>
    <mergeCell ref="BC715:BD715"/>
    <mergeCell ref="BR715:BR718"/>
    <mergeCell ref="BS715:BT718"/>
    <mergeCell ref="BU715:BU718"/>
    <mergeCell ref="BV715:BV718"/>
    <mergeCell ref="BW715:BW718"/>
    <mergeCell ref="BC716:BD716"/>
    <mergeCell ref="AC717:AE717"/>
    <mergeCell ref="BC717:BD717"/>
    <mergeCell ref="AC718:AE718"/>
    <mergeCell ref="BC718:BD718"/>
    <mergeCell ref="AI715:AI716"/>
    <mergeCell ref="AJ715:AJ716"/>
    <mergeCell ref="AK715:AK716"/>
    <mergeCell ref="AL715:AL716"/>
    <mergeCell ref="AM715:AM716"/>
    <mergeCell ref="AN715:AN716"/>
    <mergeCell ref="AO715:AO716"/>
    <mergeCell ref="AP715:AP716"/>
    <mergeCell ref="AQ715:AQ716"/>
    <mergeCell ref="T715:U718"/>
    <mergeCell ref="V715:V718"/>
    <mergeCell ref="W715:Y718"/>
    <mergeCell ref="Z715:Z718"/>
    <mergeCell ref="AA715:AB718"/>
    <mergeCell ref="AC715:AE716"/>
    <mergeCell ref="AF715:AF716"/>
    <mergeCell ref="AG715:AG716"/>
    <mergeCell ref="AH715:AH716"/>
    <mergeCell ref="A715:A718"/>
    <mergeCell ref="B715:C718"/>
    <mergeCell ref="E715:F718"/>
    <mergeCell ref="G715:H718"/>
    <mergeCell ref="I715:J718"/>
    <mergeCell ref="L715:L718"/>
    <mergeCell ref="M715:M718"/>
    <mergeCell ref="N715:O718"/>
    <mergeCell ref="R715:S718"/>
    <mergeCell ref="K715:K718"/>
    <mergeCell ref="P715:Q718"/>
    <mergeCell ref="D715:D718"/>
    <mergeCell ref="AR711:AR712"/>
    <mergeCell ref="BC711:BD711"/>
    <mergeCell ref="BR711:BR714"/>
    <mergeCell ref="BS711:BT714"/>
    <mergeCell ref="BU711:BU714"/>
    <mergeCell ref="BV711:BV714"/>
    <mergeCell ref="BW711:BW714"/>
    <mergeCell ref="BC712:BD712"/>
    <mergeCell ref="AC713:AE713"/>
    <mergeCell ref="BC713:BD713"/>
    <mergeCell ref="AC714:AE714"/>
    <mergeCell ref="BC714:BD714"/>
    <mergeCell ref="AI711:AI712"/>
    <mergeCell ref="AJ711:AJ712"/>
    <mergeCell ref="AK711:AK712"/>
    <mergeCell ref="AL711:AL712"/>
    <mergeCell ref="AM711:AM712"/>
    <mergeCell ref="AN711:AN712"/>
    <mergeCell ref="AO711:AO712"/>
    <mergeCell ref="AP711:AP712"/>
    <mergeCell ref="AQ711:AQ712"/>
    <mergeCell ref="T711:U714"/>
    <mergeCell ref="V711:V714"/>
    <mergeCell ref="W711:Y714"/>
    <mergeCell ref="Z711:Z714"/>
    <mergeCell ref="AA711:AB714"/>
    <mergeCell ref="AC711:AE712"/>
    <mergeCell ref="AF711:AF712"/>
    <mergeCell ref="AG711:AG712"/>
    <mergeCell ref="AH711:AH712"/>
    <mergeCell ref="A711:A714"/>
    <mergeCell ref="B711:C714"/>
    <mergeCell ref="E711:F714"/>
    <mergeCell ref="G711:H714"/>
    <mergeCell ref="I711:J714"/>
    <mergeCell ref="L711:L714"/>
    <mergeCell ref="M711:M714"/>
    <mergeCell ref="N711:O714"/>
    <mergeCell ref="R711:S714"/>
    <mergeCell ref="K711:K714"/>
    <mergeCell ref="P711:Q714"/>
    <mergeCell ref="D711:D714"/>
    <mergeCell ref="AR707:AR708"/>
    <mergeCell ref="BC707:BD707"/>
    <mergeCell ref="BR707:BR710"/>
    <mergeCell ref="BS707:BT710"/>
    <mergeCell ref="BU707:BU710"/>
    <mergeCell ref="BV707:BV710"/>
    <mergeCell ref="BW707:BW710"/>
    <mergeCell ref="BC708:BD708"/>
    <mergeCell ref="AC709:AE709"/>
    <mergeCell ref="BC709:BD709"/>
    <mergeCell ref="AC710:AE710"/>
    <mergeCell ref="BC710:BD710"/>
    <mergeCell ref="AI707:AI708"/>
    <mergeCell ref="AJ707:AJ708"/>
    <mergeCell ref="AK707:AK708"/>
    <mergeCell ref="AL707:AL708"/>
    <mergeCell ref="AM707:AM708"/>
    <mergeCell ref="AN707:AN708"/>
    <mergeCell ref="AO707:AO708"/>
    <mergeCell ref="AP707:AP708"/>
    <mergeCell ref="AQ707:AQ708"/>
    <mergeCell ref="T707:U710"/>
    <mergeCell ref="V707:V710"/>
    <mergeCell ref="W707:Y710"/>
    <mergeCell ref="Z707:Z710"/>
    <mergeCell ref="AA707:AB710"/>
    <mergeCell ref="AC707:AE708"/>
    <mergeCell ref="AF707:AF708"/>
    <mergeCell ref="AG707:AG708"/>
    <mergeCell ref="AH707:AH708"/>
    <mergeCell ref="A707:A710"/>
    <mergeCell ref="B707:C710"/>
    <mergeCell ref="E707:F710"/>
    <mergeCell ref="G707:H710"/>
    <mergeCell ref="I707:J710"/>
    <mergeCell ref="L707:L710"/>
    <mergeCell ref="M707:M710"/>
    <mergeCell ref="N707:O710"/>
    <mergeCell ref="R707:S710"/>
    <mergeCell ref="K707:K710"/>
    <mergeCell ref="P707:Q710"/>
    <mergeCell ref="D707:D710"/>
    <mergeCell ref="AR703:AR704"/>
    <mergeCell ref="BC703:BD703"/>
    <mergeCell ref="BR703:BR706"/>
    <mergeCell ref="BS703:BT706"/>
    <mergeCell ref="BU703:BU706"/>
    <mergeCell ref="BV703:BV706"/>
    <mergeCell ref="BW703:BW706"/>
    <mergeCell ref="BC704:BD704"/>
    <mergeCell ref="AC705:AE705"/>
    <mergeCell ref="BC705:BD705"/>
    <mergeCell ref="AC706:AE706"/>
    <mergeCell ref="BC706:BD706"/>
    <mergeCell ref="AI703:AI704"/>
    <mergeCell ref="AJ703:AJ704"/>
    <mergeCell ref="AK703:AK704"/>
    <mergeCell ref="AL703:AL704"/>
    <mergeCell ref="AM703:AM704"/>
    <mergeCell ref="AN703:AN704"/>
    <mergeCell ref="AO703:AO704"/>
    <mergeCell ref="AP703:AP704"/>
    <mergeCell ref="AQ703:AQ704"/>
    <mergeCell ref="T703:U706"/>
    <mergeCell ref="V703:V706"/>
    <mergeCell ref="W703:Y706"/>
    <mergeCell ref="Z703:Z706"/>
    <mergeCell ref="AA703:AB706"/>
    <mergeCell ref="AC703:AE704"/>
    <mergeCell ref="AF703:AF704"/>
    <mergeCell ref="AG703:AG704"/>
    <mergeCell ref="AH703:AH704"/>
    <mergeCell ref="A703:A706"/>
    <mergeCell ref="B703:C706"/>
    <mergeCell ref="E703:F706"/>
    <mergeCell ref="G703:H706"/>
    <mergeCell ref="I703:J706"/>
    <mergeCell ref="L703:L706"/>
    <mergeCell ref="M703:M706"/>
    <mergeCell ref="N703:O706"/>
    <mergeCell ref="R703:S706"/>
    <mergeCell ref="K703:K706"/>
    <mergeCell ref="P703:Q706"/>
    <mergeCell ref="D703:D706"/>
    <mergeCell ref="AR699:AR700"/>
    <mergeCell ref="BC699:BD699"/>
    <mergeCell ref="BR699:BR702"/>
    <mergeCell ref="BS699:BT702"/>
    <mergeCell ref="BU699:BU702"/>
    <mergeCell ref="BV699:BV702"/>
    <mergeCell ref="BW699:BW702"/>
    <mergeCell ref="BC700:BD700"/>
    <mergeCell ref="AC701:AE701"/>
    <mergeCell ref="BC701:BD701"/>
    <mergeCell ref="AC702:AE702"/>
    <mergeCell ref="BC702:BD702"/>
    <mergeCell ref="AI699:AI700"/>
    <mergeCell ref="AJ699:AJ700"/>
    <mergeCell ref="AK699:AK700"/>
    <mergeCell ref="AL699:AL700"/>
    <mergeCell ref="AM699:AM700"/>
    <mergeCell ref="AN699:AN700"/>
    <mergeCell ref="AO699:AO700"/>
    <mergeCell ref="AP699:AP700"/>
    <mergeCell ref="AQ699:AQ700"/>
    <mergeCell ref="T699:U702"/>
    <mergeCell ref="V699:V702"/>
    <mergeCell ref="W699:Y702"/>
    <mergeCell ref="Z699:Z702"/>
    <mergeCell ref="AA699:AB702"/>
    <mergeCell ref="AC699:AE700"/>
    <mergeCell ref="AF699:AF700"/>
    <mergeCell ref="AG699:AG700"/>
    <mergeCell ref="AH699:AH700"/>
    <mergeCell ref="A699:A702"/>
    <mergeCell ref="B699:C702"/>
    <mergeCell ref="E699:F702"/>
    <mergeCell ref="G699:H702"/>
    <mergeCell ref="I699:J702"/>
    <mergeCell ref="L699:L702"/>
    <mergeCell ref="M699:M702"/>
    <mergeCell ref="N699:O702"/>
    <mergeCell ref="R699:S702"/>
    <mergeCell ref="K699:K702"/>
    <mergeCell ref="P699:Q702"/>
    <mergeCell ref="D699:D702"/>
    <mergeCell ref="AR695:AR696"/>
    <mergeCell ref="BC695:BD695"/>
    <mergeCell ref="BR695:BR698"/>
    <mergeCell ref="BS695:BT698"/>
    <mergeCell ref="BU695:BU698"/>
    <mergeCell ref="BV695:BV698"/>
    <mergeCell ref="BW695:BW698"/>
    <mergeCell ref="BC696:BD696"/>
    <mergeCell ref="AC697:AE697"/>
    <mergeCell ref="BC697:BD697"/>
    <mergeCell ref="AC698:AE698"/>
    <mergeCell ref="BC698:BD698"/>
    <mergeCell ref="AI695:AI696"/>
    <mergeCell ref="AJ695:AJ696"/>
    <mergeCell ref="AK695:AK696"/>
    <mergeCell ref="AL695:AL696"/>
    <mergeCell ref="AM695:AM696"/>
    <mergeCell ref="AN695:AN696"/>
    <mergeCell ref="AO695:AO696"/>
    <mergeCell ref="AP695:AP696"/>
    <mergeCell ref="AQ695:AQ696"/>
    <mergeCell ref="T695:U698"/>
    <mergeCell ref="V695:V698"/>
    <mergeCell ref="W695:Y698"/>
    <mergeCell ref="Z695:Z698"/>
    <mergeCell ref="AA695:AB698"/>
    <mergeCell ref="AC695:AE696"/>
    <mergeCell ref="AF695:AF696"/>
    <mergeCell ref="AG695:AG696"/>
    <mergeCell ref="AH695:AH696"/>
    <mergeCell ref="A695:A698"/>
    <mergeCell ref="B695:C698"/>
    <mergeCell ref="E695:F698"/>
    <mergeCell ref="G695:H698"/>
    <mergeCell ref="I695:J698"/>
    <mergeCell ref="L695:L698"/>
    <mergeCell ref="M695:M698"/>
    <mergeCell ref="N695:O698"/>
    <mergeCell ref="R695:S698"/>
    <mergeCell ref="K695:K698"/>
    <mergeCell ref="P695:Q698"/>
    <mergeCell ref="D695:D698"/>
    <mergeCell ref="AR691:AR692"/>
    <mergeCell ref="BC691:BD691"/>
    <mergeCell ref="BR691:BR694"/>
    <mergeCell ref="BS691:BT694"/>
    <mergeCell ref="BU691:BU694"/>
    <mergeCell ref="BV691:BV694"/>
    <mergeCell ref="BW691:BW694"/>
    <mergeCell ref="BC692:BD692"/>
    <mergeCell ref="AC693:AE693"/>
    <mergeCell ref="BC693:BD693"/>
    <mergeCell ref="AC694:AE694"/>
    <mergeCell ref="BC694:BD694"/>
    <mergeCell ref="AI691:AI692"/>
    <mergeCell ref="AJ691:AJ692"/>
    <mergeCell ref="AK691:AK692"/>
    <mergeCell ref="AL691:AL692"/>
    <mergeCell ref="AM691:AM692"/>
    <mergeCell ref="AN691:AN692"/>
    <mergeCell ref="AO691:AO692"/>
    <mergeCell ref="AP691:AP692"/>
    <mergeCell ref="AQ691:AQ692"/>
    <mergeCell ref="T691:U694"/>
    <mergeCell ref="V691:V694"/>
    <mergeCell ref="W691:Y694"/>
    <mergeCell ref="Z691:Z694"/>
    <mergeCell ref="AA691:AB694"/>
    <mergeCell ref="AC691:AE692"/>
    <mergeCell ref="AF691:AF692"/>
    <mergeCell ref="AG691:AG692"/>
    <mergeCell ref="AH691:AH692"/>
    <mergeCell ref="A691:A694"/>
    <mergeCell ref="B691:C694"/>
    <mergeCell ref="E691:F694"/>
    <mergeCell ref="G691:H694"/>
    <mergeCell ref="I691:J694"/>
    <mergeCell ref="L691:L694"/>
    <mergeCell ref="M691:M694"/>
    <mergeCell ref="N691:O694"/>
    <mergeCell ref="R691:S694"/>
    <mergeCell ref="K691:K694"/>
    <mergeCell ref="P691:Q694"/>
    <mergeCell ref="D691:D694"/>
    <mergeCell ref="AR687:AR688"/>
    <mergeCell ref="BC687:BD687"/>
    <mergeCell ref="BR687:BR690"/>
    <mergeCell ref="BS687:BT690"/>
    <mergeCell ref="BU687:BU690"/>
    <mergeCell ref="BV687:BV690"/>
    <mergeCell ref="BW687:BW690"/>
    <mergeCell ref="BC688:BD688"/>
    <mergeCell ref="AC689:AE689"/>
    <mergeCell ref="BC689:BD689"/>
    <mergeCell ref="AC690:AE690"/>
    <mergeCell ref="BC690:BD690"/>
    <mergeCell ref="AI687:AI688"/>
    <mergeCell ref="AJ687:AJ688"/>
    <mergeCell ref="AK687:AK688"/>
    <mergeCell ref="AL687:AL688"/>
    <mergeCell ref="AM687:AM688"/>
    <mergeCell ref="AN687:AN688"/>
    <mergeCell ref="AO687:AO688"/>
    <mergeCell ref="AP687:AP688"/>
    <mergeCell ref="AQ687:AQ688"/>
    <mergeCell ref="T687:U690"/>
    <mergeCell ref="V687:V690"/>
    <mergeCell ref="W687:Y690"/>
    <mergeCell ref="Z687:Z690"/>
    <mergeCell ref="AA687:AB690"/>
    <mergeCell ref="AC687:AE688"/>
    <mergeCell ref="AF687:AF688"/>
    <mergeCell ref="AG687:AG688"/>
    <mergeCell ref="AH687:AH688"/>
    <mergeCell ref="A687:A690"/>
    <mergeCell ref="B687:C690"/>
    <mergeCell ref="E687:F690"/>
    <mergeCell ref="G687:H690"/>
    <mergeCell ref="I687:J690"/>
    <mergeCell ref="L687:L690"/>
    <mergeCell ref="M687:M690"/>
    <mergeCell ref="N687:O690"/>
    <mergeCell ref="R687:S690"/>
    <mergeCell ref="K687:K690"/>
    <mergeCell ref="P687:Q690"/>
    <mergeCell ref="D687:D690"/>
    <mergeCell ref="AR683:AR684"/>
    <mergeCell ref="BC683:BD683"/>
    <mergeCell ref="BR683:BR686"/>
    <mergeCell ref="BS683:BT686"/>
    <mergeCell ref="BU683:BU686"/>
    <mergeCell ref="BV683:BV686"/>
    <mergeCell ref="BW683:BW686"/>
    <mergeCell ref="BC684:BD684"/>
    <mergeCell ref="AC685:AE685"/>
    <mergeCell ref="BC685:BD685"/>
    <mergeCell ref="AC686:AE686"/>
    <mergeCell ref="BC686:BD686"/>
    <mergeCell ref="AI683:AI684"/>
    <mergeCell ref="AJ683:AJ684"/>
    <mergeCell ref="AK683:AK684"/>
    <mergeCell ref="AL683:AL684"/>
    <mergeCell ref="AM683:AM684"/>
    <mergeCell ref="AN683:AN684"/>
    <mergeCell ref="AO683:AO684"/>
    <mergeCell ref="AP683:AP684"/>
    <mergeCell ref="AQ683:AQ684"/>
    <mergeCell ref="T683:U686"/>
    <mergeCell ref="V683:V686"/>
    <mergeCell ref="W683:Y686"/>
    <mergeCell ref="Z683:Z686"/>
    <mergeCell ref="AA683:AB686"/>
    <mergeCell ref="AC683:AE684"/>
    <mergeCell ref="AF683:AF684"/>
    <mergeCell ref="AG683:AG684"/>
    <mergeCell ref="AH683:AH684"/>
    <mergeCell ref="A683:A686"/>
    <mergeCell ref="B683:C686"/>
    <mergeCell ref="E683:F686"/>
    <mergeCell ref="G683:H686"/>
    <mergeCell ref="I683:J686"/>
    <mergeCell ref="L683:L686"/>
    <mergeCell ref="M683:M686"/>
    <mergeCell ref="N683:O686"/>
    <mergeCell ref="R683:S686"/>
    <mergeCell ref="K683:K686"/>
    <mergeCell ref="P683:Q686"/>
    <mergeCell ref="D683:D686"/>
    <mergeCell ref="AR679:AR680"/>
    <mergeCell ref="BC679:BD679"/>
    <mergeCell ref="BR679:BR682"/>
    <mergeCell ref="BS679:BT682"/>
    <mergeCell ref="BU679:BU682"/>
    <mergeCell ref="BV679:BV682"/>
    <mergeCell ref="BW679:BW682"/>
    <mergeCell ref="BC680:BD680"/>
    <mergeCell ref="AC681:AE681"/>
    <mergeCell ref="BC681:BD681"/>
    <mergeCell ref="AC682:AE682"/>
    <mergeCell ref="BC682:BD682"/>
    <mergeCell ref="AI679:AI680"/>
    <mergeCell ref="AJ679:AJ680"/>
    <mergeCell ref="AK679:AK680"/>
    <mergeCell ref="AL679:AL680"/>
    <mergeCell ref="AM679:AM680"/>
    <mergeCell ref="AN679:AN680"/>
    <mergeCell ref="AO679:AO680"/>
    <mergeCell ref="AP679:AP680"/>
    <mergeCell ref="AQ679:AQ680"/>
    <mergeCell ref="T679:U682"/>
    <mergeCell ref="V679:V682"/>
    <mergeCell ref="W679:Y682"/>
    <mergeCell ref="Z679:Z682"/>
    <mergeCell ref="AA679:AB682"/>
    <mergeCell ref="AC679:AE680"/>
    <mergeCell ref="AF679:AF680"/>
    <mergeCell ref="AG679:AG680"/>
    <mergeCell ref="AH679:AH680"/>
    <mergeCell ref="A679:A682"/>
    <mergeCell ref="B679:C682"/>
    <mergeCell ref="E679:F682"/>
    <mergeCell ref="G679:H682"/>
    <mergeCell ref="I679:J682"/>
    <mergeCell ref="L679:L682"/>
    <mergeCell ref="M679:M682"/>
    <mergeCell ref="N679:O682"/>
    <mergeCell ref="R679:S682"/>
    <mergeCell ref="K679:K682"/>
    <mergeCell ref="P679:Q682"/>
    <mergeCell ref="D679:D682"/>
    <mergeCell ref="AR675:AR676"/>
    <mergeCell ref="BC675:BD675"/>
    <mergeCell ref="BR675:BR678"/>
    <mergeCell ref="BS675:BT678"/>
    <mergeCell ref="BU675:BU678"/>
    <mergeCell ref="BV675:BV678"/>
    <mergeCell ref="BW675:BW678"/>
    <mergeCell ref="BC676:BD676"/>
    <mergeCell ref="AC677:AE677"/>
    <mergeCell ref="BC677:BD677"/>
    <mergeCell ref="AC678:AE678"/>
    <mergeCell ref="BC678:BD678"/>
    <mergeCell ref="AI675:AI676"/>
    <mergeCell ref="AJ675:AJ676"/>
    <mergeCell ref="AK675:AK676"/>
    <mergeCell ref="AL675:AL676"/>
    <mergeCell ref="AM675:AM676"/>
    <mergeCell ref="AN675:AN676"/>
    <mergeCell ref="AO675:AO676"/>
    <mergeCell ref="AP675:AP676"/>
    <mergeCell ref="AQ675:AQ676"/>
    <mergeCell ref="T675:U678"/>
    <mergeCell ref="V675:V678"/>
    <mergeCell ref="W675:Y678"/>
    <mergeCell ref="Z675:Z678"/>
    <mergeCell ref="AA675:AB678"/>
    <mergeCell ref="AC675:AE676"/>
    <mergeCell ref="AF675:AF676"/>
    <mergeCell ref="AG675:AG676"/>
    <mergeCell ref="AH675:AH676"/>
    <mergeCell ref="A675:A678"/>
    <mergeCell ref="B675:C678"/>
    <mergeCell ref="E675:F678"/>
    <mergeCell ref="G675:H678"/>
    <mergeCell ref="I675:J678"/>
    <mergeCell ref="L675:L678"/>
    <mergeCell ref="M675:M678"/>
    <mergeCell ref="N675:O678"/>
    <mergeCell ref="R675:S678"/>
    <mergeCell ref="K675:K678"/>
    <mergeCell ref="P675:Q678"/>
    <mergeCell ref="D675:D678"/>
    <mergeCell ref="AR671:AR672"/>
    <mergeCell ref="BC671:BD671"/>
    <mergeCell ref="BR671:BR674"/>
    <mergeCell ref="BS671:BT674"/>
    <mergeCell ref="BU671:BU674"/>
    <mergeCell ref="BV671:BV674"/>
    <mergeCell ref="BW671:BW674"/>
    <mergeCell ref="BC672:BD672"/>
    <mergeCell ref="AC673:AE673"/>
    <mergeCell ref="BC673:BD673"/>
    <mergeCell ref="AC674:AE674"/>
    <mergeCell ref="BC674:BD674"/>
    <mergeCell ref="AI671:AI672"/>
    <mergeCell ref="AJ671:AJ672"/>
    <mergeCell ref="AK671:AK672"/>
    <mergeCell ref="AL671:AL672"/>
    <mergeCell ref="AM671:AM672"/>
    <mergeCell ref="AN671:AN672"/>
    <mergeCell ref="AO671:AO672"/>
    <mergeCell ref="AP671:AP672"/>
    <mergeCell ref="AQ671:AQ672"/>
    <mergeCell ref="T671:U674"/>
    <mergeCell ref="V671:V674"/>
    <mergeCell ref="W671:Y674"/>
    <mergeCell ref="Z671:Z674"/>
    <mergeCell ref="AA671:AB674"/>
    <mergeCell ref="AC671:AE672"/>
    <mergeCell ref="AF671:AF672"/>
    <mergeCell ref="AG671:AG672"/>
    <mergeCell ref="AH671:AH672"/>
    <mergeCell ref="A671:A674"/>
    <mergeCell ref="B671:C674"/>
    <mergeCell ref="E671:F674"/>
    <mergeCell ref="G671:H674"/>
    <mergeCell ref="I671:J674"/>
    <mergeCell ref="L671:L674"/>
    <mergeCell ref="M671:M674"/>
    <mergeCell ref="N671:O674"/>
    <mergeCell ref="R671:S674"/>
    <mergeCell ref="K671:K674"/>
    <mergeCell ref="P671:Q674"/>
    <mergeCell ref="D671:D674"/>
    <mergeCell ref="AR667:AR668"/>
    <mergeCell ref="BC667:BD667"/>
    <mergeCell ref="BR667:BR670"/>
    <mergeCell ref="BS667:BT670"/>
    <mergeCell ref="BU667:BU670"/>
    <mergeCell ref="BV667:BV670"/>
    <mergeCell ref="BW667:BW670"/>
    <mergeCell ref="BC668:BD668"/>
    <mergeCell ref="AC669:AE669"/>
    <mergeCell ref="BC669:BD669"/>
    <mergeCell ref="AC670:AE670"/>
    <mergeCell ref="BC670:BD670"/>
    <mergeCell ref="AI667:AI668"/>
    <mergeCell ref="AJ667:AJ668"/>
    <mergeCell ref="AK667:AK668"/>
    <mergeCell ref="AL667:AL668"/>
    <mergeCell ref="AM667:AM668"/>
    <mergeCell ref="AN667:AN668"/>
    <mergeCell ref="AO667:AO668"/>
    <mergeCell ref="AP667:AP668"/>
    <mergeCell ref="AQ667:AQ668"/>
    <mergeCell ref="T667:U670"/>
    <mergeCell ref="V667:V670"/>
    <mergeCell ref="W667:Y670"/>
    <mergeCell ref="Z667:Z670"/>
    <mergeCell ref="AA667:AB670"/>
    <mergeCell ref="AC667:AE668"/>
    <mergeCell ref="AF667:AF668"/>
    <mergeCell ref="AG667:AG668"/>
    <mergeCell ref="AH667:AH668"/>
    <mergeCell ref="A667:A670"/>
    <mergeCell ref="B667:C670"/>
    <mergeCell ref="E667:F670"/>
    <mergeCell ref="G667:H670"/>
    <mergeCell ref="I667:J670"/>
    <mergeCell ref="L667:L670"/>
    <mergeCell ref="M667:M670"/>
    <mergeCell ref="N667:O670"/>
    <mergeCell ref="R667:S670"/>
    <mergeCell ref="K667:K670"/>
    <mergeCell ref="P667:Q670"/>
    <mergeCell ref="D667:D670"/>
    <mergeCell ref="AR663:AR664"/>
    <mergeCell ref="BC663:BD663"/>
    <mergeCell ref="BR663:BR666"/>
    <mergeCell ref="BS663:BT666"/>
    <mergeCell ref="BU663:BU666"/>
    <mergeCell ref="BV663:BV666"/>
    <mergeCell ref="BW663:BW666"/>
    <mergeCell ref="BC664:BD664"/>
    <mergeCell ref="AC665:AE665"/>
    <mergeCell ref="BC665:BD665"/>
    <mergeCell ref="AC666:AE666"/>
    <mergeCell ref="BC666:BD666"/>
    <mergeCell ref="AI663:AI664"/>
    <mergeCell ref="AJ663:AJ664"/>
    <mergeCell ref="AK663:AK664"/>
    <mergeCell ref="AL663:AL664"/>
    <mergeCell ref="AM663:AM664"/>
    <mergeCell ref="AN663:AN664"/>
    <mergeCell ref="AO663:AO664"/>
    <mergeCell ref="AP663:AP664"/>
    <mergeCell ref="AQ663:AQ664"/>
    <mergeCell ref="T663:U666"/>
    <mergeCell ref="V663:V666"/>
    <mergeCell ref="W663:Y666"/>
    <mergeCell ref="Z663:Z666"/>
    <mergeCell ref="AA663:AB666"/>
    <mergeCell ref="AC663:AE664"/>
    <mergeCell ref="AF663:AF664"/>
    <mergeCell ref="AG663:AG664"/>
    <mergeCell ref="AH663:AH664"/>
    <mergeCell ref="A663:A666"/>
    <mergeCell ref="B663:C666"/>
    <mergeCell ref="E663:F666"/>
    <mergeCell ref="G663:H666"/>
    <mergeCell ref="I663:J666"/>
    <mergeCell ref="L663:L666"/>
    <mergeCell ref="M663:M666"/>
    <mergeCell ref="N663:O666"/>
    <mergeCell ref="R663:S666"/>
    <mergeCell ref="K663:K666"/>
    <mergeCell ref="P663:Q666"/>
    <mergeCell ref="D663:D666"/>
    <mergeCell ref="AR659:AR660"/>
    <mergeCell ref="BC659:BD659"/>
    <mergeCell ref="BR659:BR662"/>
    <mergeCell ref="BS659:BT662"/>
    <mergeCell ref="BU659:BU662"/>
    <mergeCell ref="BV659:BV662"/>
    <mergeCell ref="BW659:BW662"/>
    <mergeCell ref="BC660:BD660"/>
    <mergeCell ref="AC661:AE661"/>
    <mergeCell ref="BC661:BD661"/>
    <mergeCell ref="AC662:AE662"/>
    <mergeCell ref="BC662:BD662"/>
    <mergeCell ref="AI659:AI660"/>
    <mergeCell ref="AJ659:AJ660"/>
    <mergeCell ref="AK659:AK660"/>
    <mergeCell ref="AL659:AL660"/>
    <mergeCell ref="AM659:AM660"/>
    <mergeCell ref="AN659:AN660"/>
    <mergeCell ref="AO659:AO660"/>
    <mergeCell ref="AP659:AP660"/>
    <mergeCell ref="AQ659:AQ660"/>
    <mergeCell ref="T659:U662"/>
    <mergeCell ref="V659:V662"/>
    <mergeCell ref="W659:Y662"/>
    <mergeCell ref="Z659:Z662"/>
    <mergeCell ref="AA659:AB662"/>
    <mergeCell ref="AC659:AE660"/>
    <mergeCell ref="AF659:AF660"/>
    <mergeCell ref="AG659:AG660"/>
    <mergeCell ref="AH659:AH660"/>
    <mergeCell ref="A659:A662"/>
    <mergeCell ref="B659:C662"/>
    <mergeCell ref="E659:F662"/>
    <mergeCell ref="G659:H662"/>
    <mergeCell ref="I659:J662"/>
    <mergeCell ref="L659:L662"/>
    <mergeCell ref="M659:M662"/>
    <mergeCell ref="N659:O662"/>
    <mergeCell ref="R659:S662"/>
    <mergeCell ref="K659:K662"/>
    <mergeCell ref="P659:Q662"/>
    <mergeCell ref="D659:D662"/>
    <mergeCell ref="AR655:AR656"/>
    <mergeCell ref="BC655:BD655"/>
    <mergeCell ref="BR655:BR658"/>
    <mergeCell ref="BS655:BT658"/>
    <mergeCell ref="BU655:BU658"/>
    <mergeCell ref="BV655:BV658"/>
    <mergeCell ref="BW655:BW658"/>
    <mergeCell ref="BC656:BD656"/>
    <mergeCell ref="AC657:AE657"/>
    <mergeCell ref="BC657:BD657"/>
    <mergeCell ref="AC658:AE658"/>
    <mergeCell ref="BC658:BD658"/>
    <mergeCell ref="AI655:AI656"/>
    <mergeCell ref="AJ655:AJ656"/>
    <mergeCell ref="AK655:AK656"/>
    <mergeCell ref="AL655:AL656"/>
    <mergeCell ref="AM655:AM656"/>
    <mergeCell ref="AN655:AN656"/>
    <mergeCell ref="AO655:AO656"/>
    <mergeCell ref="AP655:AP656"/>
    <mergeCell ref="AQ655:AQ656"/>
    <mergeCell ref="T655:U658"/>
    <mergeCell ref="V655:V658"/>
    <mergeCell ref="W655:Y658"/>
    <mergeCell ref="Z655:Z658"/>
    <mergeCell ref="AA655:AB658"/>
    <mergeCell ref="AC655:AE656"/>
    <mergeCell ref="AF655:AF656"/>
    <mergeCell ref="AG655:AG656"/>
    <mergeCell ref="AH655:AH656"/>
    <mergeCell ref="A655:A658"/>
    <mergeCell ref="B655:C658"/>
    <mergeCell ref="E655:F658"/>
    <mergeCell ref="G655:H658"/>
    <mergeCell ref="I655:J658"/>
    <mergeCell ref="L655:L658"/>
    <mergeCell ref="M655:M658"/>
    <mergeCell ref="N655:O658"/>
    <mergeCell ref="R655:S658"/>
    <mergeCell ref="K655:K658"/>
    <mergeCell ref="P655:Q658"/>
    <mergeCell ref="D655:D658"/>
    <mergeCell ref="AR651:AR652"/>
    <mergeCell ref="BC651:BD651"/>
    <mergeCell ref="BR651:BR654"/>
    <mergeCell ref="BS651:BT654"/>
    <mergeCell ref="BU651:BU654"/>
    <mergeCell ref="BV651:BV654"/>
    <mergeCell ref="BW651:BW654"/>
    <mergeCell ref="BC652:BD652"/>
    <mergeCell ref="AC653:AE653"/>
    <mergeCell ref="BC653:BD653"/>
    <mergeCell ref="AC654:AE654"/>
    <mergeCell ref="BC654:BD654"/>
    <mergeCell ref="AI651:AI652"/>
    <mergeCell ref="AJ651:AJ652"/>
    <mergeCell ref="AK651:AK652"/>
    <mergeCell ref="AL651:AL652"/>
    <mergeCell ref="AM651:AM652"/>
    <mergeCell ref="AN651:AN652"/>
    <mergeCell ref="AO651:AO652"/>
    <mergeCell ref="AP651:AP652"/>
    <mergeCell ref="AQ651:AQ652"/>
    <mergeCell ref="T651:U654"/>
    <mergeCell ref="V651:V654"/>
    <mergeCell ref="W651:Y654"/>
    <mergeCell ref="Z651:Z654"/>
    <mergeCell ref="AA651:AB654"/>
    <mergeCell ref="AC651:AE652"/>
    <mergeCell ref="AF651:AF652"/>
    <mergeCell ref="AG651:AG652"/>
    <mergeCell ref="AH651:AH652"/>
    <mergeCell ref="A651:A654"/>
    <mergeCell ref="B651:C654"/>
    <mergeCell ref="E651:F654"/>
    <mergeCell ref="G651:H654"/>
    <mergeCell ref="I651:J654"/>
    <mergeCell ref="L651:L654"/>
    <mergeCell ref="M651:M654"/>
    <mergeCell ref="N651:O654"/>
    <mergeCell ref="R651:S654"/>
    <mergeCell ref="K651:K654"/>
    <mergeCell ref="P651:Q654"/>
    <mergeCell ref="D651:D654"/>
    <mergeCell ref="AR647:AR648"/>
    <mergeCell ref="BC647:BD647"/>
    <mergeCell ref="BR647:BR650"/>
    <mergeCell ref="BS647:BT650"/>
    <mergeCell ref="BU647:BU650"/>
    <mergeCell ref="BV647:BV650"/>
    <mergeCell ref="BW647:BW650"/>
    <mergeCell ref="BC648:BD648"/>
    <mergeCell ref="AC649:AE649"/>
    <mergeCell ref="BC649:BD649"/>
    <mergeCell ref="AC650:AE650"/>
    <mergeCell ref="BC650:BD650"/>
    <mergeCell ref="AI647:AI648"/>
    <mergeCell ref="AJ647:AJ648"/>
    <mergeCell ref="AK647:AK648"/>
    <mergeCell ref="AL647:AL648"/>
    <mergeCell ref="AM647:AM648"/>
    <mergeCell ref="AN647:AN648"/>
    <mergeCell ref="AO647:AO648"/>
    <mergeCell ref="AP647:AP648"/>
    <mergeCell ref="AQ647:AQ648"/>
    <mergeCell ref="T647:U650"/>
    <mergeCell ref="V647:V650"/>
    <mergeCell ref="W647:Y650"/>
    <mergeCell ref="Z647:Z650"/>
    <mergeCell ref="AA647:AB650"/>
    <mergeCell ref="AC647:AE648"/>
    <mergeCell ref="AF647:AF648"/>
    <mergeCell ref="AG647:AG648"/>
    <mergeCell ref="AH647:AH648"/>
    <mergeCell ref="A647:A650"/>
    <mergeCell ref="B647:C650"/>
    <mergeCell ref="E647:F650"/>
    <mergeCell ref="G647:H650"/>
    <mergeCell ref="I647:J650"/>
    <mergeCell ref="L647:L650"/>
    <mergeCell ref="M647:M650"/>
    <mergeCell ref="N647:O650"/>
    <mergeCell ref="R647:S650"/>
    <mergeCell ref="K647:K650"/>
    <mergeCell ref="P647:Q650"/>
    <mergeCell ref="D647:D650"/>
    <mergeCell ref="AR643:AR644"/>
    <mergeCell ref="BC643:BD643"/>
    <mergeCell ref="BR643:BR646"/>
    <mergeCell ref="BS643:BT646"/>
    <mergeCell ref="BU643:BU646"/>
    <mergeCell ref="BV643:BV646"/>
    <mergeCell ref="BW643:BW646"/>
    <mergeCell ref="BC644:BD644"/>
    <mergeCell ref="AC645:AE645"/>
    <mergeCell ref="BC645:BD645"/>
    <mergeCell ref="AC646:AE646"/>
    <mergeCell ref="BC646:BD646"/>
    <mergeCell ref="AI643:AI644"/>
    <mergeCell ref="AJ643:AJ644"/>
    <mergeCell ref="AK643:AK644"/>
    <mergeCell ref="AL643:AL644"/>
    <mergeCell ref="AM643:AM644"/>
    <mergeCell ref="AN643:AN644"/>
    <mergeCell ref="AO643:AO644"/>
    <mergeCell ref="AP643:AP644"/>
    <mergeCell ref="AQ643:AQ644"/>
    <mergeCell ref="T643:U646"/>
    <mergeCell ref="V643:V646"/>
    <mergeCell ref="W643:Y646"/>
    <mergeCell ref="Z643:Z646"/>
    <mergeCell ref="AA643:AB646"/>
    <mergeCell ref="AC643:AE644"/>
    <mergeCell ref="AF643:AF644"/>
    <mergeCell ref="AG643:AG644"/>
    <mergeCell ref="AH643:AH644"/>
    <mergeCell ref="A643:A646"/>
    <mergeCell ref="B643:C646"/>
    <mergeCell ref="E643:F646"/>
    <mergeCell ref="G643:H646"/>
    <mergeCell ref="I643:J646"/>
    <mergeCell ref="L643:L646"/>
    <mergeCell ref="M643:M646"/>
    <mergeCell ref="N643:O646"/>
    <mergeCell ref="R643:S646"/>
    <mergeCell ref="K643:K646"/>
    <mergeCell ref="P643:Q646"/>
    <mergeCell ref="D643:D646"/>
    <mergeCell ref="AR639:AR640"/>
    <mergeCell ref="BC639:BD639"/>
    <mergeCell ref="BR639:BR642"/>
    <mergeCell ref="BS639:BT642"/>
    <mergeCell ref="BU639:BU642"/>
    <mergeCell ref="BV639:BV642"/>
    <mergeCell ref="BW639:BW642"/>
    <mergeCell ref="BC640:BD640"/>
    <mergeCell ref="AC641:AE641"/>
    <mergeCell ref="BC641:BD641"/>
    <mergeCell ref="AC642:AE642"/>
    <mergeCell ref="BC642:BD642"/>
    <mergeCell ref="AI639:AI640"/>
    <mergeCell ref="AJ639:AJ640"/>
    <mergeCell ref="AK639:AK640"/>
    <mergeCell ref="AL639:AL640"/>
    <mergeCell ref="AM639:AM640"/>
    <mergeCell ref="AN639:AN640"/>
    <mergeCell ref="AO639:AO640"/>
    <mergeCell ref="AP639:AP640"/>
    <mergeCell ref="AQ639:AQ640"/>
    <mergeCell ref="T639:U642"/>
    <mergeCell ref="V639:V642"/>
    <mergeCell ref="W639:Y642"/>
    <mergeCell ref="Z639:Z642"/>
    <mergeCell ref="AA639:AB642"/>
    <mergeCell ref="AC639:AE640"/>
    <mergeCell ref="AF639:AF640"/>
    <mergeCell ref="AG639:AG640"/>
    <mergeCell ref="AH639:AH640"/>
    <mergeCell ref="A639:A642"/>
    <mergeCell ref="B639:C642"/>
    <mergeCell ref="E639:F642"/>
    <mergeCell ref="G639:H642"/>
    <mergeCell ref="I639:J642"/>
    <mergeCell ref="L639:L642"/>
    <mergeCell ref="M639:M642"/>
    <mergeCell ref="N639:O642"/>
    <mergeCell ref="R639:S642"/>
    <mergeCell ref="K639:K642"/>
    <mergeCell ref="P639:Q642"/>
    <mergeCell ref="D639:D642"/>
    <mergeCell ref="AR635:AR636"/>
    <mergeCell ref="BC635:BD635"/>
    <mergeCell ref="BR635:BR638"/>
    <mergeCell ref="BS635:BT638"/>
    <mergeCell ref="BU635:BU638"/>
    <mergeCell ref="BV635:BV638"/>
    <mergeCell ref="BW635:BW638"/>
    <mergeCell ref="BC636:BD636"/>
    <mergeCell ref="AC637:AE637"/>
    <mergeCell ref="BC637:BD637"/>
    <mergeCell ref="AC638:AE638"/>
    <mergeCell ref="BC638:BD638"/>
    <mergeCell ref="AI635:AI636"/>
    <mergeCell ref="AJ635:AJ636"/>
    <mergeCell ref="AK635:AK636"/>
    <mergeCell ref="AL635:AL636"/>
    <mergeCell ref="AM635:AM636"/>
    <mergeCell ref="AN635:AN636"/>
    <mergeCell ref="AO635:AO636"/>
    <mergeCell ref="AP635:AP636"/>
    <mergeCell ref="AQ635:AQ636"/>
    <mergeCell ref="T635:U638"/>
    <mergeCell ref="V635:V638"/>
    <mergeCell ref="W635:Y638"/>
    <mergeCell ref="Z635:Z638"/>
    <mergeCell ref="AA635:AB638"/>
    <mergeCell ref="AC635:AE636"/>
    <mergeCell ref="AF635:AF636"/>
    <mergeCell ref="AG635:AG636"/>
    <mergeCell ref="AH635:AH636"/>
    <mergeCell ref="A635:A638"/>
    <mergeCell ref="B635:C638"/>
    <mergeCell ref="E635:F638"/>
    <mergeCell ref="G635:H638"/>
    <mergeCell ref="I635:J638"/>
    <mergeCell ref="L635:L638"/>
    <mergeCell ref="M635:M638"/>
    <mergeCell ref="N635:O638"/>
    <mergeCell ref="R635:S638"/>
    <mergeCell ref="K635:K638"/>
    <mergeCell ref="P635:Q638"/>
    <mergeCell ref="D635:D638"/>
    <mergeCell ref="AR631:AR632"/>
    <mergeCell ref="BC631:BD631"/>
    <mergeCell ref="BR631:BR634"/>
    <mergeCell ref="BS631:BT634"/>
    <mergeCell ref="BU631:BU634"/>
    <mergeCell ref="BV631:BV634"/>
    <mergeCell ref="BW631:BW634"/>
    <mergeCell ref="BC632:BD632"/>
    <mergeCell ref="AC633:AE633"/>
    <mergeCell ref="BC633:BD633"/>
    <mergeCell ref="AC634:AE634"/>
    <mergeCell ref="BC634:BD634"/>
    <mergeCell ref="AI631:AI632"/>
    <mergeCell ref="AJ631:AJ632"/>
    <mergeCell ref="AK631:AK632"/>
    <mergeCell ref="AL631:AL632"/>
    <mergeCell ref="AM631:AM632"/>
    <mergeCell ref="AN631:AN632"/>
    <mergeCell ref="AO631:AO632"/>
    <mergeCell ref="AP631:AP632"/>
    <mergeCell ref="AQ631:AQ632"/>
    <mergeCell ref="T631:U634"/>
    <mergeCell ref="V631:V634"/>
    <mergeCell ref="W631:Y634"/>
    <mergeCell ref="Z631:Z634"/>
    <mergeCell ref="AA631:AB634"/>
    <mergeCell ref="AC631:AE632"/>
    <mergeCell ref="AF631:AF632"/>
    <mergeCell ref="AG631:AG632"/>
    <mergeCell ref="AH631:AH632"/>
    <mergeCell ref="A631:A634"/>
    <mergeCell ref="B631:C634"/>
    <mergeCell ref="E631:F634"/>
    <mergeCell ref="G631:H634"/>
    <mergeCell ref="I631:J634"/>
    <mergeCell ref="L631:L634"/>
    <mergeCell ref="M631:M634"/>
    <mergeCell ref="N631:O634"/>
    <mergeCell ref="R631:S634"/>
    <mergeCell ref="K631:K634"/>
    <mergeCell ref="P631:Q634"/>
    <mergeCell ref="D631:D634"/>
    <mergeCell ref="AR627:AR628"/>
    <mergeCell ref="BC627:BD627"/>
    <mergeCell ref="BR627:BR630"/>
    <mergeCell ref="BS627:BT630"/>
    <mergeCell ref="BU627:BU630"/>
    <mergeCell ref="BV627:BV630"/>
    <mergeCell ref="BW627:BW630"/>
    <mergeCell ref="BC628:BD628"/>
    <mergeCell ref="AC629:AE629"/>
    <mergeCell ref="BC629:BD629"/>
    <mergeCell ref="AC630:AE630"/>
    <mergeCell ref="BC630:BD630"/>
    <mergeCell ref="AI627:AI628"/>
    <mergeCell ref="AJ627:AJ628"/>
    <mergeCell ref="AK627:AK628"/>
    <mergeCell ref="AL627:AL628"/>
    <mergeCell ref="AM627:AM628"/>
    <mergeCell ref="AN627:AN628"/>
    <mergeCell ref="AO627:AO628"/>
    <mergeCell ref="AP627:AP628"/>
    <mergeCell ref="AQ627:AQ628"/>
    <mergeCell ref="T627:U630"/>
    <mergeCell ref="V627:V630"/>
    <mergeCell ref="W627:Y630"/>
    <mergeCell ref="Z627:Z630"/>
    <mergeCell ref="AA627:AB630"/>
    <mergeCell ref="AC627:AE628"/>
    <mergeCell ref="AF627:AF628"/>
    <mergeCell ref="AG627:AG628"/>
    <mergeCell ref="AH627:AH628"/>
    <mergeCell ref="A627:A630"/>
    <mergeCell ref="B627:C630"/>
    <mergeCell ref="E627:F630"/>
    <mergeCell ref="G627:H630"/>
    <mergeCell ref="I627:J630"/>
    <mergeCell ref="L627:L630"/>
    <mergeCell ref="M627:M630"/>
    <mergeCell ref="N627:O630"/>
    <mergeCell ref="R627:S630"/>
    <mergeCell ref="K627:K630"/>
    <mergeCell ref="P627:Q630"/>
    <mergeCell ref="D627:D630"/>
    <mergeCell ref="AR623:AR624"/>
    <mergeCell ref="BC623:BD623"/>
    <mergeCell ref="BR623:BR626"/>
    <mergeCell ref="BS623:BT626"/>
    <mergeCell ref="BU623:BU626"/>
    <mergeCell ref="BV623:BV626"/>
    <mergeCell ref="BW623:BW626"/>
    <mergeCell ref="BC624:BD624"/>
    <mergeCell ref="AC625:AE625"/>
    <mergeCell ref="BC625:BD625"/>
    <mergeCell ref="AC626:AE626"/>
    <mergeCell ref="BC626:BD626"/>
    <mergeCell ref="AI623:AI624"/>
    <mergeCell ref="AJ623:AJ624"/>
    <mergeCell ref="AK623:AK624"/>
    <mergeCell ref="AL623:AL624"/>
    <mergeCell ref="AM623:AM624"/>
    <mergeCell ref="AN623:AN624"/>
    <mergeCell ref="AO623:AO624"/>
    <mergeCell ref="AP623:AP624"/>
    <mergeCell ref="AQ623:AQ624"/>
    <mergeCell ref="T623:U626"/>
    <mergeCell ref="V623:V626"/>
    <mergeCell ref="W623:Y626"/>
    <mergeCell ref="Z623:Z626"/>
    <mergeCell ref="AA623:AB626"/>
    <mergeCell ref="AC623:AE624"/>
    <mergeCell ref="AF623:AF624"/>
    <mergeCell ref="AG623:AG624"/>
    <mergeCell ref="AH623:AH624"/>
    <mergeCell ref="A623:A626"/>
    <mergeCell ref="B623:C626"/>
    <mergeCell ref="E623:F626"/>
    <mergeCell ref="G623:H626"/>
    <mergeCell ref="I623:J626"/>
    <mergeCell ref="L623:L626"/>
    <mergeCell ref="M623:M626"/>
    <mergeCell ref="N623:O626"/>
    <mergeCell ref="R623:S626"/>
    <mergeCell ref="K623:K626"/>
    <mergeCell ref="P623:Q626"/>
    <mergeCell ref="D623:D626"/>
    <mergeCell ref="AR619:AR620"/>
    <mergeCell ref="BC619:BD619"/>
    <mergeCell ref="BR619:BR622"/>
    <mergeCell ref="BS619:BT622"/>
    <mergeCell ref="BU619:BU622"/>
    <mergeCell ref="BV619:BV622"/>
    <mergeCell ref="BW619:BW622"/>
    <mergeCell ref="BC620:BD620"/>
    <mergeCell ref="AC621:AE621"/>
    <mergeCell ref="BC621:BD621"/>
    <mergeCell ref="AC622:AE622"/>
    <mergeCell ref="BC622:BD622"/>
    <mergeCell ref="AI619:AI620"/>
    <mergeCell ref="AJ619:AJ620"/>
    <mergeCell ref="AK619:AK620"/>
    <mergeCell ref="AL619:AL620"/>
    <mergeCell ref="AM619:AM620"/>
    <mergeCell ref="AN619:AN620"/>
    <mergeCell ref="AO619:AO620"/>
    <mergeCell ref="AP619:AP620"/>
    <mergeCell ref="AQ619:AQ620"/>
    <mergeCell ref="T619:U622"/>
    <mergeCell ref="V619:V622"/>
    <mergeCell ref="W619:Y622"/>
    <mergeCell ref="Z619:Z622"/>
    <mergeCell ref="AA619:AB622"/>
    <mergeCell ref="AC619:AE620"/>
    <mergeCell ref="AF619:AF620"/>
    <mergeCell ref="AG619:AG620"/>
    <mergeCell ref="AH619:AH620"/>
    <mergeCell ref="A619:A622"/>
    <mergeCell ref="B619:C622"/>
    <mergeCell ref="E619:F622"/>
    <mergeCell ref="G619:H622"/>
    <mergeCell ref="I619:J622"/>
    <mergeCell ref="L619:L622"/>
    <mergeCell ref="M619:M622"/>
    <mergeCell ref="N619:O622"/>
    <mergeCell ref="R619:S622"/>
    <mergeCell ref="K619:K622"/>
    <mergeCell ref="P619:Q622"/>
    <mergeCell ref="D619:D622"/>
    <mergeCell ref="AR615:AR616"/>
    <mergeCell ref="BC615:BD615"/>
    <mergeCell ref="BR615:BR618"/>
    <mergeCell ref="BS615:BT618"/>
    <mergeCell ref="BU615:BU618"/>
    <mergeCell ref="BV615:BV618"/>
    <mergeCell ref="BW615:BW618"/>
    <mergeCell ref="BC616:BD616"/>
    <mergeCell ref="AC617:AE617"/>
    <mergeCell ref="BC617:BD617"/>
    <mergeCell ref="AC618:AE618"/>
    <mergeCell ref="BC618:BD618"/>
    <mergeCell ref="AI615:AI616"/>
    <mergeCell ref="AJ615:AJ616"/>
    <mergeCell ref="AK615:AK616"/>
    <mergeCell ref="AL615:AL616"/>
    <mergeCell ref="AM615:AM616"/>
    <mergeCell ref="AN615:AN616"/>
    <mergeCell ref="AO615:AO616"/>
    <mergeCell ref="AP615:AP616"/>
    <mergeCell ref="AQ615:AQ616"/>
    <mergeCell ref="T615:U618"/>
    <mergeCell ref="V615:V618"/>
    <mergeCell ref="W615:Y618"/>
    <mergeCell ref="Z615:Z618"/>
    <mergeCell ref="AA615:AB618"/>
    <mergeCell ref="AC615:AE616"/>
    <mergeCell ref="AF615:AF616"/>
    <mergeCell ref="AG615:AG616"/>
    <mergeCell ref="AH615:AH616"/>
    <mergeCell ref="A615:A618"/>
    <mergeCell ref="B615:C618"/>
    <mergeCell ref="E615:F618"/>
    <mergeCell ref="G615:H618"/>
    <mergeCell ref="I615:J618"/>
    <mergeCell ref="L615:L618"/>
    <mergeCell ref="M615:M618"/>
    <mergeCell ref="N615:O618"/>
    <mergeCell ref="R615:S618"/>
    <mergeCell ref="K615:K618"/>
    <mergeCell ref="P615:Q618"/>
    <mergeCell ref="D615:D618"/>
    <mergeCell ref="AR611:AR612"/>
    <mergeCell ref="BC611:BD611"/>
    <mergeCell ref="BR611:BR614"/>
    <mergeCell ref="BS611:BT614"/>
    <mergeCell ref="BU611:BU614"/>
    <mergeCell ref="BV611:BV614"/>
    <mergeCell ref="BW611:BW614"/>
    <mergeCell ref="BC612:BD612"/>
    <mergeCell ref="AC613:AE613"/>
    <mergeCell ref="BC613:BD613"/>
    <mergeCell ref="AC614:AE614"/>
    <mergeCell ref="BC614:BD614"/>
    <mergeCell ref="AI611:AI612"/>
    <mergeCell ref="AJ611:AJ612"/>
    <mergeCell ref="AK611:AK612"/>
    <mergeCell ref="AL611:AL612"/>
    <mergeCell ref="AM611:AM612"/>
    <mergeCell ref="AN611:AN612"/>
    <mergeCell ref="AO611:AO612"/>
    <mergeCell ref="AP611:AP612"/>
    <mergeCell ref="AQ611:AQ612"/>
    <mergeCell ref="T611:U614"/>
    <mergeCell ref="V611:V614"/>
    <mergeCell ref="W611:Y614"/>
    <mergeCell ref="Z611:Z614"/>
    <mergeCell ref="AA611:AB614"/>
    <mergeCell ref="AC611:AE612"/>
    <mergeCell ref="AF611:AF612"/>
    <mergeCell ref="AG611:AG612"/>
    <mergeCell ref="AH611:AH612"/>
    <mergeCell ref="A611:A614"/>
    <mergeCell ref="B611:C614"/>
    <mergeCell ref="E611:F614"/>
    <mergeCell ref="G611:H614"/>
    <mergeCell ref="I611:J614"/>
    <mergeCell ref="L611:L614"/>
    <mergeCell ref="M611:M614"/>
    <mergeCell ref="N611:O614"/>
    <mergeCell ref="R611:S614"/>
    <mergeCell ref="K611:K614"/>
    <mergeCell ref="P611:Q614"/>
    <mergeCell ref="D611:D614"/>
    <mergeCell ref="AR607:AR608"/>
    <mergeCell ref="BC607:BD607"/>
    <mergeCell ref="BR607:BR610"/>
    <mergeCell ref="BS607:BT610"/>
    <mergeCell ref="BU607:BU610"/>
    <mergeCell ref="BV607:BV610"/>
    <mergeCell ref="BW607:BW610"/>
    <mergeCell ref="BC608:BD608"/>
    <mergeCell ref="AC609:AE609"/>
    <mergeCell ref="BC609:BD609"/>
    <mergeCell ref="AC610:AE610"/>
    <mergeCell ref="BC610:BD610"/>
    <mergeCell ref="AI607:AI608"/>
    <mergeCell ref="AJ607:AJ608"/>
    <mergeCell ref="AK607:AK608"/>
    <mergeCell ref="AL607:AL608"/>
    <mergeCell ref="AM607:AM608"/>
    <mergeCell ref="AN607:AN608"/>
    <mergeCell ref="AO607:AO608"/>
    <mergeCell ref="AP607:AP608"/>
    <mergeCell ref="AQ607:AQ608"/>
    <mergeCell ref="T607:U610"/>
    <mergeCell ref="V607:V610"/>
    <mergeCell ref="W607:Y610"/>
    <mergeCell ref="Z607:Z610"/>
    <mergeCell ref="AA607:AB610"/>
    <mergeCell ref="AC607:AE608"/>
    <mergeCell ref="AF607:AF608"/>
    <mergeCell ref="AG607:AG608"/>
    <mergeCell ref="AH607:AH608"/>
    <mergeCell ref="A607:A610"/>
    <mergeCell ref="B607:C610"/>
    <mergeCell ref="E607:F610"/>
    <mergeCell ref="G607:H610"/>
    <mergeCell ref="I607:J610"/>
    <mergeCell ref="L607:L610"/>
    <mergeCell ref="M607:M610"/>
    <mergeCell ref="N607:O610"/>
    <mergeCell ref="R607:S610"/>
    <mergeCell ref="K607:K610"/>
    <mergeCell ref="P607:Q610"/>
    <mergeCell ref="D607:D610"/>
    <mergeCell ref="AR603:AR604"/>
    <mergeCell ref="BC603:BD603"/>
    <mergeCell ref="BR603:BR606"/>
    <mergeCell ref="BS603:BT606"/>
    <mergeCell ref="BU603:BU606"/>
    <mergeCell ref="BV603:BV606"/>
    <mergeCell ref="BW603:BW606"/>
    <mergeCell ref="BC604:BD604"/>
    <mergeCell ref="AC605:AE605"/>
    <mergeCell ref="BC605:BD605"/>
    <mergeCell ref="AC606:AE606"/>
    <mergeCell ref="BC606:BD606"/>
    <mergeCell ref="AI603:AI604"/>
    <mergeCell ref="AJ603:AJ604"/>
    <mergeCell ref="AK603:AK604"/>
    <mergeCell ref="AL603:AL604"/>
    <mergeCell ref="AM603:AM604"/>
    <mergeCell ref="AN603:AN604"/>
    <mergeCell ref="AO603:AO604"/>
    <mergeCell ref="AP603:AP604"/>
    <mergeCell ref="AQ603:AQ604"/>
    <mergeCell ref="T603:U606"/>
    <mergeCell ref="V603:V606"/>
    <mergeCell ref="W603:Y606"/>
    <mergeCell ref="Z603:Z606"/>
    <mergeCell ref="AA603:AB606"/>
    <mergeCell ref="AC603:AE604"/>
    <mergeCell ref="AF603:AF604"/>
    <mergeCell ref="AG603:AG604"/>
    <mergeCell ref="AH603:AH604"/>
    <mergeCell ref="A603:A606"/>
    <mergeCell ref="B603:C606"/>
    <mergeCell ref="E603:F606"/>
    <mergeCell ref="G603:H606"/>
    <mergeCell ref="I603:J606"/>
    <mergeCell ref="L603:L606"/>
    <mergeCell ref="M603:M606"/>
    <mergeCell ref="N603:O606"/>
    <mergeCell ref="R603:S606"/>
    <mergeCell ref="K603:K606"/>
    <mergeCell ref="P603:Q606"/>
    <mergeCell ref="D603:D606"/>
    <mergeCell ref="AR599:AR600"/>
    <mergeCell ref="BC599:BD599"/>
    <mergeCell ref="BR599:BR602"/>
    <mergeCell ref="BS599:BT602"/>
    <mergeCell ref="BU599:BU602"/>
    <mergeCell ref="BV599:BV602"/>
    <mergeCell ref="BW599:BW602"/>
    <mergeCell ref="BC600:BD600"/>
    <mergeCell ref="AC601:AE601"/>
    <mergeCell ref="BC601:BD601"/>
    <mergeCell ref="AC602:AE602"/>
    <mergeCell ref="BC602:BD602"/>
    <mergeCell ref="AI599:AI600"/>
    <mergeCell ref="AJ599:AJ600"/>
    <mergeCell ref="AK599:AK600"/>
    <mergeCell ref="AL599:AL600"/>
    <mergeCell ref="AM599:AM600"/>
    <mergeCell ref="AN599:AN600"/>
    <mergeCell ref="AO599:AO600"/>
    <mergeCell ref="AP599:AP600"/>
    <mergeCell ref="AQ599:AQ600"/>
    <mergeCell ref="T599:U602"/>
    <mergeCell ref="V599:V602"/>
    <mergeCell ref="W599:Y602"/>
    <mergeCell ref="Z599:Z602"/>
    <mergeCell ref="AA599:AB602"/>
    <mergeCell ref="AC599:AE600"/>
    <mergeCell ref="AF599:AF600"/>
    <mergeCell ref="AG599:AG600"/>
    <mergeCell ref="AH599:AH600"/>
    <mergeCell ref="A599:A602"/>
    <mergeCell ref="B599:C602"/>
    <mergeCell ref="E599:F602"/>
    <mergeCell ref="G599:H602"/>
    <mergeCell ref="I599:J602"/>
    <mergeCell ref="L599:L602"/>
    <mergeCell ref="M599:M602"/>
    <mergeCell ref="N599:O602"/>
    <mergeCell ref="R599:S602"/>
    <mergeCell ref="K599:K602"/>
    <mergeCell ref="P599:Q602"/>
    <mergeCell ref="D599:D602"/>
    <mergeCell ref="AR595:AR596"/>
    <mergeCell ref="BC595:BD595"/>
    <mergeCell ref="BR595:BR598"/>
    <mergeCell ref="BS595:BT598"/>
    <mergeCell ref="BU595:BU598"/>
    <mergeCell ref="BV595:BV598"/>
    <mergeCell ref="BW595:BW598"/>
    <mergeCell ref="BC596:BD596"/>
    <mergeCell ref="AC597:AE597"/>
    <mergeCell ref="BC597:BD597"/>
    <mergeCell ref="AC598:AE598"/>
    <mergeCell ref="BC598:BD598"/>
    <mergeCell ref="AI595:AI596"/>
    <mergeCell ref="AJ595:AJ596"/>
    <mergeCell ref="AK595:AK596"/>
    <mergeCell ref="AL595:AL596"/>
    <mergeCell ref="AM595:AM596"/>
    <mergeCell ref="AN595:AN596"/>
    <mergeCell ref="AO595:AO596"/>
    <mergeCell ref="AP595:AP596"/>
    <mergeCell ref="AQ595:AQ596"/>
    <mergeCell ref="T595:U598"/>
    <mergeCell ref="V595:V598"/>
    <mergeCell ref="W595:Y598"/>
    <mergeCell ref="Z595:Z598"/>
    <mergeCell ref="AA595:AB598"/>
    <mergeCell ref="AC595:AE596"/>
    <mergeCell ref="AF595:AF596"/>
    <mergeCell ref="AG595:AG596"/>
    <mergeCell ref="AH595:AH596"/>
    <mergeCell ref="A595:A598"/>
    <mergeCell ref="B595:C598"/>
    <mergeCell ref="E595:F598"/>
    <mergeCell ref="G595:H598"/>
    <mergeCell ref="I595:J598"/>
    <mergeCell ref="L595:L598"/>
    <mergeCell ref="M595:M598"/>
    <mergeCell ref="N595:O598"/>
    <mergeCell ref="R595:S598"/>
    <mergeCell ref="K595:K598"/>
    <mergeCell ref="P595:Q598"/>
    <mergeCell ref="D595:D598"/>
    <mergeCell ref="AR591:AR592"/>
    <mergeCell ref="BC591:BD591"/>
    <mergeCell ref="BR591:BR594"/>
    <mergeCell ref="BS591:BT594"/>
    <mergeCell ref="BU591:BU594"/>
    <mergeCell ref="BV591:BV594"/>
    <mergeCell ref="BW591:BW594"/>
    <mergeCell ref="BC592:BD592"/>
    <mergeCell ref="AC593:AE593"/>
    <mergeCell ref="BC593:BD593"/>
    <mergeCell ref="AC594:AE594"/>
    <mergeCell ref="BC594:BD594"/>
    <mergeCell ref="AI591:AI592"/>
    <mergeCell ref="AJ591:AJ592"/>
    <mergeCell ref="AK591:AK592"/>
    <mergeCell ref="AL591:AL592"/>
    <mergeCell ref="AM591:AM592"/>
    <mergeCell ref="AN591:AN592"/>
    <mergeCell ref="AO591:AO592"/>
    <mergeCell ref="AP591:AP592"/>
    <mergeCell ref="AQ591:AQ592"/>
    <mergeCell ref="T591:U594"/>
    <mergeCell ref="V591:V594"/>
    <mergeCell ref="W591:Y594"/>
    <mergeCell ref="Z591:Z594"/>
    <mergeCell ref="AA591:AB594"/>
    <mergeCell ref="AC591:AE592"/>
    <mergeCell ref="AF591:AF592"/>
    <mergeCell ref="AG591:AG592"/>
    <mergeCell ref="AH591:AH592"/>
    <mergeCell ref="A591:A594"/>
    <mergeCell ref="B591:C594"/>
    <mergeCell ref="E591:F594"/>
    <mergeCell ref="G591:H594"/>
    <mergeCell ref="I591:J594"/>
    <mergeCell ref="L591:L594"/>
    <mergeCell ref="M591:M594"/>
    <mergeCell ref="N591:O594"/>
    <mergeCell ref="R591:S594"/>
    <mergeCell ref="K591:K594"/>
    <mergeCell ref="P591:Q594"/>
    <mergeCell ref="D591:D594"/>
    <mergeCell ref="AR587:AR588"/>
    <mergeCell ref="BC587:BD587"/>
    <mergeCell ref="BR587:BR590"/>
    <mergeCell ref="BS587:BT590"/>
    <mergeCell ref="BU587:BU590"/>
    <mergeCell ref="BV587:BV590"/>
    <mergeCell ref="BW587:BW590"/>
    <mergeCell ref="BC588:BD588"/>
    <mergeCell ref="AC589:AE589"/>
    <mergeCell ref="BC589:BD589"/>
    <mergeCell ref="AC590:AE590"/>
    <mergeCell ref="BC590:BD590"/>
    <mergeCell ref="AI587:AI588"/>
    <mergeCell ref="AJ587:AJ588"/>
    <mergeCell ref="AK587:AK588"/>
    <mergeCell ref="AL587:AL588"/>
    <mergeCell ref="AM587:AM588"/>
    <mergeCell ref="AN587:AN588"/>
    <mergeCell ref="AO587:AO588"/>
    <mergeCell ref="AP587:AP588"/>
    <mergeCell ref="AQ587:AQ588"/>
    <mergeCell ref="T587:U590"/>
    <mergeCell ref="V587:V590"/>
    <mergeCell ref="W587:Y590"/>
    <mergeCell ref="Z587:Z590"/>
    <mergeCell ref="AA587:AB590"/>
    <mergeCell ref="AC587:AE588"/>
    <mergeCell ref="AF587:AF588"/>
    <mergeCell ref="AG587:AG588"/>
    <mergeCell ref="AH587:AH588"/>
    <mergeCell ref="A587:A590"/>
    <mergeCell ref="B587:C590"/>
    <mergeCell ref="E587:F590"/>
    <mergeCell ref="G587:H590"/>
    <mergeCell ref="I587:J590"/>
    <mergeCell ref="L587:L590"/>
    <mergeCell ref="M587:M590"/>
    <mergeCell ref="N587:O590"/>
    <mergeCell ref="R587:S590"/>
    <mergeCell ref="K587:K590"/>
    <mergeCell ref="P587:Q590"/>
    <mergeCell ref="D587:D590"/>
    <mergeCell ref="AR583:AR584"/>
    <mergeCell ref="BC583:BD583"/>
    <mergeCell ref="BR583:BR586"/>
    <mergeCell ref="BS583:BT586"/>
    <mergeCell ref="BU583:BU586"/>
    <mergeCell ref="BV583:BV586"/>
    <mergeCell ref="BW583:BW586"/>
    <mergeCell ref="BC584:BD584"/>
    <mergeCell ref="AC585:AE585"/>
    <mergeCell ref="BC585:BD585"/>
    <mergeCell ref="AC586:AE586"/>
    <mergeCell ref="BC586:BD586"/>
    <mergeCell ref="AI583:AI584"/>
    <mergeCell ref="AJ583:AJ584"/>
    <mergeCell ref="AK583:AK584"/>
    <mergeCell ref="AL583:AL584"/>
    <mergeCell ref="AM583:AM584"/>
    <mergeCell ref="AN583:AN584"/>
    <mergeCell ref="AO583:AO584"/>
    <mergeCell ref="AP583:AP584"/>
    <mergeCell ref="AQ583:AQ584"/>
    <mergeCell ref="T583:U586"/>
    <mergeCell ref="V583:V586"/>
    <mergeCell ref="W583:Y586"/>
    <mergeCell ref="Z583:Z586"/>
    <mergeCell ref="AA583:AB586"/>
    <mergeCell ref="AC583:AE584"/>
    <mergeCell ref="AF583:AF584"/>
    <mergeCell ref="AG583:AG584"/>
    <mergeCell ref="AH583:AH584"/>
    <mergeCell ref="A583:A586"/>
    <mergeCell ref="B583:C586"/>
    <mergeCell ref="E583:F586"/>
    <mergeCell ref="G583:H586"/>
    <mergeCell ref="I583:J586"/>
    <mergeCell ref="L583:L586"/>
    <mergeCell ref="M583:M586"/>
    <mergeCell ref="N583:O586"/>
    <mergeCell ref="R583:S586"/>
    <mergeCell ref="K583:K586"/>
    <mergeCell ref="P583:Q586"/>
    <mergeCell ref="D583:D586"/>
    <mergeCell ref="AR579:AR580"/>
    <mergeCell ref="BC579:BD579"/>
    <mergeCell ref="BR579:BR582"/>
    <mergeCell ref="BS579:BT582"/>
    <mergeCell ref="BU579:BU582"/>
    <mergeCell ref="BV579:BV582"/>
    <mergeCell ref="BW579:BW582"/>
    <mergeCell ref="BC580:BD580"/>
    <mergeCell ref="AC581:AE581"/>
    <mergeCell ref="BC581:BD581"/>
    <mergeCell ref="AC582:AE582"/>
    <mergeCell ref="BC582:BD582"/>
    <mergeCell ref="AI579:AI580"/>
    <mergeCell ref="AJ579:AJ580"/>
    <mergeCell ref="AK579:AK580"/>
    <mergeCell ref="AL579:AL580"/>
    <mergeCell ref="AM579:AM580"/>
    <mergeCell ref="AN579:AN580"/>
    <mergeCell ref="AO579:AO580"/>
    <mergeCell ref="AP579:AP580"/>
    <mergeCell ref="AQ579:AQ580"/>
    <mergeCell ref="T579:U582"/>
    <mergeCell ref="V579:V582"/>
    <mergeCell ref="W579:Y582"/>
    <mergeCell ref="Z579:Z582"/>
    <mergeCell ref="AA579:AB582"/>
    <mergeCell ref="AC579:AE580"/>
    <mergeCell ref="AF579:AF580"/>
    <mergeCell ref="AG579:AG580"/>
    <mergeCell ref="AH579:AH580"/>
    <mergeCell ref="A579:A582"/>
    <mergeCell ref="B579:C582"/>
    <mergeCell ref="E579:F582"/>
    <mergeCell ref="G579:H582"/>
    <mergeCell ref="I579:J582"/>
    <mergeCell ref="L579:L582"/>
    <mergeCell ref="M579:M582"/>
    <mergeCell ref="N579:O582"/>
    <mergeCell ref="R579:S582"/>
    <mergeCell ref="K579:K582"/>
    <mergeCell ref="P579:Q582"/>
    <mergeCell ref="D579:D582"/>
    <mergeCell ref="AR575:AR576"/>
    <mergeCell ref="BC575:BD575"/>
    <mergeCell ref="BR575:BR578"/>
    <mergeCell ref="BS575:BT578"/>
    <mergeCell ref="BU575:BU578"/>
    <mergeCell ref="BV575:BV578"/>
    <mergeCell ref="BW575:BW578"/>
    <mergeCell ref="BC576:BD576"/>
    <mergeCell ref="AC577:AE577"/>
    <mergeCell ref="BC577:BD577"/>
    <mergeCell ref="AC578:AE578"/>
    <mergeCell ref="BC578:BD578"/>
    <mergeCell ref="AI575:AI576"/>
    <mergeCell ref="AJ575:AJ576"/>
    <mergeCell ref="AK575:AK576"/>
    <mergeCell ref="AL575:AL576"/>
    <mergeCell ref="AM575:AM576"/>
    <mergeCell ref="AN575:AN576"/>
    <mergeCell ref="AO575:AO576"/>
    <mergeCell ref="AP575:AP576"/>
    <mergeCell ref="AQ575:AQ576"/>
    <mergeCell ref="T575:U578"/>
    <mergeCell ref="V575:V578"/>
    <mergeCell ref="W575:Y578"/>
    <mergeCell ref="Z575:Z578"/>
    <mergeCell ref="AA575:AB578"/>
    <mergeCell ref="AC575:AE576"/>
    <mergeCell ref="AF575:AF576"/>
    <mergeCell ref="AG575:AG576"/>
    <mergeCell ref="AH575:AH576"/>
    <mergeCell ref="A575:A578"/>
    <mergeCell ref="B575:C578"/>
    <mergeCell ref="E575:F578"/>
    <mergeCell ref="G575:H578"/>
    <mergeCell ref="I575:J578"/>
    <mergeCell ref="L575:L578"/>
    <mergeCell ref="M575:M578"/>
    <mergeCell ref="N575:O578"/>
    <mergeCell ref="R575:S578"/>
    <mergeCell ref="K575:K578"/>
    <mergeCell ref="P575:Q578"/>
    <mergeCell ref="D575:D578"/>
    <mergeCell ref="AR571:AR572"/>
    <mergeCell ref="BC571:BD571"/>
    <mergeCell ref="BR571:BR574"/>
    <mergeCell ref="BS571:BT574"/>
    <mergeCell ref="BU571:BU574"/>
    <mergeCell ref="BV571:BV574"/>
    <mergeCell ref="BW571:BW574"/>
    <mergeCell ref="BC572:BD572"/>
    <mergeCell ref="AC573:AE573"/>
    <mergeCell ref="BC573:BD573"/>
    <mergeCell ref="AC574:AE574"/>
    <mergeCell ref="BC574:BD574"/>
    <mergeCell ref="AI571:AI572"/>
    <mergeCell ref="AJ571:AJ572"/>
    <mergeCell ref="AK571:AK572"/>
    <mergeCell ref="AL571:AL572"/>
    <mergeCell ref="AM571:AM572"/>
    <mergeCell ref="AN571:AN572"/>
    <mergeCell ref="AO571:AO572"/>
    <mergeCell ref="AP571:AP572"/>
    <mergeCell ref="AQ571:AQ572"/>
    <mergeCell ref="T571:U574"/>
    <mergeCell ref="V571:V574"/>
    <mergeCell ref="W571:Y574"/>
    <mergeCell ref="Z571:Z574"/>
    <mergeCell ref="AA571:AB574"/>
    <mergeCell ref="AC571:AE572"/>
    <mergeCell ref="AF571:AF572"/>
    <mergeCell ref="AG571:AG572"/>
    <mergeCell ref="AH571:AH572"/>
    <mergeCell ref="A571:A574"/>
    <mergeCell ref="B571:C574"/>
    <mergeCell ref="E571:F574"/>
    <mergeCell ref="G571:H574"/>
    <mergeCell ref="I571:J574"/>
    <mergeCell ref="L571:L574"/>
    <mergeCell ref="M571:M574"/>
    <mergeCell ref="N571:O574"/>
    <mergeCell ref="R571:S574"/>
    <mergeCell ref="K571:K574"/>
    <mergeCell ref="P571:Q574"/>
    <mergeCell ref="D571:D574"/>
    <mergeCell ref="AR567:AR568"/>
    <mergeCell ref="BC567:BD567"/>
    <mergeCell ref="BR567:BR570"/>
    <mergeCell ref="BS567:BT570"/>
    <mergeCell ref="BU567:BU570"/>
    <mergeCell ref="BV567:BV570"/>
    <mergeCell ref="BW567:BW570"/>
    <mergeCell ref="BC568:BD568"/>
    <mergeCell ref="AC569:AE569"/>
    <mergeCell ref="BC569:BD569"/>
    <mergeCell ref="AC570:AE570"/>
    <mergeCell ref="BC570:BD570"/>
    <mergeCell ref="AI567:AI568"/>
    <mergeCell ref="AJ567:AJ568"/>
    <mergeCell ref="AK567:AK568"/>
    <mergeCell ref="AL567:AL568"/>
    <mergeCell ref="AM567:AM568"/>
    <mergeCell ref="AN567:AN568"/>
    <mergeCell ref="AO567:AO568"/>
    <mergeCell ref="AP567:AP568"/>
    <mergeCell ref="AQ567:AQ568"/>
    <mergeCell ref="T567:U570"/>
    <mergeCell ref="V567:V570"/>
    <mergeCell ref="W567:Y570"/>
    <mergeCell ref="Z567:Z570"/>
    <mergeCell ref="AA567:AB570"/>
    <mergeCell ref="AC567:AE568"/>
    <mergeCell ref="AF567:AF568"/>
    <mergeCell ref="AG567:AG568"/>
    <mergeCell ref="AH567:AH568"/>
    <mergeCell ref="A567:A570"/>
    <mergeCell ref="B567:C570"/>
    <mergeCell ref="E567:F570"/>
    <mergeCell ref="G567:H570"/>
    <mergeCell ref="I567:J570"/>
    <mergeCell ref="L567:L570"/>
    <mergeCell ref="M567:M570"/>
    <mergeCell ref="N567:O570"/>
    <mergeCell ref="R567:S570"/>
    <mergeCell ref="K567:K570"/>
    <mergeCell ref="P567:Q570"/>
    <mergeCell ref="D567:D570"/>
    <mergeCell ref="AR563:AR564"/>
    <mergeCell ref="BC563:BD563"/>
    <mergeCell ref="BR563:BR566"/>
    <mergeCell ref="BS563:BT566"/>
    <mergeCell ref="BU563:BU566"/>
    <mergeCell ref="BV563:BV566"/>
    <mergeCell ref="BW563:BW566"/>
    <mergeCell ref="BC564:BD564"/>
    <mergeCell ref="AC565:AE565"/>
    <mergeCell ref="BC565:BD565"/>
    <mergeCell ref="AC566:AE566"/>
    <mergeCell ref="BC566:BD566"/>
    <mergeCell ref="AI563:AI564"/>
    <mergeCell ref="AJ563:AJ564"/>
    <mergeCell ref="AK563:AK564"/>
    <mergeCell ref="AL563:AL564"/>
    <mergeCell ref="AM563:AM564"/>
    <mergeCell ref="AN563:AN564"/>
    <mergeCell ref="AO563:AO564"/>
    <mergeCell ref="AP563:AP564"/>
    <mergeCell ref="AQ563:AQ564"/>
    <mergeCell ref="T563:U566"/>
    <mergeCell ref="V563:V566"/>
    <mergeCell ref="W563:Y566"/>
    <mergeCell ref="Z563:Z566"/>
    <mergeCell ref="AA563:AB566"/>
    <mergeCell ref="AC563:AE564"/>
    <mergeCell ref="AF563:AF564"/>
    <mergeCell ref="AG563:AG564"/>
    <mergeCell ref="AH563:AH564"/>
    <mergeCell ref="A563:A566"/>
    <mergeCell ref="B563:C566"/>
    <mergeCell ref="E563:F566"/>
    <mergeCell ref="G563:H566"/>
    <mergeCell ref="I563:J566"/>
    <mergeCell ref="L563:L566"/>
    <mergeCell ref="M563:M566"/>
    <mergeCell ref="N563:O566"/>
    <mergeCell ref="R563:S566"/>
    <mergeCell ref="K563:K566"/>
    <mergeCell ref="P563:Q566"/>
    <mergeCell ref="D563:D566"/>
    <mergeCell ref="AR559:AR560"/>
    <mergeCell ref="BC559:BD559"/>
    <mergeCell ref="BR559:BR562"/>
    <mergeCell ref="BS559:BT562"/>
    <mergeCell ref="BU559:BU562"/>
    <mergeCell ref="BV559:BV562"/>
    <mergeCell ref="BW559:BW562"/>
    <mergeCell ref="BC560:BD560"/>
    <mergeCell ref="AC561:AE561"/>
    <mergeCell ref="BC561:BD561"/>
    <mergeCell ref="AC562:AE562"/>
    <mergeCell ref="BC562:BD562"/>
    <mergeCell ref="AI559:AI560"/>
    <mergeCell ref="AJ559:AJ560"/>
    <mergeCell ref="AK559:AK560"/>
    <mergeCell ref="AL559:AL560"/>
    <mergeCell ref="AM559:AM560"/>
    <mergeCell ref="AN559:AN560"/>
    <mergeCell ref="AO559:AO560"/>
    <mergeCell ref="AP559:AP560"/>
    <mergeCell ref="AQ559:AQ560"/>
    <mergeCell ref="T559:U562"/>
    <mergeCell ref="V559:V562"/>
    <mergeCell ref="W559:Y562"/>
    <mergeCell ref="Z559:Z562"/>
    <mergeCell ref="AA559:AB562"/>
    <mergeCell ref="AC559:AE560"/>
    <mergeCell ref="AF559:AF560"/>
    <mergeCell ref="AG559:AG560"/>
    <mergeCell ref="AH559:AH560"/>
    <mergeCell ref="A559:A562"/>
    <mergeCell ref="B559:C562"/>
    <mergeCell ref="E559:F562"/>
    <mergeCell ref="G559:H562"/>
    <mergeCell ref="I559:J562"/>
    <mergeCell ref="L559:L562"/>
    <mergeCell ref="M559:M562"/>
    <mergeCell ref="N559:O562"/>
    <mergeCell ref="R559:S562"/>
    <mergeCell ref="K559:K562"/>
    <mergeCell ref="P559:Q562"/>
    <mergeCell ref="D559:D562"/>
    <mergeCell ref="AR555:AR556"/>
    <mergeCell ref="BC555:BD555"/>
    <mergeCell ref="BR555:BR558"/>
    <mergeCell ref="BS555:BT558"/>
    <mergeCell ref="BU555:BU558"/>
    <mergeCell ref="BV555:BV558"/>
    <mergeCell ref="BW555:BW558"/>
    <mergeCell ref="BC556:BD556"/>
    <mergeCell ref="AC557:AE557"/>
    <mergeCell ref="BC557:BD557"/>
    <mergeCell ref="AC558:AE558"/>
    <mergeCell ref="BC558:BD558"/>
    <mergeCell ref="AI555:AI556"/>
    <mergeCell ref="AJ555:AJ556"/>
    <mergeCell ref="AK555:AK556"/>
    <mergeCell ref="AL555:AL556"/>
    <mergeCell ref="AM555:AM556"/>
    <mergeCell ref="AN555:AN556"/>
    <mergeCell ref="AO555:AO556"/>
    <mergeCell ref="AP555:AP556"/>
    <mergeCell ref="AQ555:AQ556"/>
    <mergeCell ref="T555:U558"/>
    <mergeCell ref="V555:V558"/>
    <mergeCell ref="W555:Y558"/>
    <mergeCell ref="Z555:Z558"/>
    <mergeCell ref="AA555:AB558"/>
    <mergeCell ref="AC555:AE556"/>
    <mergeCell ref="AF555:AF556"/>
    <mergeCell ref="AG555:AG556"/>
    <mergeCell ref="AH555:AH556"/>
    <mergeCell ref="A555:A558"/>
    <mergeCell ref="B555:C558"/>
    <mergeCell ref="E555:F558"/>
    <mergeCell ref="G555:H558"/>
    <mergeCell ref="I555:J558"/>
    <mergeCell ref="L555:L558"/>
    <mergeCell ref="M555:M558"/>
    <mergeCell ref="N555:O558"/>
    <mergeCell ref="R555:S558"/>
    <mergeCell ref="K555:K558"/>
    <mergeCell ref="P555:Q558"/>
    <mergeCell ref="D555:D558"/>
    <mergeCell ref="AR551:AR552"/>
    <mergeCell ref="BC551:BD551"/>
    <mergeCell ref="BR551:BR554"/>
    <mergeCell ref="BS551:BT554"/>
    <mergeCell ref="BU551:BU554"/>
    <mergeCell ref="BV551:BV554"/>
    <mergeCell ref="BW551:BW554"/>
    <mergeCell ref="BC552:BD552"/>
    <mergeCell ref="AC553:AE553"/>
    <mergeCell ref="BC553:BD553"/>
    <mergeCell ref="AC554:AE554"/>
    <mergeCell ref="BC554:BD554"/>
    <mergeCell ref="AI551:AI552"/>
    <mergeCell ref="AJ551:AJ552"/>
    <mergeCell ref="AK551:AK552"/>
    <mergeCell ref="AL551:AL552"/>
    <mergeCell ref="AM551:AM552"/>
    <mergeCell ref="AN551:AN552"/>
    <mergeCell ref="AO551:AO552"/>
    <mergeCell ref="AP551:AP552"/>
    <mergeCell ref="AQ551:AQ552"/>
    <mergeCell ref="T551:U554"/>
    <mergeCell ref="V551:V554"/>
    <mergeCell ref="W551:Y554"/>
    <mergeCell ref="Z551:Z554"/>
    <mergeCell ref="AA551:AB554"/>
    <mergeCell ref="AC551:AE552"/>
    <mergeCell ref="AF551:AF552"/>
    <mergeCell ref="AG551:AG552"/>
    <mergeCell ref="AH551:AH552"/>
    <mergeCell ref="A551:A554"/>
    <mergeCell ref="B551:C554"/>
    <mergeCell ref="E551:F554"/>
    <mergeCell ref="G551:H554"/>
    <mergeCell ref="I551:J554"/>
    <mergeCell ref="L551:L554"/>
    <mergeCell ref="M551:M554"/>
    <mergeCell ref="N551:O554"/>
    <mergeCell ref="R551:S554"/>
    <mergeCell ref="K551:K554"/>
    <mergeCell ref="P551:Q554"/>
    <mergeCell ref="D551:D554"/>
    <mergeCell ref="AR547:AR548"/>
    <mergeCell ref="BC547:BD547"/>
    <mergeCell ref="BR547:BR550"/>
    <mergeCell ref="BS547:BT550"/>
    <mergeCell ref="BU547:BU550"/>
    <mergeCell ref="BV547:BV550"/>
    <mergeCell ref="BW547:BW550"/>
    <mergeCell ref="BC548:BD548"/>
    <mergeCell ref="AC549:AE549"/>
    <mergeCell ref="BC549:BD549"/>
    <mergeCell ref="AC550:AE550"/>
    <mergeCell ref="BC550:BD550"/>
    <mergeCell ref="AI547:AI548"/>
    <mergeCell ref="AJ547:AJ548"/>
    <mergeCell ref="AK547:AK548"/>
    <mergeCell ref="AL547:AL548"/>
    <mergeCell ref="AM547:AM548"/>
    <mergeCell ref="AN547:AN548"/>
    <mergeCell ref="AO547:AO548"/>
    <mergeCell ref="AP547:AP548"/>
    <mergeCell ref="AQ547:AQ548"/>
    <mergeCell ref="T547:U550"/>
    <mergeCell ref="V547:V550"/>
    <mergeCell ref="W547:Y550"/>
    <mergeCell ref="Z547:Z550"/>
    <mergeCell ref="AA547:AB550"/>
    <mergeCell ref="AC547:AE548"/>
    <mergeCell ref="AF547:AF548"/>
    <mergeCell ref="AG547:AG548"/>
    <mergeCell ref="AH547:AH548"/>
    <mergeCell ref="A547:A550"/>
    <mergeCell ref="B547:C550"/>
    <mergeCell ref="E547:F550"/>
    <mergeCell ref="G547:H550"/>
    <mergeCell ref="I547:J550"/>
    <mergeCell ref="L547:L550"/>
    <mergeCell ref="M547:M550"/>
    <mergeCell ref="N547:O550"/>
    <mergeCell ref="R547:S550"/>
    <mergeCell ref="K547:K550"/>
    <mergeCell ref="P547:Q550"/>
    <mergeCell ref="D547:D550"/>
    <mergeCell ref="AR543:AR544"/>
    <mergeCell ref="BC543:BD543"/>
    <mergeCell ref="BR543:BR546"/>
    <mergeCell ref="BS543:BT546"/>
    <mergeCell ref="BU543:BU546"/>
    <mergeCell ref="BV543:BV546"/>
    <mergeCell ref="BW543:BW546"/>
    <mergeCell ref="BC544:BD544"/>
    <mergeCell ref="AC545:AE545"/>
    <mergeCell ref="BC545:BD545"/>
    <mergeCell ref="AC546:AE546"/>
    <mergeCell ref="BC546:BD546"/>
    <mergeCell ref="AI543:AI544"/>
    <mergeCell ref="AJ543:AJ544"/>
    <mergeCell ref="AK543:AK544"/>
    <mergeCell ref="AL543:AL544"/>
    <mergeCell ref="AM543:AM544"/>
    <mergeCell ref="AN543:AN544"/>
    <mergeCell ref="AO543:AO544"/>
    <mergeCell ref="AP543:AP544"/>
    <mergeCell ref="AQ543:AQ544"/>
    <mergeCell ref="T543:U546"/>
    <mergeCell ref="V543:V546"/>
    <mergeCell ref="W543:Y546"/>
    <mergeCell ref="Z543:Z546"/>
    <mergeCell ref="AA543:AB546"/>
    <mergeCell ref="AC543:AE544"/>
    <mergeCell ref="AF543:AF544"/>
    <mergeCell ref="AG543:AG544"/>
    <mergeCell ref="AH543:AH544"/>
    <mergeCell ref="A543:A546"/>
    <mergeCell ref="B543:C546"/>
    <mergeCell ref="E543:F546"/>
    <mergeCell ref="G543:H546"/>
    <mergeCell ref="I543:J546"/>
    <mergeCell ref="L543:L546"/>
    <mergeCell ref="M543:M546"/>
    <mergeCell ref="N543:O546"/>
    <mergeCell ref="R543:S546"/>
    <mergeCell ref="K543:K546"/>
    <mergeCell ref="P543:Q546"/>
    <mergeCell ref="D543:D546"/>
    <mergeCell ref="AR539:AR540"/>
    <mergeCell ref="BC539:BD539"/>
    <mergeCell ref="BR539:BR542"/>
    <mergeCell ref="BS539:BT542"/>
    <mergeCell ref="BU539:BU542"/>
    <mergeCell ref="BV539:BV542"/>
    <mergeCell ref="BW539:BW542"/>
    <mergeCell ref="BC540:BD540"/>
    <mergeCell ref="AC541:AE541"/>
    <mergeCell ref="BC541:BD541"/>
    <mergeCell ref="AC542:AE542"/>
    <mergeCell ref="BC542:BD542"/>
    <mergeCell ref="AI539:AI540"/>
    <mergeCell ref="AJ539:AJ540"/>
    <mergeCell ref="AK539:AK540"/>
    <mergeCell ref="AL539:AL540"/>
    <mergeCell ref="AM539:AM540"/>
    <mergeCell ref="AN539:AN540"/>
    <mergeCell ref="AO539:AO540"/>
    <mergeCell ref="AP539:AP540"/>
    <mergeCell ref="AQ539:AQ540"/>
    <mergeCell ref="T539:U542"/>
    <mergeCell ref="V539:V542"/>
    <mergeCell ref="W539:Y542"/>
    <mergeCell ref="Z539:Z542"/>
    <mergeCell ref="AA539:AB542"/>
    <mergeCell ref="AC539:AE540"/>
    <mergeCell ref="AF539:AF540"/>
    <mergeCell ref="AG539:AG540"/>
    <mergeCell ref="AH539:AH540"/>
    <mergeCell ref="A539:A542"/>
    <mergeCell ref="B539:C542"/>
    <mergeCell ref="E539:F542"/>
    <mergeCell ref="G539:H542"/>
    <mergeCell ref="I539:J542"/>
    <mergeCell ref="L539:L542"/>
    <mergeCell ref="M539:M542"/>
    <mergeCell ref="N539:O542"/>
    <mergeCell ref="R539:S542"/>
    <mergeCell ref="K539:K542"/>
    <mergeCell ref="P539:Q542"/>
    <mergeCell ref="D539:D542"/>
    <mergeCell ref="AR535:AR536"/>
    <mergeCell ref="BC535:BD535"/>
    <mergeCell ref="BR535:BR538"/>
    <mergeCell ref="BS535:BT538"/>
    <mergeCell ref="BU535:BU538"/>
    <mergeCell ref="BV535:BV538"/>
    <mergeCell ref="BW535:BW538"/>
    <mergeCell ref="BC536:BD536"/>
    <mergeCell ref="AC537:AE537"/>
    <mergeCell ref="BC537:BD537"/>
    <mergeCell ref="AC538:AE538"/>
    <mergeCell ref="BC538:BD538"/>
    <mergeCell ref="AI535:AI536"/>
    <mergeCell ref="AJ535:AJ536"/>
    <mergeCell ref="AK535:AK536"/>
    <mergeCell ref="AL535:AL536"/>
    <mergeCell ref="AM535:AM536"/>
    <mergeCell ref="AN535:AN536"/>
    <mergeCell ref="AO535:AO536"/>
    <mergeCell ref="AP535:AP536"/>
    <mergeCell ref="AQ535:AQ536"/>
    <mergeCell ref="T535:U538"/>
    <mergeCell ref="V535:V538"/>
    <mergeCell ref="W535:Y538"/>
    <mergeCell ref="Z535:Z538"/>
    <mergeCell ref="AA535:AB538"/>
    <mergeCell ref="AC535:AE536"/>
    <mergeCell ref="AF535:AF536"/>
    <mergeCell ref="AG535:AG536"/>
    <mergeCell ref="AH535:AH536"/>
    <mergeCell ref="A535:A538"/>
    <mergeCell ref="B535:C538"/>
    <mergeCell ref="E535:F538"/>
    <mergeCell ref="G535:H538"/>
    <mergeCell ref="I535:J538"/>
    <mergeCell ref="L535:L538"/>
    <mergeCell ref="M535:M538"/>
    <mergeCell ref="N535:O538"/>
    <mergeCell ref="R535:S538"/>
    <mergeCell ref="K535:K538"/>
    <mergeCell ref="P535:Q538"/>
    <mergeCell ref="D535:D538"/>
    <mergeCell ref="AR531:AR532"/>
    <mergeCell ref="BC531:BD531"/>
    <mergeCell ref="BR531:BR534"/>
    <mergeCell ref="BS531:BT534"/>
    <mergeCell ref="BU531:BU534"/>
    <mergeCell ref="BV531:BV534"/>
    <mergeCell ref="BW531:BW534"/>
    <mergeCell ref="BC532:BD532"/>
    <mergeCell ref="AC533:AE533"/>
    <mergeCell ref="BC533:BD533"/>
    <mergeCell ref="AC534:AE534"/>
    <mergeCell ref="BC534:BD534"/>
    <mergeCell ref="AI531:AI532"/>
    <mergeCell ref="AJ531:AJ532"/>
    <mergeCell ref="AK531:AK532"/>
    <mergeCell ref="AL531:AL532"/>
    <mergeCell ref="AM531:AM532"/>
    <mergeCell ref="AN531:AN532"/>
    <mergeCell ref="AO531:AO532"/>
    <mergeCell ref="AP531:AP532"/>
    <mergeCell ref="AQ531:AQ532"/>
    <mergeCell ref="T531:U534"/>
    <mergeCell ref="V531:V534"/>
    <mergeCell ref="W531:Y534"/>
    <mergeCell ref="Z531:Z534"/>
    <mergeCell ref="AA531:AB534"/>
    <mergeCell ref="AC531:AE532"/>
    <mergeCell ref="AF531:AF532"/>
    <mergeCell ref="AG531:AG532"/>
    <mergeCell ref="AH531:AH532"/>
    <mergeCell ref="A531:A534"/>
    <mergeCell ref="B531:C534"/>
    <mergeCell ref="E531:F534"/>
    <mergeCell ref="G531:H534"/>
    <mergeCell ref="I531:J534"/>
    <mergeCell ref="L531:L534"/>
    <mergeCell ref="M531:M534"/>
    <mergeCell ref="N531:O534"/>
    <mergeCell ref="R531:S534"/>
    <mergeCell ref="K531:K534"/>
    <mergeCell ref="P531:Q534"/>
    <mergeCell ref="D531:D534"/>
    <mergeCell ref="AR527:AR528"/>
    <mergeCell ref="BC527:BD527"/>
    <mergeCell ref="BR527:BR530"/>
    <mergeCell ref="BS527:BT530"/>
    <mergeCell ref="BU527:BU530"/>
    <mergeCell ref="BV527:BV530"/>
    <mergeCell ref="BW527:BW530"/>
    <mergeCell ref="BC528:BD528"/>
    <mergeCell ref="AC529:AE529"/>
    <mergeCell ref="BC529:BD529"/>
    <mergeCell ref="AC530:AE530"/>
    <mergeCell ref="BC530:BD530"/>
    <mergeCell ref="AI527:AI528"/>
    <mergeCell ref="AJ527:AJ528"/>
    <mergeCell ref="AK527:AK528"/>
    <mergeCell ref="AL527:AL528"/>
    <mergeCell ref="AM527:AM528"/>
    <mergeCell ref="AN527:AN528"/>
    <mergeCell ref="AO527:AO528"/>
    <mergeCell ref="AP527:AP528"/>
    <mergeCell ref="AQ527:AQ528"/>
    <mergeCell ref="T527:U530"/>
    <mergeCell ref="V527:V530"/>
    <mergeCell ref="W527:Y530"/>
    <mergeCell ref="Z527:Z530"/>
    <mergeCell ref="AA527:AB530"/>
    <mergeCell ref="AC527:AE528"/>
    <mergeCell ref="AF527:AF528"/>
    <mergeCell ref="AG527:AG528"/>
    <mergeCell ref="AH527:AH528"/>
    <mergeCell ref="A527:A530"/>
    <mergeCell ref="B527:C530"/>
    <mergeCell ref="E527:F530"/>
    <mergeCell ref="G527:H530"/>
    <mergeCell ref="I527:J530"/>
    <mergeCell ref="L527:L530"/>
    <mergeCell ref="M527:M530"/>
    <mergeCell ref="N527:O530"/>
    <mergeCell ref="R527:S530"/>
    <mergeCell ref="K527:K530"/>
    <mergeCell ref="P527:Q530"/>
    <mergeCell ref="D527:D530"/>
    <mergeCell ref="AR523:AR524"/>
    <mergeCell ref="BC523:BD523"/>
    <mergeCell ref="BR523:BR526"/>
    <mergeCell ref="BS523:BT526"/>
    <mergeCell ref="BU523:BU526"/>
    <mergeCell ref="BV523:BV526"/>
    <mergeCell ref="BW523:BW526"/>
    <mergeCell ref="BC524:BD524"/>
    <mergeCell ref="AC525:AE525"/>
    <mergeCell ref="BC525:BD525"/>
    <mergeCell ref="AC526:AE526"/>
    <mergeCell ref="BC526:BD526"/>
    <mergeCell ref="AI523:AI524"/>
    <mergeCell ref="AJ523:AJ524"/>
    <mergeCell ref="AK523:AK524"/>
    <mergeCell ref="AL523:AL524"/>
    <mergeCell ref="AM523:AM524"/>
    <mergeCell ref="AN523:AN524"/>
    <mergeCell ref="AO523:AO524"/>
    <mergeCell ref="AP523:AP524"/>
    <mergeCell ref="AQ523:AQ524"/>
    <mergeCell ref="T523:U526"/>
    <mergeCell ref="V523:V526"/>
    <mergeCell ref="W523:Y526"/>
    <mergeCell ref="Z523:Z526"/>
    <mergeCell ref="AA523:AB526"/>
    <mergeCell ref="AC523:AE524"/>
    <mergeCell ref="AF523:AF524"/>
    <mergeCell ref="AG523:AG524"/>
    <mergeCell ref="AH523:AH524"/>
    <mergeCell ref="A523:A526"/>
    <mergeCell ref="B523:C526"/>
    <mergeCell ref="E523:F526"/>
    <mergeCell ref="G523:H526"/>
    <mergeCell ref="I523:J526"/>
    <mergeCell ref="L523:L526"/>
    <mergeCell ref="M523:M526"/>
    <mergeCell ref="N523:O526"/>
    <mergeCell ref="R523:S526"/>
    <mergeCell ref="K523:K526"/>
    <mergeCell ref="P523:Q526"/>
    <mergeCell ref="D523:D526"/>
    <mergeCell ref="AR519:AR520"/>
    <mergeCell ref="BC519:BD519"/>
    <mergeCell ref="BR519:BR522"/>
    <mergeCell ref="BS519:BT522"/>
    <mergeCell ref="BU519:BU522"/>
    <mergeCell ref="BV519:BV522"/>
    <mergeCell ref="BW519:BW522"/>
    <mergeCell ref="BC520:BD520"/>
    <mergeCell ref="AC521:AE521"/>
    <mergeCell ref="BC521:BD521"/>
    <mergeCell ref="AC522:AE522"/>
    <mergeCell ref="BC522:BD522"/>
    <mergeCell ref="AI519:AI520"/>
    <mergeCell ref="AJ519:AJ520"/>
    <mergeCell ref="AK519:AK520"/>
    <mergeCell ref="AL519:AL520"/>
    <mergeCell ref="AM519:AM520"/>
    <mergeCell ref="AN519:AN520"/>
    <mergeCell ref="AO519:AO520"/>
    <mergeCell ref="AP519:AP520"/>
    <mergeCell ref="AQ519:AQ520"/>
    <mergeCell ref="T519:U522"/>
    <mergeCell ref="V519:V522"/>
    <mergeCell ref="W519:Y522"/>
    <mergeCell ref="Z519:Z522"/>
    <mergeCell ref="AA519:AB522"/>
    <mergeCell ref="AC519:AE520"/>
    <mergeCell ref="AF519:AF520"/>
    <mergeCell ref="AG519:AG520"/>
    <mergeCell ref="AH519:AH520"/>
    <mergeCell ref="A519:A522"/>
    <mergeCell ref="B519:C522"/>
    <mergeCell ref="E519:F522"/>
    <mergeCell ref="G519:H522"/>
    <mergeCell ref="I519:J522"/>
    <mergeCell ref="L519:L522"/>
    <mergeCell ref="M519:M522"/>
    <mergeCell ref="N519:O522"/>
    <mergeCell ref="R519:S522"/>
    <mergeCell ref="K519:K522"/>
    <mergeCell ref="P519:Q522"/>
    <mergeCell ref="D519:D522"/>
    <mergeCell ref="AR515:AR516"/>
    <mergeCell ref="BC515:BD515"/>
    <mergeCell ref="BR515:BR518"/>
    <mergeCell ref="BS515:BT518"/>
    <mergeCell ref="BU515:BU518"/>
    <mergeCell ref="BV515:BV518"/>
    <mergeCell ref="BW515:BW518"/>
    <mergeCell ref="BC516:BD516"/>
    <mergeCell ref="AC517:AE517"/>
    <mergeCell ref="BC517:BD517"/>
    <mergeCell ref="AC518:AE518"/>
    <mergeCell ref="BC518:BD518"/>
    <mergeCell ref="AI515:AI516"/>
    <mergeCell ref="AJ515:AJ516"/>
    <mergeCell ref="AK515:AK516"/>
    <mergeCell ref="AL515:AL516"/>
    <mergeCell ref="AM515:AM516"/>
    <mergeCell ref="AN515:AN516"/>
    <mergeCell ref="AO515:AO516"/>
    <mergeCell ref="AP515:AP516"/>
    <mergeCell ref="AQ515:AQ516"/>
    <mergeCell ref="T515:U518"/>
    <mergeCell ref="V515:V518"/>
    <mergeCell ref="W515:Y518"/>
    <mergeCell ref="Z515:Z518"/>
    <mergeCell ref="AA515:AB518"/>
    <mergeCell ref="AC515:AE516"/>
    <mergeCell ref="AF515:AF516"/>
    <mergeCell ref="AG515:AG516"/>
    <mergeCell ref="AH515:AH516"/>
    <mergeCell ref="A515:A518"/>
    <mergeCell ref="B515:C518"/>
    <mergeCell ref="E515:F518"/>
    <mergeCell ref="G515:H518"/>
    <mergeCell ref="I515:J518"/>
    <mergeCell ref="L515:L518"/>
    <mergeCell ref="M515:M518"/>
    <mergeCell ref="N515:O518"/>
    <mergeCell ref="R515:S518"/>
    <mergeCell ref="K515:K518"/>
    <mergeCell ref="P515:Q518"/>
    <mergeCell ref="D515:D518"/>
    <mergeCell ref="AR511:AR512"/>
    <mergeCell ref="BC511:BD511"/>
    <mergeCell ref="BR511:BR514"/>
    <mergeCell ref="BS511:BT514"/>
    <mergeCell ref="BU511:BU514"/>
    <mergeCell ref="BV511:BV514"/>
    <mergeCell ref="BW511:BW514"/>
    <mergeCell ref="BC512:BD512"/>
    <mergeCell ref="AC513:AE513"/>
    <mergeCell ref="BC513:BD513"/>
    <mergeCell ref="AC514:AE514"/>
    <mergeCell ref="BC514:BD514"/>
    <mergeCell ref="AI511:AI512"/>
    <mergeCell ref="AJ511:AJ512"/>
    <mergeCell ref="AK511:AK512"/>
    <mergeCell ref="AL511:AL512"/>
    <mergeCell ref="AM511:AM512"/>
    <mergeCell ref="AN511:AN512"/>
    <mergeCell ref="AO511:AO512"/>
    <mergeCell ref="AP511:AP512"/>
    <mergeCell ref="AQ511:AQ512"/>
    <mergeCell ref="T511:U514"/>
    <mergeCell ref="V511:V514"/>
    <mergeCell ref="W511:Y514"/>
    <mergeCell ref="Z511:Z514"/>
    <mergeCell ref="AA511:AB514"/>
    <mergeCell ref="AC511:AE512"/>
    <mergeCell ref="AF511:AF512"/>
    <mergeCell ref="AG511:AG512"/>
    <mergeCell ref="AH511:AH512"/>
    <mergeCell ref="A511:A514"/>
    <mergeCell ref="B511:C514"/>
    <mergeCell ref="E511:F514"/>
    <mergeCell ref="G511:H514"/>
    <mergeCell ref="I511:J514"/>
    <mergeCell ref="L511:L514"/>
    <mergeCell ref="M511:M514"/>
    <mergeCell ref="N511:O514"/>
    <mergeCell ref="R511:S514"/>
    <mergeCell ref="K511:K514"/>
    <mergeCell ref="P511:Q514"/>
    <mergeCell ref="D511:D514"/>
    <mergeCell ref="AR507:AR508"/>
    <mergeCell ref="BC507:BD507"/>
    <mergeCell ref="BR507:BR510"/>
    <mergeCell ref="BS507:BT510"/>
    <mergeCell ref="BU507:BU510"/>
    <mergeCell ref="BV507:BV510"/>
    <mergeCell ref="BW507:BW510"/>
    <mergeCell ref="BC508:BD508"/>
    <mergeCell ref="AC509:AE509"/>
    <mergeCell ref="BC509:BD509"/>
    <mergeCell ref="AC510:AE510"/>
    <mergeCell ref="BC510:BD510"/>
    <mergeCell ref="AI507:AI508"/>
    <mergeCell ref="AJ507:AJ508"/>
    <mergeCell ref="AK507:AK508"/>
    <mergeCell ref="AL507:AL508"/>
    <mergeCell ref="AM507:AM508"/>
    <mergeCell ref="AN507:AN508"/>
    <mergeCell ref="AO507:AO508"/>
    <mergeCell ref="AP507:AP508"/>
    <mergeCell ref="AQ507:AQ508"/>
    <mergeCell ref="T507:U510"/>
    <mergeCell ref="V507:V510"/>
    <mergeCell ref="W507:Y510"/>
    <mergeCell ref="Z507:Z510"/>
    <mergeCell ref="AA507:AB510"/>
    <mergeCell ref="AC507:AE508"/>
    <mergeCell ref="AF507:AF508"/>
    <mergeCell ref="AG507:AG508"/>
    <mergeCell ref="AH507:AH508"/>
    <mergeCell ref="A507:A510"/>
    <mergeCell ref="B507:C510"/>
    <mergeCell ref="E507:F510"/>
    <mergeCell ref="G507:H510"/>
    <mergeCell ref="I507:J510"/>
    <mergeCell ref="L507:L510"/>
    <mergeCell ref="M507:M510"/>
    <mergeCell ref="N507:O510"/>
    <mergeCell ref="R507:S510"/>
    <mergeCell ref="K507:K510"/>
    <mergeCell ref="P507:Q510"/>
    <mergeCell ref="D507:D510"/>
    <mergeCell ref="AR503:AR504"/>
    <mergeCell ref="BC503:BD503"/>
    <mergeCell ref="BR503:BR506"/>
    <mergeCell ref="BS503:BT506"/>
    <mergeCell ref="BU503:BU506"/>
    <mergeCell ref="BV503:BV506"/>
    <mergeCell ref="BW503:BW506"/>
    <mergeCell ref="BC504:BD504"/>
    <mergeCell ref="AC505:AE505"/>
    <mergeCell ref="BC505:BD505"/>
    <mergeCell ref="AC506:AE506"/>
    <mergeCell ref="BC506:BD506"/>
    <mergeCell ref="AI503:AI504"/>
    <mergeCell ref="AJ503:AJ504"/>
    <mergeCell ref="AK503:AK504"/>
    <mergeCell ref="AL503:AL504"/>
    <mergeCell ref="AM503:AM504"/>
    <mergeCell ref="AN503:AN504"/>
    <mergeCell ref="AO503:AO504"/>
    <mergeCell ref="AP503:AP504"/>
    <mergeCell ref="AQ503:AQ504"/>
    <mergeCell ref="T503:U506"/>
    <mergeCell ref="V503:V506"/>
    <mergeCell ref="W503:Y506"/>
    <mergeCell ref="Z503:Z506"/>
    <mergeCell ref="AA503:AB506"/>
    <mergeCell ref="AC503:AE504"/>
    <mergeCell ref="AF503:AF504"/>
    <mergeCell ref="AG503:AG504"/>
    <mergeCell ref="AH503:AH504"/>
    <mergeCell ref="A503:A506"/>
    <mergeCell ref="B503:C506"/>
    <mergeCell ref="E503:F506"/>
    <mergeCell ref="G503:H506"/>
    <mergeCell ref="I503:J506"/>
    <mergeCell ref="L503:L506"/>
    <mergeCell ref="M503:M506"/>
    <mergeCell ref="N503:O506"/>
    <mergeCell ref="R503:S506"/>
    <mergeCell ref="K503:K506"/>
    <mergeCell ref="P503:Q506"/>
    <mergeCell ref="D503:D506"/>
    <mergeCell ref="AR499:AR500"/>
    <mergeCell ref="BC499:BD499"/>
    <mergeCell ref="BR499:BR502"/>
    <mergeCell ref="BS499:BT502"/>
    <mergeCell ref="BU499:BU502"/>
    <mergeCell ref="BV499:BV502"/>
    <mergeCell ref="BW499:BW502"/>
    <mergeCell ref="BC500:BD500"/>
    <mergeCell ref="AC501:AE501"/>
    <mergeCell ref="BC501:BD501"/>
    <mergeCell ref="AC502:AE502"/>
    <mergeCell ref="BC502:BD502"/>
    <mergeCell ref="AI499:AI500"/>
    <mergeCell ref="AJ499:AJ500"/>
    <mergeCell ref="AK499:AK500"/>
    <mergeCell ref="AL499:AL500"/>
    <mergeCell ref="AM499:AM500"/>
    <mergeCell ref="AN499:AN500"/>
    <mergeCell ref="AO499:AO500"/>
    <mergeCell ref="AP499:AP500"/>
    <mergeCell ref="AQ499:AQ500"/>
    <mergeCell ref="T499:U502"/>
    <mergeCell ref="V499:V502"/>
    <mergeCell ref="W499:Y502"/>
    <mergeCell ref="Z499:Z502"/>
    <mergeCell ref="AA499:AB502"/>
    <mergeCell ref="AC499:AE500"/>
    <mergeCell ref="AF499:AF500"/>
    <mergeCell ref="AG499:AG500"/>
    <mergeCell ref="AH499:AH500"/>
    <mergeCell ref="A499:A502"/>
    <mergeCell ref="B499:C502"/>
    <mergeCell ref="E499:F502"/>
    <mergeCell ref="G499:H502"/>
    <mergeCell ref="I499:J502"/>
    <mergeCell ref="L499:L502"/>
    <mergeCell ref="M499:M502"/>
    <mergeCell ref="N499:O502"/>
    <mergeCell ref="R499:S502"/>
    <mergeCell ref="K499:K502"/>
    <mergeCell ref="P499:Q502"/>
    <mergeCell ref="D499:D502"/>
    <mergeCell ref="AR495:AR496"/>
    <mergeCell ref="BC495:BD495"/>
    <mergeCell ref="BR495:BR498"/>
    <mergeCell ref="BS495:BT498"/>
    <mergeCell ref="BU495:BU498"/>
    <mergeCell ref="BV495:BV498"/>
    <mergeCell ref="BW495:BW498"/>
    <mergeCell ref="BC496:BD496"/>
    <mergeCell ref="AC497:AE497"/>
    <mergeCell ref="BC497:BD497"/>
    <mergeCell ref="AC498:AE498"/>
    <mergeCell ref="BC498:BD498"/>
    <mergeCell ref="AI495:AI496"/>
    <mergeCell ref="AJ495:AJ496"/>
    <mergeCell ref="AK495:AK496"/>
    <mergeCell ref="AL495:AL496"/>
    <mergeCell ref="AM495:AM496"/>
    <mergeCell ref="AN495:AN496"/>
    <mergeCell ref="AO495:AO496"/>
    <mergeCell ref="AP495:AP496"/>
    <mergeCell ref="AQ495:AQ496"/>
    <mergeCell ref="T495:U498"/>
    <mergeCell ref="V495:V498"/>
    <mergeCell ref="W495:Y498"/>
    <mergeCell ref="Z495:Z498"/>
    <mergeCell ref="AA495:AB498"/>
    <mergeCell ref="AC495:AE496"/>
    <mergeCell ref="AF495:AF496"/>
    <mergeCell ref="AG495:AG496"/>
    <mergeCell ref="AH495:AH496"/>
    <mergeCell ref="A495:A498"/>
    <mergeCell ref="B495:C498"/>
    <mergeCell ref="E495:F498"/>
    <mergeCell ref="G495:H498"/>
    <mergeCell ref="I495:J498"/>
    <mergeCell ref="L495:L498"/>
    <mergeCell ref="M495:M498"/>
    <mergeCell ref="N495:O498"/>
    <mergeCell ref="R495:S498"/>
    <mergeCell ref="K495:K498"/>
    <mergeCell ref="P495:Q498"/>
    <mergeCell ref="D495:D498"/>
    <mergeCell ref="AR491:AR492"/>
    <mergeCell ref="BC491:BD491"/>
    <mergeCell ref="BR491:BR494"/>
    <mergeCell ref="BS491:BT494"/>
    <mergeCell ref="BU491:BU494"/>
    <mergeCell ref="BV491:BV494"/>
    <mergeCell ref="BW491:BW494"/>
    <mergeCell ref="BC492:BD492"/>
    <mergeCell ref="AC493:AE493"/>
    <mergeCell ref="BC493:BD493"/>
    <mergeCell ref="AC494:AE494"/>
    <mergeCell ref="BC494:BD494"/>
    <mergeCell ref="AI491:AI492"/>
    <mergeCell ref="AJ491:AJ492"/>
    <mergeCell ref="AK491:AK492"/>
    <mergeCell ref="AL491:AL492"/>
    <mergeCell ref="AM491:AM492"/>
    <mergeCell ref="AN491:AN492"/>
    <mergeCell ref="AO491:AO492"/>
    <mergeCell ref="AP491:AP492"/>
    <mergeCell ref="AQ491:AQ492"/>
    <mergeCell ref="T491:U494"/>
    <mergeCell ref="V491:V494"/>
    <mergeCell ref="W491:Y494"/>
    <mergeCell ref="Z491:Z494"/>
    <mergeCell ref="AA491:AB494"/>
    <mergeCell ref="AC491:AE492"/>
    <mergeCell ref="AF491:AF492"/>
    <mergeCell ref="AG491:AG492"/>
    <mergeCell ref="AH491:AH492"/>
    <mergeCell ref="A491:A494"/>
    <mergeCell ref="B491:C494"/>
    <mergeCell ref="E491:F494"/>
    <mergeCell ref="G491:H494"/>
    <mergeCell ref="I491:J494"/>
    <mergeCell ref="L491:L494"/>
    <mergeCell ref="M491:M494"/>
    <mergeCell ref="N491:O494"/>
    <mergeCell ref="R491:S494"/>
    <mergeCell ref="K491:K494"/>
    <mergeCell ref="P491:Q494"/>
    <mergeCell ref="D491:D494"/>
    <mergeCell ref="AR487:AR488"/>
    <mergeCell ref="BC487:BD487"/>
    <mergeCell ref="BR487:BR490"/>
    <mergeCell ref="BS487:BT490"/>
    <mergeCell ref="BU487:BU490"/>
    <mergeCell ref="BV487:BV490"/>
    <mergeCell ref="BW487:BW490"/>
    <mergeCell ref="BC488:BD488"/>
    <mergeCell ref="AC489:AE489"/>
    <mergeCell ref="BC489:BD489"/>
    <mergeCell ref="AC490:AE490"/>
    <mergeCell ref="BC490:BD490"/>
    <mergeCell ref="AI487:AI488"/>
    <mergeCell ref="AJ487:AJ488"/>
    <mergeCell ref="AK487:AK488"/>
    <mergeCell ref="AL487:AL488"/>
    <mergeCell ref="AM487:AM488"/>
    <mergeCell ref="AN487:AN488"/>
    <mergeCell ref="AO487:AO488"/>
    <mergeCell ref="AP487:AP488"/>
    <mergeCell ref="AQ487:AQ488"/>
    <mergeCell ref="T487:U490"/>
    <mergeCell ref="V487:V490"/>
    <mergeCell ref="W487:Y490"/>
    <mergeCell ref="Z487:Z490"/>
    <mergeCell ref="AA487:AB490"/>
    <mergeCell ref="AC487:AE488"/>
    <mergeCell ref="AF487:AF488"/>
    <mergeCell ref="AG487:AG488"/>
    <mergeCell ref="AH487:AH488"/>
    <mergeCell ref="A487:A490"/>
    <mergeCell ref="B487:C490"/>
    <mergeCell ref="E487:F490"/>
    <mergeCell ref="G487:H490"/>
    <mergeCell ref="I487:J490"/>
    <mergeCell ref="L487:L490"/>
    <mergeCell ref="M487:M490"/>
    <mergeCell ref="N487:O490"/>
    <mergeCell ref="R487:S490"/>
    <mergeCell ref="K487:K490"/>
    <mergeCell ref="P487:Q490"/>
    <mergeCell ref="D487:D490"/>
    <mergeCell ref="AR483:AR484"/>
    <mergeCell ref="BC483:BD483"/>
    <mergeCell ref="BR483:BR486"/>
    <mergeCell ref="BS483:BT486"/>
    <mergeCell ref="BU483:BU486"/>
    <mergeCell ref="BV483:BV486"/>
    <mergeCell ref="BW483:BW486"/>
    <mergeCell ref="BC484:BD484"/>
    <mergeCell ref="AC485:AE485"/>
    <mergeCell ref="BC485:BD485"/>
    <mergeCell ref="AC486:AE486"/>
    <mergeCell ref="BC486:BD486"/>
    <mergeCell ref="AI483:AI484"/>
    <mergeCell ref="AJ483:AJ484"/>
    <mergeCell ref="AK483:AK484"/>
    <mergeCell ref="AL483:AL484"/>
    <mergeCell ref="AM483:AM484"/>
    <mergeCell ref="AN483:AN484"/>
    <mergeCell ref="AO483:AO484"/>
    <mergeCell ref="AP483:AP484"/>
    <mergeCell ref="AQ483:AQ484"/>
    <mergeCell ref="T483:U486"/>
    <mergeCell ref="V483:V486"/>
    <mergeCell ref="W483:Y486"/>
    <mergeCell ref="Z483:Z486"/>
    <mergeCell ref="AA483:AB486"/>
    <mergeCell ref="AC483:AE484"/>
    <mergeCell ref="AF483:AF484"/>
    <mergeCell ref="AG483:AG484"/>
    <mergeCell ref="AH483:AH484"/>
    <mergeCell ref="A483:A486"/>
    <mergeCell ref="B483:C486"/>
    <mergeCell ref="E483:F486"/>
    <mergeCell ref="G483:H486"/>
    <mergeCell ref="I483:J486"/>
    <mergeCell ref="L483:L486"/>
    <mergeCell ref="M483:M486"/>
    <mergeCell ref="N483:O486"/>
    <mergeCell ref="R483:S486"/>
    <mergeCell ref="K483:K486"/>
    <mergeCell ref="P483:Q486"/>
    <mergeCell ref="D483:D486"/>
    <mergeCell ref="AR479:AR480"/>
    <mergeCell ref="BC479:BD479"/>
    <mergeCell ref="BR479:BR482"/>
    <mergeCell ref="BS479:BT482"/>
    <mergeCell ref="BU479:BU482"/>
    <mergeCell ref="BV479:BV482"/>
    <mergeCell ref="BW479:BW482"/>
    <mergeCell ref="BC480:BD480"/>
    <mergeCell ref="AC481:AE481"/>
    <mergeCell ref="BC481:BD481"/>
    <mergeCell ref="AC482:AE482"/>
    <mergeCell ref="BC482:BD482"/>
    <mergeCell ref="AI479:AI480"/>
    <mergeCell ref="AJ479:AJ480"/>
    <mergeCell ref="AK479:AK480"/>
    <mergeCell ref="AL479:AL480"/>
    <mergeCell ref="AM479:AM480"/>
    <mergeCell ref="AN479:AN480"/>
    <mergeCell ref="AO479:AO480"/>
    <mergeCell ref="AP479:AP480"/>
    <mergeCell ref="AQ479:AQ480"/>
    <mergeCell ref="T479:U482"/>
    <mergeCell ref="V479:V482"/>
    <mergeCell ref="W479:Y482"/>
    <mergeCell ref="Z479:Z482"/>
    <mergeCell ref="AA479:AB482"/>
    <mergeCell ref="AC479:AE480"/>
    <mergeCell ref="AF479:AF480"/>
    <mergeCell ref="AG479:AG480"/>
    <mergeCell ref="AH479:AH480"/>
    <mergeCell ref="A479:A482"/>
    <mergeCell ref="B479:C482"/>
    <mergeCell ref="E479:F482"/>
    <mergeCell ref="G479:H482"/>
    <mergeCell ref="I479:J482"/>
    <mergeCell ref="L479:L482"/>
    <mergeCell ref="M479:M482"/>
    <mergeCell ref="N479:O482"/>
    <mergeCell ref="R479:S482"/>
    <mergeCell ref="K479:K482"/>
    <mergeCell ref="P479:Q482"/>
    <mergeCell ref="D479:D482"/>
    <mergeCell ref="AR475:AR476"/>
    <mergeCell ref="BC475:BD475"/>
    <mergeCell ref="BR475:BR478"/>
    <mergeCell ref="BS475:BT478"/>
    <mergeCell ref="BU475:BU478"/>
    <mergeCell ref="BV475:BV478"/>
    <mergeCell ref="BW475:BW478"/>
    <mergeCell ref="BC476:BD476"/>
    <mergeCell ref="AC477:AE477"/>
    <mergeCell ref="BC477:BD477"/>
    <mergeCell ref="AC478:AE478"/>
    <mergeCell ref="BC478:BD478"/>
    <mergeCell ref="AI475:AI476"/>
    <mergeCell ref="AJ475:AJ476"/>
    <mergeCell ref="AK475:AK476"/>
    <mergeCell ref="AL475:AL476"/>
    <mergeCell ref="AM475:AM476"/>
    <mergeCell ref="AN475:AN476"/>
    <mergeCell ref="AO475:AO476"/>
    <mergeCell ref="AP475:AP476"/>
    <mergeCell ref="AQ475:AQ476"/>
    <mergeCell ref="T475:U478"/>
    <mergeCell ref="V475:V478"/>
    <mergeCell ref="W475:Y478"/>
    <mergeCell ref="Z475:Z478"/>
    <mergeCell ref="AA475:AB478"/>
    <mergeCell ref="AC475:AE476"/>
    <mergeCell ref="AF475:AF476"/>
    <mergeCell ref="AG475:AG476"/>
    <mergeCell ref="AH475:AH476"/>
    <mergeCell ref="A475:A478"/>
    <mergeCell ref="B475:C478"/>
    <mergeCell ref="E475:F478"/>
    <mergeCell ref="G475:H478"/>
    <mergeCell ref="I475:J478"/>
    <mergeCell ref="L475:L478"/>
    <mergeCell ref="M475:M478"/>
    <mergeCell ref="N475:O478"/>
    <mergeCell ref="R475:S478"/>
    <mergeCell ref="K475:K478"/>
    <mergeCell ref="P475:Q478"/>
    <mergeCell ref="D475:D478"/>
    <mergeCell ref="AR471:AR472"/>
    <mergeCell ref="BC471:BD471"/>
    <mergeCell ref="BR471:BR474"/>
    <mergeCell ref="BS471:BT474"/>
    <mergeCell ref="BU471:BU474"/>
    <mergeCell ref="BV471:BV474"/>
    <mergeCell ref="BW471:BW474"/>
    <mergeCell ref="BC472:BD472"/>
    <mergeCell ref="AC473:AE473"/>
    <mergeCell ref="BC473:BD473"/>
    <mergeCell ref="AC474:AE474"/>
    <mergeCell ref="BC474:BD474"/>
    <mergeCell ref="AI471:AI472"/>
    <mergeCell ref="AJ471:AJ472"/>
    <mergeCell ref="AK471:AK472"/>
    <mergeCell ref="AL471:AL472"/>
    <mergeCell ref="AM471:AM472"/>
    <mergeCell ref="AN471:AN472"/>
    <mergeCell ref="AO471:AO472"/>
    <mergeCell ref="AP471:AP472"/>
    <mergeCell ref="AQ471:AQ472"/>
    <mergeCell ref="T471:U474"/>
    <mergeCell ref="V471:V474"/>
    <mergeCell ref="W471:Y474"/>
    <mergeCell ref="Z471:Z474"/>
    <mergeCell ref="AA471:AB474"/>
    <mergeCell ref="AC471:AE472"/>
    <mergeCell ref="AF471:AF472"/>
    <mergeCell ref="AG471:AG472"/>
    <mergeCell ref="AH471:AH472"/>
    <mergeCell ref="A471:A474"/>
    <mergeCell ref="B471:C474"/>
    <mergeCell ref="E471:F474"/>
    <mergeCell ref="G471:H474"/>
    <mergeCell ref="I471:J474"/>
    <mergeCell ref="L471:L474"/>
    <mergeCell ref="M471:M474"/>
    <mergeCell ref="N471:O474"/>
    <mergeCell ref="R471:S474"/>
    <mergeCell ref="K471:K474"/>
    <mergeCell ref="P471:Q474"/>
    <mergeCell ref="D471:D474"/>
    <mergeCell ref="AR467:AR468"/>
    <mergeCell ref="BC467:BD467"/>
    <mergeCell ref="BR467:BR470"/>
    <mergeCell ref="BS467:BT470"/>
    <mergeCell ref="BU467:BU470"/>
    <mergeCell ref="BV467:BV470"/>
    <mergeCell ref="BW467:BW470"/>
    <mergeCell ref="BC468:BD468"/>
    <mergeCell ref="AC469:AE469"/>
    <mergeCell ref="BC469:BD469"/>
    <mergeCell ref="AC470:AE470"/>
    <mergeCell ref="BC470:BD470"/>
    <mergeCell ref="AI467:AI468"/>
    <mergeCell ref="AJ467:AJ468"/>
    <mergeCell ref="AK467:AK468"/>
    <mergeCell ref="AL467:AL468"/>
    <mergeCell ref="AM467:AM468"/>
    <mergeCell ref="AN467:AN468"/>
    <mergeCell ref="AO467:AO468"/>
    <mergeCell ref="AP467:AP468"/>
    <mergeCell ref="AQ467:AQ468"/>
    <mergeCell ref="T467:U470"/>
    <mergeCell ref="V467:V470"/>
    <mergeCell ref="W467:Y470"/>
    <mergeCell ref="Z467:Z470"/>
    <mergeCell ref="AA467:AB470"/>
    <mergeCell ref="AC467:AE468"/>
    <mergeCell ref="AF467:AF468"/>
    <mergeCell ref="AG467:AG468"/>
    <mergeCell ref="AH467:AH468"/>
    <mergeCell ref="A467:A470"/>
    <mergeCell ref="B467:C470"/>
    <mergeCell ref="E467:F470"/>
    <mergeCell ref="G467:H470"/>
    <mergeCell ref="I467:J470"/>
    <mergeCell ref="L467:L470"/>
    <mergeCell ref="M467:M470"/>
    <mergeCell ref="N467:O470"/>
    <mergeCell ref="R467:S470"/>
    <mergeCell ref="K467:K470"/>
    <mergeCell ref="P467:Q470"/>
    <mergeCell ref="D467:D470"/>
    <mergeCell ref="AR463:AR464"/>
    <mergeCell ref="BC463:BD463"/>
    <mergeCell ref="BR463:BR466"/>
    <mergeCell ref="BS463:BT466"/>
    <mergeCell ref="BU463:BU466"/>
    <mergeCell ref="BV463:BV466"/>
    <mergeCell ref="BW463:BW466"/>
    <mergeCell ref="BC464:BD464"/>
    <mergeCell ref="AC465:AE465"/>
    <mergeCell ref="BC465:BD465"/>
    <mergeCell ref="AC466:AE466"/>
    <mergeCell ref="BC466:BD466"/>
    <mergeCell ref="AI463:AI464"/>
    <mergeCell ref="AJ463:AJ464"/>
    <mergeCell ref="AK463:AK464"/>
    <mergeCell ref="AL463:AL464"/>
    <mergeCell ref="AM463:AM464"/>
    <mergeCell ref="AN463:AN464"/>
    <mergeCell ref="AO463:AO464"/>
    <mergeCell ref="AP463:AP464"/>
    <mergeCell ref="AQ463:AQ464"/>
    <mergeCell ref="T463:U466"/>
    <mergeCell ref="V463:V466"/>
    <mergeCell ref="W463:Y466"/>
    <mergeCell ref="Z463:Z466"/>
    <mergeCell ref="AA463:AB466"/>
    <mergeCell ref="AC463:AE464"/>
    <mergeCell ref="AF463:AF464"/>
    <mergeCell ref="AG463:AG464"/>
    <mergeCell ref="AH463:AH464"/>
    <mergeCell ref="A463:A466"/>
    <mergeCell ref="B463:C466"/>
    <mergeCell ref="E463:F466"/>
    <mergeCell ref="G463:H466"/>
    <mergeCell ref="I463:J466"/>
    <mergeCell ref="L463:L466"/>
    <mergeCell ref="M463:M466"/>
    <mergeCell ref="N463:O466"/>
    <mergeCell ref="R463:S466"/>
    <mergeCell ref="K463:K466"/>
    <mergeCell ref="P463:Q466"/>
    <mergeCell ref="D463:D466"/>
    <mergeCell ref="AR459:AR460"/>
    <mergeCell ref="BC459:BD459"/>
    <mergeCell ref="BR459:BR462"/>
    <mergeCell ref="BS459:BT462"/>
    <mergeCell ref="BU459:BU462"/>
    <mergeCell ref="BV459:BV462"/>
    <mergeCell ref="BW459:BW462"/>
    <mergeCell ref="BC460:BD460"/>
    <mergeCell ref="AC461:AE461"/>
    <mergeCell ref="BC461:BD461"/>
    <mergeCell ref="AC462:AE462"/>
    <mergeCell ref="BC462:BD462"/>
    <mergeCell ref="AI459:AI460"/>
    <mergeCell ref="AJ459:AJ460"/>
    <mergeCell ref="AK459:AK460"/>
    <mergeCell ref="AL459:AL460"/>
    <mergeCell ref="AM459:AM460"/>
    <mergeCell ref="AN459:AN460"/>
    <mergeCell ref="AO459:AO460"/>
    <mergeCell ref="AP459:AP460"/>
    <mergeCell ref="AQ459:AQ460"/>
    <mergeCell ref="T459:U462"/>
    <mergeCell ref="V459:V462"/>
    <mergeCell ref="W459:Y462"/>
    <mergeCell ref="Z459:Z462"/>
    <mergeCell ref="AA459:AB462"/>
    <mergeCell ref="AC459:AE460"/>
    <mergeCell ref="AF459:AF460"/>
    <mergeCell ref="AG459:AG460"/>
    <mergeCell ref="AH459:AH460"/>
    <mergeCell ref="A459:A462"/>
    <mergeCell ref="B459:C462"/>
    <mergeCell ref="E459:F462"/>
    <mergeCell ref="G459:H462"/>
    <mergeCell ref="I459:J462"/>
    <mergeCell ref="L459:L462"/>
    <mergeCell ref="M459:M462"/>
    <mergeCell ref="N459:O462"/>
    <mergeCell ref="R459:S462"/>
    <mergeCell ref="K459:K462"/>
    <mergeCell ref="P459:Q462"/>
    <mergeCell ref="D459:D462"/>
    <mergeCell ref="AR455:AR456"/>
    <mergeCell ref="BC455:BD455"/>
    <mergeCell ref="BR455:BR458"/>
    <mergeCell ref="BS455:BT458"/>
    <mergeCell ref="BU455:BU458"/>
    <mergeCell ref="BV455:BV458"/>
    <mergeCell ref="BW455:BW458"/>
    <mergeCell ref="BC456:BD456"/>
    <mergeCell ref="AC457:AE457"/>
    <mergeCell ref="BC457:BD457"/>
    <mergeCell ref="AC458:AE458"/>
    <mergeCell ref="BC458:BD458"/>
    <mergeCell ref="AI455:AI456"/>
    <mergeCell ref="AJ455:AJ456"/>
    <mergeCell ref="AK455:AK456"/>
    <mergeCell ref="AL455:AL456"/>
    <mergeCell ref="AM455:AM456"/>
    <mergeCell ref="AN455:AN456"/>
    <mergeCell ref="AO455:AO456"/>
    <mergeCell ref="AP455:AP456"/>
    <mergeCell ref="AQ455:AQ456"/>
    <mergeCell ref="T455:U458"/>
    <mergeCell ref="V455:V458"/>
    <mergeCell ref="W455:Y458"/>
    <mergeCell ref="Z455:Z458"/>
    <mergeCell ref="AA455:AB458"/>
    <mergeCell ref="AC455:AE456"/>
    <mergeCell ref="AF455:AF456"/>
    <mergeCell ref="AG455:AG456"/>
    <mergeCell ref="AH455:AH456"/>
    <mergeCell ref="A455:A458"/>
    <mergeCell ref="B455:C458"/>
    <mergeCell ref="E455:F458"/>
    <mergeCell ref="G455:H458"/>
    <mergeCell ref="I455:J458"/>
    <mergeCell ref="L455:L458"/>
    <mergeCell ref="M455:M458"/>
    <mergeCell ref="N455:O458"/>
    <mergeCell ref="R455:S458"/>
    <mergeCell ref="K455:K458"/>
    <mergeCell ref="P455:Q458"/>
    <mergeCell ref="D455:D458"/>
    <mergeCell ref="AR451:AR452"/>
    <mergeCell ref="BC451:BD451"/>
    <mergeCell ref="BR451:BR454"/>
    <mergeCell ref="BS451:BT454"/>
    <mergeCell ref="BU451:BU454"/>
    <mergeCell ref="BV451:BV454"/>
    <mergeCell ref="BW451:BW454"/>
    <mergeCell ref="BC452:BD452"/>
    <mergeCell ref="AC453:AE453"/>
    <mergeCell ref="BC453:BD453"/>
    <mergeCell ref="AC454:AE454"/>
    <mergeCell ref="BC454:BD454"/>
    <mergeCell ref="AI451:AI452"/>
    <mergeCell ref="AJ451:AJ452"/>
    <mergeCell ref="AK451:AK452"/>
    <mergeCell ref="AL451:AL452"/>
    <mergeCell ref="AM451:AM452"/>
    <mergeCell ref="AN451:AN452"/>
    <mergeCell ref="AO451:AO452"/>
    <mergeCell ref="AP451:AP452"/>
    <mergeCell ref="AQ451:AQ452"/>
    <mergeCell ref="T451:U454"/>
    <mergeCell ref="V451:V454"/>
    <mergeCell ref="W451:Y454"/>
    <mergeCell ref="Z451:Z454"/>
    <mergeCell ref="AA451:AB454"/>
    <mergeCell ref="AC451:AE452"/>
    <mergeCell ref="AF451:AF452"/>
    <mergeCell ref="AG451:AG452"/>
    <mergeCell ref="AH451:AH452"/>
    <mergeCell ref="A451:A454"/>
    <mergeCell ref="B451:C454"/>
    <mergeCell ref="E451:F454"/>
    <mergeCell ref="G451:H454"/>
    <mergeCell ref="I451:J454"/>
    <mergeCell ref="L451:L454"/>
    <mergeCell ref="M451:M454"/>
    <mergeCell ref="N451:O454"/>
    <mergeCell ref="R451:S454"/>
    <mergeCell ref="K451:K454"/>
    <mergeCell ref="P451:Q454"/>
    <mergeCell ref="D451:D454"/>
    <mergeCell ref="AR447:AR448"/>
    <mergeCell ref="BC447:BD447"/>
    <mergeCell ref="BR447:BR450"/>
    <mergeCell ref="BS447:BT450"/>
    <mergeCell ref="BU447:BU450"/>
    <mergeCell ref="BV447:BV450"/>
    <mergeCell ref="BW447:BW450"/>
    <mergeCell ref="BC448:BD448"/>
    <mergeCell ref="AC449:AE449"/>
    <mergeCell ref="BC449:BD449"/>
    <mergeCell ref="AC450:AE450"/>
    <mergeCell ref="BC450:BD450"/>
    <mergeCell ref="AI447:AI448"/>
    <mergeCell ref="AJ447:AJ448"/>
    <mergeCell ref="AK447:AK448"/>
    <mergeCell ref="AL447:AL448"/>
    <mergeCell ref="AM447:AM448"/>
    <mergeCell ref="AN447:AN448"/>
    <mergeCell ref="AO447:AO448"/>
    <mergeCell ref="AP447:AP448"/>
    <mergeCell ref="AQ447:AQ448"/>
    <mergeCell ref="T447:U450"/>
    <mergeCell ref="V447:V450"/>
    <mergeCell ref="W447:Y450"/>
    <mergeCell ref="Z447:Z450"/>
    <mergeCell ref="AA447:AB450"/>
    <mergeCell ref="AC447:AE448"/>
    <mergeCell ref="AF447:AF448"/>
    <mergeCell ref="AG447:AG448"/>
    <mergeCell ref="AH447:AH448"/>
    <mergeCell ref="A447:A450"/>
    <mergeCell ref="B447:C450"/>
    <mergeCell ref="E447:F450"/>
    <mergeCell ref="G447:H450"/>
    <mergeCell ref="I447:J450"/>
    <mergeCell ref="L447:L450"/>
    <mergeCell ref="M447:M450"/>
    <mergeCell ref="N447:O450"/>
    <mergeCell ref="R447:S450"/>
    <mergeCell ref="K447:K450"/>
    <mergeCell ref="P447:Q450"/>
    <mergeCell ref="D447:D450"/>
    <mergeCell ref="AR443:AR444"/>
    <mergeCell ref="BC443:BD443"/>
    <mergeCell ref="BR443:BR446"/>
    <mergeCell ref="BS443:BT446"/>
    <mergeCell ref="BU443:BU446"/>
    <mergeCell ref="BV443:BV446"/>
    <mergeCell ref="BW443:BW446"/>
    <mergeCell ref="BC444:BD444"/>
    <mergeCell ref="AC445:AE445"/>
    <mergeCell ref="BC445:BD445"/>
    <mergeCell ref="AC446:AE446"/>
    <mergeCell ref="BC446:BD446"/>
    <mergeCell ref="AI443:AI444"/>
    <mergeCell ref="AJ443:AJ444"/>
    <mergeCell ref="AK443:AK444"/>
    <mergeCell ref="AL443:AL444"/>
    <mergeCell ref="AM443:AM444"/>
    <mergeCell ref="AN443:AN444"/>
    <mergeCell ref="AO443:AO444"/>
    <mergeCell ref="AP443:AP444"/>
    <mergeCell ref="AQ443:AQ444"/>
    <mergeCell ref="T443:U446"/>
    <mergeCell ref="V443:V446"/>
    <mergeCell ref="W443:Y446"/>
    <mergeCell ref="Z443:Z446"/>
    <mergeCell ref="AA443:AB446"/>
    <mergeCell ref="AC443:AE444"/>
    <mergeCell ref="AF443:AF444"/>
    <mergeCell ref="AG443:AG444"/>
    <mergeCell ref="AH443:AH444"/>
    <mergeCell ref="A443:A446"/>
    <mergeCell ref="B443:C446"/>
    <mergeCell ref="E443:F446"/>
    <mergeCell ref="G443:H446"/>
    <mergeCell ref="I443:J446"/>
    <mergeCell ref="L443:L446"/>
    <mergeCell ref="M443:M446"/>
    <mergeCell ref="N443:O446"/>
    <mergeCell ref="R443:S446"/>
    <mergeCell ref="K443:K446"/>
    <mergeCell ref="P443:Q446"/>
    <mergeCell ref="D443:D446"/>
    <mergeCell ref="AR439:AR440"/>
    <mergeCell ref="BC439:BD439"/>
    <mergeCell ref="BR439:BR442"/>
    <mergeCell ref="BS439:BT442"/>
    <mergeCell ref="BU439:BU442"/>
    <mergeCell ref="BV439:BV442"/>
    <mergeCell ref="BW439:BW442"/>
    <mergeCell ref="BC440:BD440"/>
    <mergeCell ref="AC441:AE441"/>
    <mergeCell ref="BC441:BD441"/>
    <mergeCell ref="AC442:AE442"/>
    <mergeCell ref="BC442:BD442"/>
    <mergeCell ref="AI439:AI440"/>
    <mergeCell ref="AJ439:AJ440"/>
    <mergeCell ref="AK439:AK440"/>
    <mergeCell ref="AL439:AL440"/>
    <mergeCell ref="AM439:AM440"/>
    <mergeCell ref="AN439:AN440"/>
    <mergeCell ref="AO439:AO440"/>
    <mergeCell ref="AP439:AP440"/>
    <mergeCell ref="AQ439:AQ440"/>
    <mergeCell ref="T439:U442"/>
    <mergeCell ref="V439:V442"/>
    <mergeCell ref="W439:Y442"/>
    <mergeCell ref="Z439:Z442"/>
    <mergeCell ref="AA439:AB442"/>
    <mergeCell ref="AC439:AE440"/>
    <mergeCell ref="AF439:AF440"/>
    <mergeCell ref="AG439:AG440"/>
    <mergeCell ref="AH439:AH440"/>
    <mergeCell ref="A439:A442"/>
    <mergeCell ref="B439:C442"/>
    <mergeCell ref="E439:F442"/>
    <mergeCell ref="G439:H442"/>
    <mergeCell ref="I439:J442"/>
    <mergeCell ref="L439:L442"/>
    <mergeCell ref="M439:M442"/>
    <mergeCell ref="N439:O442"/>
    <mergeCell ref="R439:S442"/>
    <mergeCell ref="K439:K442"/>
    <mergeCell ref="P439:Q442"/>
    <mergeCell ref="D439:D442"/>
    <mergeCell ref="AR435:AR436"/>
    <mergeCell ref="BC435:BD435"/>
    <mergeCell ref="BR435:BR438"/>
    <mergeCell ref="BS435:BT438"/>
    <mergeCell ref="BU435:BU438"/>
    <mergeCell ref="BV435:BV438"/>
    <mergeCell ref="BW435:BW438"/>
    <mergeCell ref="BC436:BD436"/>
    <mergeCell ref="AC437:AE437"/>
    <mergeCell ref="BC437:BD437"/>
    <mergeCell ref="AC438:AE438"/>
    <mergeCell ref="BC438:BD438"/>
    <mergeCell ref="AI435:AI436"/>
    <mergeCell ref="AJ435:AJ436"/>
    <mergeCell ref="AK435:AK436"/>
    <mergeCell ref="AL435:AL436"/>
    <mergeCell ref="AM435:AM436"/>
    <mergeCell ref="AN435:AN436"/>
    <mergeCell ref="AO435:AO436"/>
    <mergeCell ref="AP435:AP436"/>
    <mergeCell ref="AQ435:AQ436"/>
    <mergeCell ref="T435:U438"/>
    <mergeCell ref="V435:V438"/>
    <mergeCell ref="W435:Y438"/>
    <mergeCell ref="Z435:Z438"/>
    <mergeCell ref="AA435:AB438"/>
    <mergeCell ref="AC435:AE436"/>
    <mergeCell ref="AF435:AF436"/>
    <mergeCell ref="AG435:AG436"/>
    <mergeCell ref="AH435:AH436"/>
    <mergeCell ref="A435:A438"/>
    <mergeCell ref="B435:C438"/>
    <mergeCell ref="E435:F438"/>
    <mergeCell ref="G435:H438"/>
    <mergeCell ref="I435:J438"/>
    <mergeCell ref="L435:L438"/>
    <mergeCell ref="M435:M438"/>
    <mergeCell ref="N435:O438"/>
    <mergeCell ref="R435:S438"/>
    <mergeCell ref="K435:K438"/>
    <mergeCell ref="P435:Q438"/>
    <mergeCell ref="D435:D438"/>
    <mergeCell ref="AR431:AR432"/>
    <mergeCell ref="BC431:BD431"/>
    <mergeCell ref="BR431:BR434"/>
    <mergeCell ref="BS431:BT434"/>
    <mergeCell ref="BU431:BU434"/>
    <mergeCell ref="BV431:BV434"/>
    <mergeCell ref="BW431:BW434"/>
    <mergeCell ref="BC432:BD432"/>
    <mergeCell ref="AC433:AE433"/>
    <mergeCell ref="BC433:BD433"/>
    <mergeCell ref="AC434:AE434"/>
    <mergeCell ref="BC434:BD434"/>
    <mergeCell ref="AI431:AI432"/>
    <mergeCell ref="AJ431:AJ432"/>
    <mergeCell ref="AK431:AK432"/>
    <mergeCell ref="AL431:AL432"/>
    <mergeCell ref="AM431:AM432"/>
    <mergeCell ref="AN431:AN432"/>
    <mergeCell ref="AO431:AO432"/>
    <mergeCell ref="AP431:AP432"/>
    <mergeCell ref="AQ431:AQ432"/>
    <mergeCell ref="T431:U434"/>
    <mergeCell ref="V431:V434"/>
    <mergeCell ref="W431:Y434"/>
    <mergeCell ref="Z431:Z434"/>
    <mergeCell ref="AA431:AB434"/>
    <mergeCell ref="AC431:AE432"/>
    <mergeCell ref="AF431:AF432"/>
    <mergeCell ref="AG431:AG432"/>
    <mergeCell ref="AH431:AH432"/>
    <mergeCell ref="A431:A434"/>
    <mergeCell ref="B431:C434"/>
    <mergeCell ref="E431:F434"/>
    <mergeCell ref="G431:H434"/>
    <mergeCell ref="I431:J434"/>
    <mergeCell ref="L431:L434"/>
    <mergeCell ref="M431:M434"/>
    <mergeCell ref="N431:O434"/>
    <mergeCell ref="R431:S434"/>
    <mergeCell ref="K431:K434"/>
    <mergeCell ref="P431:Q434"/>
    <mergeCell ref="D431:D434"/>
    <mergeCell ref="AR427:AR428"/>
    <mergeCell ref="BC427:BD427"/>
    <mergeCell ref="BR427:BR430"/>
    <mergeCell ref="BS427:BT430"/>
    <mergeCell ref="BU427:BU430"/>
    <mergeCell ref="BV427:BV430"/>
    <mergeCell ref="BW427:BW430"/>
    <mergeCell ref="BC428:BD428"/>
    <mergeCell ref="AC429:AE429"/>
    <mergeCell ref="BC429:BD429"/>
    <mergeCell ref="AC430:AE430"/>
    <mergeCell ref="BC430:BD430"/>
    <mergeCell ref="AI427:AI428"/>
    <mergeCell ref="AJ427:AJ428"/>
    <mergeCell ref="AK427:AK428"/>
    <mergeCell ref="AL427:AL428"/>
    <mergeCell ref="AM427:AM428"/>
    <mergeCell ref="AN427:AN428"/>
    <mergeCell ref="AO427:AO428"/>
    <mergeCell ref="AP427:AP428"/>
    <mergeCell ref="AQ427:AQ428"/>
    <mergeCell ref="T427:U430"/>
    <mergeCell ref="V427:V430"/>
    <mergeCell ref="W427:Y430"/>
    <mergeCell ref="Z427:Z430"/>
    <mergeCell ref="AA427:AB430"/>
    <mergeCell ref="AC427:AE428"/>
    <mergeCell ref="AF427:AF428"/>
    <mergeCell ref="AG427:AG428"/>
    <mergeCell ref="AH427:AH428"/>
    <mergeCell ref="A427:A430"/>
    <mergeCell ref="B427:C430"/>
    <mergeCell ref="E427:F430"/>
    <mergeCell ref="G427:H430"/>
    <mergeCell ref="I427:J430"/>
    <mergeCell ref="L427:L430"/>
    <mergeCell ref="M427:M430"/>
    <mergeCell ref="N427:O430"/>
    <mergeCell ref="R427:S430"/>
    <mergeCell ref="K427:K430"/>
    <mergeCell ref="P427:Q430"/>
    <mergeCell ref="D427:D430"/>
    <mergeCell ref="AR423:AR424"/>
    <mergeCell ref="BC423:BD423"/>
    <mergeCell ref="BR423:BR426"/>
    <mergeCell ref="BS423:BT426"/>
    <mergeCell ref="BU423:BU426"/>
    <mergeCell ref="BV423:BV426"/>
    <mergeCell ref="BW423:BW426"/>
    <mergeCell ref="BC424:BD424"/>
    <mergeCell ref="AC425:AE425"/>
    <mergeCell ref="BC425:BD425"/>
    <mergeCell ref="AC426:AE426"/>
    <mergeCell ref="BC426:BD426"/>
    <mergeCell ref="AI423:AI424"/>
    <mergeCell ref="AJ423:AJ424"/>
    <mergeCell ref="AK423:AK424"/>
    <mergeCell ref="AL423:AL424"/>
    <mergeCell ref="AM423:AM424"/>
    <mergeCell ref="AN423:AN424"/>
    <mergeCell ref="AO423:AO424"/>
    <mergeCell ref="AP423:AP424"/>
    <mergeCell ref="AQ423:AQ424"/>
    <mergeCell ref="T423:U426"/>
    <mergeCell ref="V423:V426"/>
    <mergeCell ref="W423:Y426"/>
    <mergeCell ref="Z423:Z426"/>
    <mergeCell ref="AA423:AB426"/>
    <mergeCell ref="AC423:AE424"/>
    <mergeCell ref="AF423:AF424"/>
    <mergeCell ref="AG423:AG424"/>
    <mergeCell ref="AH423:AH424"/>
    <mergeCell ref="A423:A426"/>
    <mergeCell ref="B423:C426"/>
    <mergeCell ref="E423:F426"/>
    <mergeCell ref="G423:H426"/>
    <mergeCell ref="I423:J426"/>
    <mergeCell ref="L423:L426"/>
    <mergeCell ref="M423:M426"/>
    <mergeCell ref="N423:O426"/>
    <mergeCell ref="R423:S426"/>
    <mergeCell ref="K423:K426"/>
    <mergeCell ref="P423:Q426"/>
    <mergeCell ref="D423:D426"/>
    <mergeCell ref="AR419:AR420"/>
    <mergeCell ref="BC419:BD419"/>
    <mergeCell ref="BR419:BR422"/>
    <mergeCell ref="BS419:BT422"/>
    <mergeCell ref="BU419:BU422"/>
    <mergeCell ref="BV419:BV422"/>
    <mergeCell ref="BW419:BW422"/>
    <mergeCell ref="BC420:BD420"/>
    <mergeCell ref="AC421:AE421"/>
    <mergeCell ref="BC421:BD421"/>
    <mergeCell ref="AC422:AE422"/>
    <mergeCell ref="BC422:BD422"/>
    <mergeCell ref="AI419:AI420"/>
    <mergeCell ref="AJ419:AJ420"/>
    <mergeCell ref="AK419:AK420"/>
    <mergeCell ref="AL419:AL420"/>
    <mergeCell ref="AM419:AM420"/>
    <mergeCell ref="AN419:AN420"/>
    <mergeCell ref="AO419:AO420"/>
    <mergeCell ref="AP419:AP420"/>
    <mergeCell ref="AQ419:AQ420"/>
    <mergeCell ref="T419:U422"/>
    <mergeCell ref="V419:V422"/>
    <mergeCell ref="W419:Y422"/>
    <mergeCell ref="Z419:Z422"/>
    <mergeCell ref="AA419:AB422"/>
    <mergeCell ref="AC419:AE420"/>
    <mergeCell ref="AF419:AF420"/>
    <mergeCell ref="AG419:AG420"/>
    <mergeCell ref="AH419:AH420"/>
    <mergeCell ref="A419:A422"/>
    <mergeCell ref="B419:C422"/>
    <mergeCell ref="E419:F422"/>
    <mergeCell ref="G419:H422"/>
    <mergeCell ref="I419:J422"/>
    <mergeCell ref="L419:L422"/>
    <mergeCell ref="M419:M422"/>
    <mergeCell ref="N419:O422"/>
    <mergeCell ref="R419:S422"/>
    <mergeCell ref="K419:K422"/>
    <mergeCell ref="P419:Q422"/>
    <mergeCell ref="D419:D422"/>
    <mergeCell ref="AR415:AR416"/>
    <mergeCell ref="BC415:BD415"/>
    <mergeCell ref="BR415:BR418"/>
    <mergeCell ref="BS415:BT418"/>
    <mergeCell ref="BU415:BU418"/>
    <mergeCell ref="BV415:BV418"/>
    <mergeCell ref="BW415:BW418"/>
    <mergeCell ref="BC416:BD416"/>
    <mergeCell ref="AC417:AE417"/>
    <mergeCell ref="BC417:BD417"/>
    <mergeCell ref="AC418:AE418"/>
    <mergeCell ref="BC418:BD418"/>
    <mergeCell ref="AI415:AI416"/>
    <mergeCell ref="AJ415:AJ416"/>
    <mergeCell ref="AK415:AK416"/>
    <mergeCell ref="AL415:AL416"/>
    <mergeCell ref="AM415:AM416"/>
    <mergeCell ref="AN415:AN416"/>
    <mergeCell ref="AO415:AO416"/>
    <mergeCell ref="AP415:AP416"/>
    <mergeCell ref="AQ415:AQ416"/>
    <mergeCell ref="T415:U418"/>
    <mergeCell ref="V415:V418"/>
    <mergeCell ref="W415:Y418"/>
    <mergeCell ref="Z415:Z418"/>
    <mergeCell ref="AA415:AB418"/>
    <mergeCell ref="AC415:AE416"/>
    <mergeCell ref="AF415:AF416"/>
    <mergeCell ref="AG415:AG416"/>
    <mergeCell ref="AH415:AH416"/>
    <mergeCell ref="A415:A418"/>
    <mergeCell ref="B415:C418"/>
    <mergeCell ref="E415:F418"/>
    <mergeCell ref="G415:H418"/>
    <mergeCell ref="I415:J418"/>
    <mergeCell ref="L415:L418"/>
    <mergeCell ref="M415:M418"/>
    <mergeCell ref="N415:O418"/>
    <mergeCell ref="R415:S418"/>
    <mergeCell ref="K415:K418"/>
    <mergeCell ref="P415:Q418"/>
    <mergeCell ref="D415:D418"/>
    <mergeCell ref="AR411:AR412"/>
    <mergeCell ref="BC411:BD411"/>
    <mergeCell ref="BR411:BR414"/>
    <mergeCell ref="BS411:BT414"/>
    <mergeCell ref="BU411:BU414"/>
    <mergeCell ref="BV411:BV414"/>
    <mergeCell ref="BW411:BW414"/>
    <mergeCell ref="BC412:BD412"/>
    <mergeCell ref="AC413:AE413"/>
    <mergeCell ref="BC413:BD413"/>
    <mergeCell ref="AC414:AE414"/>
    <mergeCell ref="BC414:BD414"/>
    <mergeCell ref="AI411:AI412"/>
    <mergeCell ref="AJ411:AJ412"/>
    <mergeCell ref="AK411:AK412"/>
    <mergeCell ref="AL411:AL412"/>
    <mergeCell ref="AM411:AM412"/>
    <mergeCell ref="AN411:AN412"/>
    <mergeCell ref="AO411:AO412"/>
    <mergeCell ref="AP411:AP412"/>
    <mergeCell ref="AQ411:AQ412"/>
    <mergeCell ref="T411:U414"/>
    <mergeCell ref="V411:V414"/>
    <mergeCell ref="W411:Y414"/>
    <mergeCell ref="Z411:Z414"/>
    <mergeCell ref="AA411:AB414"/>
    <mergeCell ref="AC411:AE412"/>
    <mergeCell ref="AF411:AF412"/>
    <mergeCell ref="AG411:AG412"/>
    <mergeCell ref="AH411:AH412"/>
    <mergeCell ref="A411:A414"/>
    <mergeCell ref="B411:C414"/>
    <mergeCell ref="E411:F414"/>
    <mergeCell ref="G411:H414"/>
    <mergeCell ref="I411:J414"/>
    <mergeCell ref="L411:L414"/>
    <mergeCell ref="M411:M414"/>
    <mergeCell ref="N411:O414"/>
    <mergeCell ref="R411:S414"/>
    <mergeCell ref="K411:K414"/>
    <mergeCell ref="P411:Q414"/>
    <mergeCell ref="D411:D414"/>
    <mergeCell ref="AR407:AR408"/>
    <mergeCell ref="BC407:BD407"/>
    <mergeCell ref="BR407:BR410"/>
    <mergeCell ref="BS407:BT410"/>
    <mergeCell ref="BU407:BU410"/>
    <mergeCell ref="BV407:BV410"/>
    <mergeCell ref="BW407:BW410"/>
    <mergeCell ref="BC408:BD408"/>
    <mergeCell ref="AC409:AE409"/>
    <mergeCell ref="BC409:BD409"/>
    <mergeCell ref="AC410:AE410"/>
    <mergeCell ref="BC410:BD410"/>
    <mergeCell ref="AI407:AI408"/>
    <mergeCell ref="AJ407:AJ408"/>
    <mergeCell ref="AK407:AK408"/>
    <mergeCell ref="AL407:AL408"/>
    <mergeCell ref="AM407:AM408"/>
    <mergeCell ref="AN407:AN408"/>
    <mergeCell ref="AO407:AO408"/>
    <mergeCell ref="AP407:AP408"/>
    <mergeCell ref="AQ407:AQ408"/>
    <mergeCell ref="T407:U410"/>
    <mergeCell ref="V407:V410"/>
    <mergeCell ref="W407:Y410"/>
    <mergeCell ref="Z407:Z410"/>
    <mergeCell ref="AA407:AB410"/>
    <mergeCell ref="AC407:AE408"/>
    <mergeCell ref="AF407:AF408"/>
    <mergeCell ref="AG407:AG408"/>
    <mergeCell ref="AH407:AH408"/>
    <mergeCell ref="A407:A410"/>
    <mergeCell ref="B407:C410"/>
    <mergeCell ref="E407:F410"/>
    <mergeCell ref="G407:H410"/>
    <mergeCell ref="I407:J410"/>
    <mergeCell ref="L407:L410"/>
    <mergeCell ref="M407:M410"/>
    <mergeCell ref="N407:O410"/>
    <mergeCell ref="R407:S410"/>
    <mergeCell ref="K407:K410"/>
    <mergeCell ref="P407:Q410"/>
    <mergeCell ref="D407:D410"/>
    <mergeCell ref="AR403:AR404"/>
    <mergeCell ref="BC403:BD403"/>
    <mergeCell ref="BR403:BR406"/>
    <mergeCell ref="BS403:BT406"/>
    <mergeCell ref="BU403:BU406"/>
    <mergeCell ref="BV403:BV406"/>
    <mergeCell ref="BW403:BW406"/>
    <mergeCell ref="BC404:BD404"/>
    <mergeCell ref="AC405:AE405"/>
    <mergeCell ref="BC405:BD405"/>
    <mergeCell ref="AC406:AE406"/>
    <mergeCell ref="BC406:BD406"/>
    <mergeCell ref="AI403:AI404"/>
    <mergeCell ref="AJ403:AJ404"/>
    <mergeCell ref="AK403:AK404"/>
    <mergeCell ref="AL403:AL404"/>
    <mergeCell ref="AM403:AM404"/>
    <mergeCell ref="AN403:AN404"/>
    <mergeCell ref="AO403:AO404"/>
    <mergeCell ref="AP403:AP404"/>
    <mergeCell ref="AQ403:AQ404"/>
    <mergeCell ref="T403:U406"/>
    <mergeCell ref="V403:V406"/>
    <mergeCell ref="W403:Y406"/>
    <mergeCell ref="Z403:Z406"/>
    <mergeCell ref="AA403:AB406"/>
    <mergeCell ref="AC403:AE404"/>
    <mergeCell ref="AF403:AF404"/>
    <mergeCell ref="AG403:AG404"/>
    <mergeCell ref="AH403:AH404"/>
    <mergeCell ref="A403:A406"/>
    <mergeCell ref="B403:C406"/>
    <mergeCell ref="E403:F406"/>
    <mergeCell ref="G403:H406"/>
    <mergeCell ref="I403:J406"/>
    <mergeCell ref="L403:L406"/>
    <mergeCell ref="M403:M406"/>
    <mergeCell ref="N403:O406"/>
    <mergeCell ref="R403:S406"/>
    <mergeCell ref="K403:K406"/>
    <mergeCell ref="P403:Q406"/>
    <mergeCell ref="D403:D406"/>
    <mergeCell ref="AR399:AR400"/>
    <mergeCell ref="BC399:BD399"/>
    <mergeCell ref="BR399:BR402"/>
    <mergeCell ref="BS399:BT402"/>
    <mergeCell ref="BU399:BU402"/>
    <mergeCell ref="BV399:BV402"/>
    <mergeCell ref="BW399:BW402"/>
    <mergeCell ref="BC400:BD400"/>
    <mergeCell ref="AC401:AE401"/>
    <mergeCell ref="BC401:BD401"/>
    <mergeCell ref="AC402:AE402"/>
    <mergeCell ref="BC402:BD402"/>
    <mergeCell ref="AI399:AI400"/>
    <mergeCell ref="AJ399:AJ400"/>
    <mergeCell ref="AK399:AK400"/>
    <mergeCell ref="AL399:AL400"/>
    <mergeCell ref="AM399:AM400"/>
    <mergeCell ref="AN399:AN400"/>
    <mergeCell ref="AO399:AO400"/>
    <mergeCell ref="AP399:AP400"/>
    <mergeCell ref="AQ399:AQ400"/>
    <mergeCell ref="T399:U402"/>
    <mergeCell ref="V399:V402"/>
    <mergeCell ref="W399:Y402"/>
    <mergeCell ref="Z399:Z402"/>
    <mergeCell ref="AA399:AB402"/>
    <mergeCell ref="AC399:AE400"/>
    <mergeCell ref="AF399:AF400"/>
    <mergeCell ref="AG399:AG400"/>
    <mergeCell ref="AH399:AH400"/>
    <mergeCell ref="A399:A402"/>
    <mergeCell ref="B399:C402"/>
    <mergeCell ref="E399:F402"/>
    <mergeCell ref="G399:H402"/>
    <mergeCell ref="I399:J402"/>
    <mergeCell ref="L399:L402"/>
    <mergeCell ref="M399:M402"/>
    <mergeCell ref="N399:O402"/>
    <mergeCell ref="R399:S402"/>
    <mergeCell ref="K399:K402"/>
    <mergeCell ref="P399:Q402"/>
    <mergeCell ref="D399:D402"/>
    <mergeCell ref="AR395:AR396"/>
    <mergeCell ref="BC395:BD395"/>
    <mergeCell ref="BR395:BR398"/>
    <mergeCell ref="BS395:BT398"/>
    <mergeCell ref="BU395:BU398"/>
    <mergeCell ref="BV395:BV398"/>
    <mergeCell ref="BW395:BW398"/>
    <mergeCell ref="BC396:BD396"/>
    <mergeCell ref="AC397:AE397"/>
    <mergeCell ref="BC397:BD397"/>
    <mergeCell ref="AC398:AE398"/>
    <mergeCell ref="BC398:BD398"/>
    <mergeCell ref="AI395:AI396"/>
    <mergeCell ref="AJ395:AJ396"/>
    <mergeCell ref="AK395:AK396"/>
    <mergeCell ref="AL395:AL396"/>
    <mergeCell ref="AM395:AM396"/>
    <mergeCell ref="AN395:AN396"/>
    <mergeCell ref="AO395:AO396"/>
    <mergeCell ref="AP395:AP396"/>
    <mergeCell ref="AQ395:AQ396"/>
    <mergeCell ref="T395:U398"/>
    <mergeCell ref="V395:V398"/>
    <mergeCell ref="W395:Y398"/>
    <mergeCell ref="Z395:Z398"/>
    <mergeCell ref="AA395:AB398"/>
    <mergeCell ref="AC395:AE396"/>
    <mergeCell ref="AF395:AF396"/>
    <mergeCell ref="AG395:AG396"/>
    <mergeCell ref="AH395:AH396"/>
    <mergeCell ref="A395:A398"/>
    <mergeCell ref="B395:C398"/>
    <mergeCell ref="E395:F398"/>
    <mergeCell ref="G395:H398"/>
    <mergeCell ref="I395:J398"/>
    <mergeCell ref="L395:L398"/>
    <mergeCell ref="M395:M398"/>
    <mergeCell ref="N395:O398"/>
    <mergeCell ref="R395:S398"/>
    <mergeCell ref="K395:K398"/>
    <mergeCell ref="P395:Q398"/>
    <mergeCell ref="D395:D398"/>
    <mergeCell ref="AR391:AR392"/>
    <mergeCell ref="BC391:BD391"/>
    <mergeCell ref="BR391:BR394"/>
    <mergeCell ref="BS391:BT394"/>
    <mergeCell ref="BU391:BU394"/>
    <mergeCell ref="BV391:BV394"/>
    <mergeCell ref="BW391:BW394"/>
    <mergeCell ref="BC392:BD392"/>
    <mergeCell ref="AC393:AE393"/>
    <mergeCell ref="BC393:BD393"/>
    <mergeCell ref="AC394:AE394"/>
    <mergeCell ref="BC394:BD394"/>
    <mergeCell ref="AI391:AI392"/>
    <mergeCell ref="AJ391:AJ392"/>
    <mergeCell ref="AK391:AK392"/>
    <mergeCell ref="AL391:AL392"/>
    <mergeCell ref="AM391:AM392"/>
    <mergeCell ref="AN391:AN392"/>
    <mergeCell ref="AO391:AO392"/>
    <mergeCell ref="AP391:AP392"/>
    <mergeCell ref="AQ391:AQ392"/>
    <mergeCell ref="T391:U394"/>
    <mergeCell ref="V391:V394"/>
    <mergeCell ref="W391:Y394"/>
    <mergeCell ref="Z391:Z394"/>
    <mergeCell ref="AA391:AB394"/>
    <mergeCell ref="AC391:AE392"/>
    <mergeCell ref="AF391:AF392"/>
    <mergeCell ref="AG391:AG392"/>
    <mergeCell ref="AH391:AH392"/>
    <mergeCell ref="A391:A394"/>
    <mergeCell ref="B391:C394"/>
    <mergeCell ref="E391:F394"/>
    <mergeCell ref="G391:H394"/>
    <mergeCell ref="I391:J394"/>
    <mergeCell ref="L391:L394"/>
    <mergeCell ref="M391:M394"/>
    <mergeCell ref="N391:O394"/>
    <mergeCell ref="R391:S394"/>
    <mergeCell ref="K391:K394"/>
    <mergeCell ref="P391:Q394"/>
    <mergeCell ref="D391:D394"/>
    <mergeCell ref="AR387:AR388"/>
    <mergeCell ref="BC387:BD387"/>
    <mergeCell ref="BR387:BR390"/>
    <mergeCell ref="BS387:BT390"/>
    <mergeCell ref="BU387:BU390"/>
    <mergeCell ref="BV387:BV390"/>
    <mergeCell ref="BW387:BW390"/>
    <mergeCell ref="BC388:BD388"/>
    <mergeCell ref="AC389:AE389"/>
    <mergeCell ref="BC389:BD389"/>
    <mergeCell ref="AC390:AE390"/>
    <mergeCell ref="BC390:BD390"/>
    <mergeCell ref="AI387:AI388"/>
    <mergeCell ref="AJ387:AJ388"/>
    <mergeCell ref="AK387:AK388"/>
    <mergeCell ref="AL387:AL388"/>
    <mergeCell ref="AM387:AM388"/>
    <mergeCell ref="AN387:AN388"/>
    <mergeCell ref="AO387:AO388"/>
    <mergeCell ref="AP387:AP388"/>
    <mergeCell ref="AQ387:AQ388"/>
    <mergeCell ref="T387:U390"/>
    <mergeCell ref="V387:V390"/>
    <mergeCell ref="W387:Y390"/>
    <mergeCell ref="Z387:Z390"/>
    <mergeCell ref="AA387:AB390"/>
    <mergeCell ref="AC387:AE388"/>
    <mergeCell ref="AF387:AF388"/>
    <mergeCell ref="AG387:AG388"/>
    <mergeCell ref="AH387:AH388"/>
    <mergeCell ref="A387:A390"/>
    <mergeCell ref="B387:C390"/>
    <mergeCell ref="E387:F390"/>
    <mergeCell ref="G387:H390"/>
    <mergeCell ref="I387:J390"/>
    <mergeCell ref="L387:L390"/>
    <mergeCell ref="M387:M390"/>
    <mergeCell ref="N387:O390"/>
    <mergeCell ref="R387:S390"/>
    <mergeCell ref="K387:K390"/>
    <mergeCell ref="P387:Q390"/>
    <mergeCell ref="D387:D390"/>
    <mergeCell ref="AR383:AR384"/>
    <mergeCell ref="BC383:BD383"/>
    <mergeCell ref="BR383:BR386"/>
    <mergeCell ref="BS383:BT386"/>
    <mergeCell ref="BU383:BU386"/>
    <mergeCell ref="BV383:BV386"/>
    <mergeCell ref="BW383:BW386"/>
    <mergeCell ref="BC384:BD384"/>
    <mergeCell ref="AC385:AE385"/>
    <mergeCell ref="BC385:BD385"/>
    <mergeCell ref="AC386:AE386"/>
    <mergeCell ref="BC386:BD386"/>
    <mergeCell ref="AI383:AI384"/>
    <mergeCell ref="AJ383:AJ384"/>
    <mergeCell ref="AK383:AK384"/>
    <mergeCell ref="AL383:AL384"/>
    <mergeCell ref="AM383:AM384"/>
    <mergeCell ref="AN383:AN384"/>
    <mergeCell ref="AO383:AO384"/>
    <mergeCell ref="AP383:AP384"/>
    <mergeCell ref="AQ383:AQ384"/>
    <mergeCell ref="T383:U386"/>
    <mergeCell ref="V383:V386"/>
    <mergeCell ref="W383:Y386"/>
    <mergeCell ref="Z383:Z386"/>
    <mergeCell ref="AA383:AB386"/>
    <mergeCell ref="AC383:AE384"/>
    <mergeCell ref="AF383:AF384"/>
    <mergeCell ref="AG383:AG384"/>
    <mergeCell ref="AH383:AH384"/>
    <mergeCell ref="A383:A386"/>
    <mergeCell ref="B383:C386"/>
    <mergeCell ref="E383:F386"/>
    <mergeCell ref="G383:H386"/>
    <mergeCell ref="I383:J386"/>
    <mergeCell ref="L383:L386"/>
    <mergeCell ref="M383:M386"/>
    <mergeCell ref="N383:O386"/>
    <mergeCell ref="R383:S386"/>
    <mergeCell ref="K383:K386"/>
    <mergeCell ref="P383:Q386"/>
    <mergeCell ref="D383:D386"/>
    <mergeCell ref="AR379:AR380"/>
    <mergeCell ref="BC379:BD379"/>
    <mergeCell ref="BR379:BR382"/>
    <mergeCell ref="BS379:BT382"/>
    <mergeCell ref="BU379:BU382"/>
    <mergeCell ref="BV379:BV382"/>
    <mergeCell ref="BW379:BW382"/>
    <mergeCell ref="BC380:BD380"/>
    <mergeCell ref="AC381:AE381"/>
    <mergeCell ref="BC381:BD381"/>
    <mergeCell ref="AC382:AE382"/>
    <mergeCell ref="BC382:BD382"/>
    <mergeCell ref="AI379:AI380"/>
    <mergeCell ref="AJ379:AJ380"/>
    <mergeCell ref="AK379:AK380"/>
    <mergeCell ref="AL379:AL380"/>
    <mergeCell ref="AM379:AM380"/>
    <mergeCell ref="AN379:AN380"/>
    <mergeCell ref="AO379:AO380"/>
    <mergeCell ref="AP379:AP380"/>
    <mergeCell ref="AQ379:AQ380"/>
    <mergeCell ref="T379:U382"/>
    <mergeCell ref="V379:V382"/>
    <mergeCell ref="W379:Y382"/>
    <mergeCell ref="Z379:Z382"/>
    <mergeCell ref="AA379:AB382"/>
    <mergeCell ref="AC379:AE380"/>
    <mergeCell ref="AF379:AF380"/>
    <mergeCell ref="AG379:AG380"/>
    <mergeCell ref="AH379:AH380"/>
    <mergeCell ref="A379:A382"/>
    <mergeCell ref="B379:C382"/>
    <mergeCell ref="E379:F382"/>
    <mergeCell ref="G379:H382"/>
    <mergeCell ref="I379:J382"/>
    <mergeCell ref="L379:L382"/>
    <mergeCell ref="M379:M382"/>
    <mergeCell ref="N379:O382"/>
    <mergeCell ref="R379:S382"/>
    <mergeCell ref="K379:K382"/>
    <mergeCell ref="P379:Q382"/>
    <mergeCell ref="D379:D382"/>
    <mergeCell ref="AR375:AR376"/>
    <mergeCell ref="BC375:BD375"/>
    <mergeCell ref="BR375:BR378"/>
    <mergeCell ref="BS375:BT378"/>
    <mergeCell ref="BU375:BU378"/>
    <mergeCell ref="BV375:BV378"/>
    <mergeCell ref="BW375:BW378"/>
    <mergeCell ref="BC376:BD376"/>
    <mergeCell ref="AC377:AE377"/>
    <mergeCell ref="BC377:BD377"/>
    <mergeCell ref="AC378:AE378"/>
    <mergeCell ref="BC378:BD378"/>
    <mergeCell ref="AI375:AI376"/>
    <mergeCell ref="AJ375:AJ376"/>
    <mergeCell ref="AK375:AK376"/>
    <mergeCell ref="AL375:AL376"/>
    <mergeCell ref="AM375:AM376"/>
    <mergeCell ref="AN375:AN376"/>
    <mergeCell ref="AO375:AO376"/>
    <mergeCell ref="AP375:AP376"/>
    <mergeCell ref="AQ375:AQ376"/>
    <mergeCell ref="T375:U378"/>
    <mergeCell ref="V375:V378"/>
    <mergeCell ref="W375:Y378"/>
    <mergeCell ref="Z375:Z378"/>
    <mergeCell ref="AA375:AB378"/>
    <mergeCell ref="AC375:AE376"/>
    <mergeCell ref="AF375:AF376"/>
    <mergeCell ref="AG375:AG376"/>
    <mergeCell ref="AH375:AH376"/>
    <mergeCell ref="A375:A378"/>
    <mergeCell ref="B375:C378"/>
    <mergeCell ref="E375:F378"/>
    <mergeCell ref="G375:H378"/>
    <mergeCell ref="I375:J378"/>
    <mergeCell ref="L375:L378"/>
    <mergeCell ref="M375:M378"/>
    <mergeCell ref="N375:O378"/>
    <mergeCell ref="R375:S378"/>
    <mergeCell ref="K375:K378"/>
    <mergeCell ref="P375:Q378"/>
    <mergeCell ref="D375:D378"/>
    <mergeCell ref="AR371:AR372"/>
    <mergeCell ref="BC371:BD371"/>
    <mergeCell ref="BR371:BR374"/>
    <mergeCell ref="BS371:BT374"/>
    <mergeCell ref="BU371:BU374"/>
    <mergeCell ref="BV371:BV374"/>
    <mergeCell ref="BW371:BW374"/>
    <mergeCell ref="BC372:BD372"/>
    <mergeCell ref="AC373:AE373"/>
    <mergeCell ref="BC373:BD373"/>
    <mergeCell ref="AC374:AE374"/>
    <mergeCell ref="BC374:BD374"/>
    <mergeCell ref="AI371:AI372"/>
    <mergeCell ref="AJ371:AJ372"/>
    <mergeCell ref="AK371:AK372"/>
    <mergeCell ref="AL371:AL372"/>
    <mergeCell ref="AM371:AM372"/>
    <mergeCell ref="AN371:AN372"/>
    <mergeCell ref="AO371:AO372"/>
    <mergeCell ref="AP371:AP372"/>
    <mergeCell ref="AQ371:AQ372"/>
    <mergeCell ref="T371:U374"/>
    <mergeCell ref="V371:V374"/>
    <mergeCell ref="W371:Y374"/>
    <mergeCell ref="Z371:Z374"/>
    <mergeCell ref="AA371:AB374"/>
    <mergeCell ref="AC371:AE372"/>
    <mergeCell ref="AF371:AF372"/>
    <mergeCell ref="AG371:AG372"/>
    <mergeCell ref="AH371:AH372"/>
    <mergeCell ref="A371:A374"/>
    <mergeCell ref="B371:C374"/>
    <mergeCell ref="E371:F374"/>
    <mergeCell ref="G371:H374"/>
    <mergeCell ref="I371:J374"/>
    <mergeCell ref="L371:L374"/>
    <mergeCell ref="M371:M374"/>
    <mergeCell ref="N371:O374"/>
    <mergeCell ref="R371:S374"/>
    <mergeCell ref="K371:K374"/>
    <mergeCell ref="P371:Q374"/>
    <mergeCell ref="D371:D374"/>
    <mergeCell ref="AR367:AR368"/>
    <mergeCell ref="BC367:BD367"/>
    <mergeCell ref="BR367:BR370"/>
    <mergeCell ref="BS367:BT370"/>
    <mergeCell ref="BU367:BU370"/>
    <mergeCell ref="BV367:BV370"/>
    <mergeCell ref="BW367:BW370"/>
    <mergeCell ref="BC368:BD368"/>
    <mergeCell ref="AC369:AE369"/>
    <mergeCell ref="BC369:BD369"/>
    <mergeCell ref="AC370:AE370"/>
    <mergeCell ref="BC370:BD370"/>
    <mergeCell ref="AI367:AI368"/>
    <mergeCell ref="AJ367:AJ368"/>
    <mergeCell ref="AK367:AK368"/>
    <mergeCell ref="AL367:AL368"/>
    <mergeCell ref="AM367:AM368"/>
    <mergeCell ref="AN367:AN368"/>
    <mergeCell ref="AO367:AO368"/>
    <mergeCell ref="AP367:AP368"/>
    <mergeCell ref="AQ367:AQ368"/>
    <mergeCell ref="T367:U370"/>
    <mergeCell ref="V367:V370"/>
    <mergeCell ref="W367:Y370"/>
    <mergeCell ref="Z367:Z370"/>
    <mergeCell ref="AA367:AB370"/>
    <mergeCell ref="AC367:AE368"/>
    <mergeCell ref="AF367:AF368"/>
    <mergeCell ref="AG367:AG368"/>
    <mergeCell ref="AH367:AH368"/>
    <mergeCell ref="A367:A370"/>
    <mergeCell ref="B367:C370"/>
    <mergeCell ref="E367:F370"/>
    <mergeCell ref="G367:H370"/>
    <mergeCell ref="I367:J370"/>
    <mergeCell ref="L367:L370"/>
    <mergeCell ref="M367:M370"/>
    <mergeCell ref="N367:O370"/>
    <mergeCell ref="R367:S370"/>
    <mergeCell ref="K367:K370"/>
    <mergeCell ref="P367:Q370"/>
    <mergeCell ref="D367:D370"/>
    <mergeCell ref="AR363:AR364"/>
    <mergeCell ref="BC363:BD363"/>
    <mergeCell ref="BR363:BR366"/>
    <mergeCell ref="BS363:BT366"/>
    <mergeCell ref="BU363:BU366"/>
    <mergeCell ref="BV363:BV366"/>
    <mergeCell ref="BW363:BW366"/>
    <mergeCell ref="BC364:BD364"/>
    <mergeCell ref="AC365:AE365"/>
    <mergeCell ref="BC365:BD365"/>
    <mergeCell ref="AC366:AE366"/>
    <mergeCell ref="BC366:BD366"/>
    <mergeCell ref="AI363:AI364"/>
    <mergeCell ref="AJ363:AJ364"/>
    <mergeCell ref="AK363:AK364"/>
    <mergeCell ref="AL363:AL364"/>
    <mergeCell ref="AM363:AM364"/>
    <mergeCell ref="AN363:AN364"/>
    <mergeCell ref="AO363:AO364"/>
    <mergeCell ref="AP363:AP364"/>
    <mergeCell ref="AQ363:AQ364"/>
    <mergeCell ref="T363:U366"/>
    <mergeCell ref="V363:V366"/>
    <mergeCell ref="W363:Y366"/>
    <mergeCell ref="Z363:Z366"/>
    <mergeCell ref="AA363:AB366"/>
    <mergeCell ref="AC363:AE364"/>
    <mergeCell ref="AF363:AF364"/>
    <mergeCell ref="AG363:AG364"/>
    <mergeCell ref="AH363:AH364"/>
    <mergeCell ref="A363:A366"/>
    <mergeCell ref="B363:C366"/>
    <mergeCell ref="E363:F366"/>
    <mergeCell ref="G363:H366"/>
    <mergeCell ref="I363:J366"/>
    <mergeCell ref="L363:L366"/>
    <mergeCell ref="M363:M366"/>
    <mergeCell ref="N363:O366"/>
    <mergeCell ref="R363:S366"/>
    <mergeCell ref="K363:K366"/>
    <mergeCell ref="P363:Q366"/>
    <mergeCell ref="D363:D366"/>
    <mergeCell ref="AR359:AR360"/>
    <mergeCell ref="BC359:BD359"/>
    <mergeCell ref="BR359:BR362"/>
    <mergeCell ref="BS359:BT362"/>
    <mergeCell ref="BU359:BU362"/>
    <mergeCell ref="BV359:BV362"/>
    <mergeCell ref="BW359:BW362"/>
    <mergeCell ref="BC360:BD360"/>
    <mergeCell ref="AC361:AE361"/>
    <mergeCell ref="BC361:BD361"/>
    <mergeCell ref="AC362:AE362"/>
    <mergeCell ref="BC362:BD362"/>
    <mergeCell ref="AI359:AI360"/>
    <mergeCell ref="AJ359:AJ360"/>
    <mergeCell ref="AK359:AK360"/>
    <mergeCell ref="AL359:AL360"/>
    <mergeCell ref="AM359:AM360"/>
    <mergeCell ref="AN359:AN360"/>
    <mergeCell ref="AO359:AO360"/>
    <mergeCell ref="AP359:AP360"/>
    <mergeCell ref="AQ359:AQ360"/>
    <mergeCell ref="T359:U362"/>
    <mergeCell ref="V359:V362"/>
    <mergeCell ref="W359:Y362"/>
    <mergeCell ref="Z359:Z362"/>
    <mergeCell ref="AA359:AB362"/>
    <mergeCell ref="AC359:AE360"/>
    <mergeCell ref="AF359:AF360"/>
    <mergeCell ref="AG359:AG360"/>
    <mergeCell ref="AH359:AH360"/>
    <mergeCell ref="A359:A362"/>
    <mergeCell ref="B359:C362"/>
    <mergeCell ref="E359:F362"/>
    <mergeCell ref="G359:H362"/>
    <mergeCell ref="I359:J362"/>
    <mergeCell ref="L359:L362"/>
    <mergeCell ref="M359:M362"/>
    <mergeCell ref="N359:O362"/>
    <mergeCell ref="R359:S362"/>
    <mergeCell ref="K359:K362"/>
    <mergeCell ref="P359:Q362"/>
    <mergeCell ref="D359:D362"/>
    <mergeCell ref="AR355:AR356"/>
    <mergeCell ref="BC355:BD355"/>
    <mergeCell ref="BR355:BR358"/>
    <mergeCell ref="BS355:BT358"/>
    <mergeCell ref="BU355:BU358"/>
    <mergeCell ref="BV355:BV358"/>
    <mergeCell ref="BW355:BW358"/>
    <mergeCell ref="BC356:BD356"/>
    <mergeCell ref="AC357:AE357"/>
    <mergeCell ref="BC357:BD357"/>
    <mergeCell ref="AC358:AE358"/>
    <mergeCell ref="BC358:BD358"/>
    <mergeCell ref="AI355:AI356"/>
    <mergeCell ref="AJ355:AJ356"/>
    <mergeCell ref="AK355:AK356"/>
    <mergeCell ref="AL355:AL356"/>
    <mergeCell ref="AM355:AM356"/>
    <mergeCell ref="AN355:AN356"/>
    <mergeCell ref="AO355:AO356"/>
    <mergeCell ref="AP355:AP356"/>
    <mergeCell ref="AQ355:AQ356"/>
    <mergeCell ref="T355:U358"/>
    <mergeCell ref="V355:V358"/>
    <mergeCell ref="W355:Y358"/>
    <mergeCell ref="Z355:Z358"/>
    <mergeCell ref="AA355:AB358"/>
    <mergeCell ref="AC355:AE356"/>
    <mergeCell ref="AF355:AF356"/>
    <mergeCell ref="AG355:AG356"/>
    <mergeCell ref="AH355:AH356"/>
    <mergeCell ref="A355:A358"/>
    <mergeCell ref="B355:C358"/>
    <mergeCell ref="E355:F358"/>
    <mergeCell ref="G355:H358"/>
    <mergeCell ref="I355:J358"/>
    <mergeCell ref="L355:L358"/>
    <mergeCell ref="M355:M358"/>
    <mergeCell ref="N355:O358"/>
    <mergeCell ref="R355:S358"/>
    <mergeCell ref="K355:K358"/>
    <mergeCell ref="P355:Q358"/>
    <mergeCell ref="D355:D358"/>
    <mergeCell ref="AR351:AR352"/>
    <mergeCell ref="BC351:BD351"/>
    <mergeCell ref="BR351:BR354"/>
    <mergeCell ref="BS351:BT354"/>
    <mergeCell ref="BU351:BU354"/>
    <mergeCell ref="BV351:BV354"/>
    <mergeCell ref="BW351:BW354"/>
    <mergeCell ref="BC352:BD352"/>
    <mergeCell ref="AC353:AE353"/>
    <mergeCell ref="BC353:BD353"/>
    <mergeCell ref="AC354:AE354"/>
    <mergeCell ref="BC354:BD354"/>
    <mergeCell ref="AI351:AI352"/>
    <mergeCell ref="AJ351:AJ352"/>
    <mergeCell ref="AK351:AK352"/>
    <mergeCell ref="AL351:AL352"/>
    <mergeCell ref="AM351:AM352"/>
    <mergeCell ref="AN351:AN352"/>
    <mergeCell ref="AO351:AO352"/>
    <mergeCell ref="AP351:AP352"/>
    <mergeCell ref="AQ351:AQ352"/>
    <mergeCell ref="T351:U354"/>
    <mergeCell ref="V351:V354"/>
    <mergeCell ref="W351:Y354"/>
    <mergeCell ref="Z351:Z354"/>
    <mergeCell ref="AA351:AB354"/>
    <mergeCell ref="AC351:AE352"/>
    <mergeCell ref="AF351:AF352"/>
    <mergeCell ref="AG351:AG352"/>
    <mergeCell ref="AH351:AH352"/>
    <mergeCell ref="A351:A354"/>
    <mergeCell ref="B351:C354"/>
    <mergeCell ref="E351:F354"/>
    <mergeCell ref="G351:H354"/>
    <mergeCell ref="I351:J354"/>
    <mergeCell ref="L351:L354"/>
    <mergeCell ref="M351:M354"/>
    <mergeCell ref="N351:O354"/>
    <mergeCell ref="R351:S354"/>
    <mergeCell ref="K351:K354"/>
    <mergeCell ref="P351:Q354"/>
    <mergeCell ref="D351:D354"/>
    <mergeCell ref="AR347:AR348"/>
    <mergeCell ref="BC347:BD347"/>
    <mergeCell ref="BR347:BR350"/>
    <mergeCell ref="BS347:BT350"/>
    <mergeCell ref="BU347:BU350"/>
    <mergeCell ref="BV347:BV350"/>
    <mergeCell ref="BW347:BW350"/>
    <mergeCell ref="BC348:BD348"/>
    <mergeCell ref="AC349:AE349"/>
    <mergeCell ref="BC349:BD349"/>
    <mergeCell ref="AC350:AE350"/>
    <mergeCell ref="BC350:BD350"/>
    <mergeCell ref="AI347:AI348"/>
    <mergeCell ref="AJ347:AJ348"/>
    <mergeCell ref="AK347:AK348"/>
    <mergeCell ref="AL347:AL348"/>
    <mergeCell ref="AM347:AM348"/>
    <mergeCell ref="AN347:AN348"/>
    <mergeCell ref="AO347:AO348"/>
    <mergeCell ref="AP347:AP348"/>
    <mergeCell ref="AQ347:AQ348"/>
    <mergeCell ref="T347:U350"/>
    <mergeCell ref="V347:V350"/>
    <mergeCell ref="W347:Y350"/>
    <mergeCell ref="Z347:Z350"/>
    <mergeCell ref="AA347:AB350"/>
    <mergeCell ref="AC347:AE348"/>
    <mergeCell ref="AF347:AF348"/>
    <mergeCell ref="AG347:AG348"/>
    <mergeCell ref="AH347:AH348"/>
    <mergeCell ref="A347:A350"/>
    <mergeCell ref="B347:C350"/>
    <mergeCell ref="E347:F350"/>
    <mergeCell ref="G347:H350"/>
    <mergeCell ref="I347:J350"/>
    <mergeCell ref="L347:L350"/>
    <mergeCell ref="M347:M350"/>
    <mergeCell ref="N347:O350"/>
    <mergeCell ref="R347:S350"/>
    <mergeCell ref="K347:K350"/>
    <mergeCell ref="P347:Q350"/>
    <mergeCell ref="D347:D350"/>
    <mergeCell ref="AR343:AR344"/>
    <mergeCell ref="BC343:BD343"/>
    <mergeCell ref="BR343:BR346"/>
    <mergeCell ref="BS343:BT346"/>
    <mergeCell ref="BU343:BU346"/>
    <mergeCell ref="BV343:BV346"/>
    <mergeCell ref="BW343:BW346"/>
    <mergeCell ref="BC344:BD344"/>
    <mergeCell ref="AC345:AE345"/>
    <mergeCell ref="BC345:BD345"/>
    <mergeCell ref="AC346:AE346"/>
    <mergeCell ref="BC346:BD346"/>
    <mergeCell ref="AI343:AI344"/>
    <mergeCell ref="AJ343:AJ344"/>
    <mergeCell ref="AK343:AK344"/>
    <mergeCell ref="AL343:AL344"/>
    <mergeCell ref="AM343:AM344"/>
    <mergeCell ref="AN343:AN344"/>
    <mergeCell ref="AO343:AO344"/>
    <mergeCell ref="AP343:AP344"/>
    <mergeCell ref="AQ343:AQ344"/>
    <mergeCell ref="T343:U346"/>
    <mergeCell ref="V343:V346"/>
    <mergeCell ref="W343:Y346"/>
    <mergeCell ref="Z343:Z346"/>
    <mergeCell ref="AA343:AB346"/>
    <mergeCell ref="AC343:AE344"/>
    <mergeCell ref="AF343:AF344"/>
    <mergeCell ref="AG343:AG344"/>
    <mergeCell ref="AH343:AH344"/>
    <mergeCell ref="A343:A346"/>
    <mergeCell ref="B343:C346"/>
    <mergeCell ref="E343:F346"/>
    <mergeCell ref="G343:H346"/>
    <mergeCell ref="I343:J346"/>
    <mergeCell ref="L343:L346"/>
    <mergeCell ref="M343:M346"/>
    <mergeCell ref="N343:O346"/>
    <mergeCell ref="R343:S346"/>
    <mergeCell ref="K343:K346"/>
    <mergeCell ref="P343:Q346"/>
    <mergeCell ref="D343:D346"/>
    <mergeCell ref="AR339:AR340"/>
    <mergeCell ref="BC339:BD339"/>
    <mergeCell ref="BR339:BR342"/>
    <mergeCell ref="BS339:BT342"/>
    <mergeCell ref="BU339:BU342"/>
    <mergeCell ref="BV339:BV342"/>
    <mergeCell ref="BW339:BW342"/>
    <mergeCell ref="BC340:BD340"/>
    <mergeCell ref="AC341:AE341"/>
    <mergeCell ref="BC341:BD341"/>
    <mergeCell ref="AC342:AE342"/>
    <mergeCell ref="BC342:BD342"/>
    <mergeCell ref="AI339:AI340"/>
    <mergeCell ref="AJ339:AJ340"/>
    <mergeCell ref="AK339:AK340"/>
    <mergeCell ref="AL339:AL340"/>
    <mergeCell ref="AM339:AM340"/>
    <mergeCell ref="AN339:AN340"/>
    <mergeCell ref="AO339:AO340"/>
    <mergeCell ref="AP339:AP340"/>
    <mergeCell ref="AQ339:AQ340"/>
    <mergeCell ref="T339:U342"/>
    <mergeCell ref="V339:V342"/>
    <mergeCell ref="W339:Y342"/>
    <mergeCell ref="Z339:Z342"/>
    <mergeCell ref="AA339:AB342"/>
    <mergeCell ref="AC339:AE340"/>
    <mergeCell ref="AF339:AF340"/>
    <mergeCell ref="AG339:AG340"/>
    <mergeCell ref="AH339:AH340"/>
    <mergeCell ref="A339:A342"/>
    <mergeCell ref="B339:C342"/>
    <mergeCell ref="E339:F342"/>
    <mergeCell ref="G339:H342"/>
    <mergeCell ref="I339:J342"/>
    <mergeCell ref="L339:L342"/>
    <mergeCell ref="M339:M342"/>
    <mergeCell ref="N339:O342"/>
    <mergeCell ref="R339:S342"/>
    <mergeCell ref="K339:K342"/>
    <mergeCell ref="P339:Q342"/>
    <mergeCell ref="D339:D342"/>
    <mergeCell ref="AR335:AR336"/>
    <mergeCell ref="BC335:BD335"/>
    <mergeCell ref="BR335:BR338"/>
    <mergeCell ref="BS335:BT338"/>
    <mergeCell ref="BU335:BU338"/>
    <mergeCell ref="BV335:BV338"/>
    <mergeCell ref="BW335:BW338"/>
    <mergeCell ref="BC336:BD336"/>
    <mergeCell ref="AC337:AE337"/>
    <mergeCell ref="BC337:BD337"/>
    <mergeCell ref="AC338:AE338"/>
    <mergeCell ref="BC338:BD338"/>
    <mergeCell ref="AI335:AI336"/>
    <mergeCell ref="AJ335:AJ336"/>
    <mergeCell ref="AK335:AK336"/>
    <mergeCell ref="AL335:AL336"/>
    <mergeCell ref="AM335:AM336"/>
    <mergeCell ref="AN335:AN336"/>
    <mergeCell ref="AO335:AO336"/>
    <mergeCell ref="AP335:AP336"/>
    <mergeCell ref="AQ335:AQ336"/>
    <mergeCell ref="T335:U338"/>
    <mergeCell ref="V335:V338"/>
    <mergeCell ref="W335:Y338"/>
    <mergeCell ref="Z335:Z338"/>
    <mergeCell ref="AA335:AB338"/>
    <mergeCell ref="AC335:AE336"/>
    <mergeCell ref="AF335:AF336"/>
    <mergeCell ref="AG335:AG336"/>
    <mergeCell ref="AH335:AH336"/>
    <mergeCell ref="A335:A338"/>
    <mergeCell ref="B335:C338"/>
    <mergeCell ref="E335:F338"/>
    <mergeCell ref="G335:H338"/>
    <mergeCell ref="I335:J338"/>
    <mergeCell ref="L335:L338"/>
    <mergeCell ref="M335:M338"/>
    <mergeCell ref="N335:O338"/>
    <mergeCell ref="R335:S338"/>
    <mergeCell ref="K335:K338"/>
    <mergeCell ref="P335:Q338"/>
    <mergeCell ref="D335:D338"/>
    <mergeCell ref="AR331:AR332"/>
    <mergeCell ref="BC331:BD331"/>
    <mergeCell ref="BR331:BR334"/>
    <mergeCell ref="BS331:BT334"/>
    <mergeCell ref="BU331:BU334"/>
    <mergeCell ref="BV331:BV334"/>
    <mergeCell ref="BW331:BW334"/>
    <mergeCell ref="BC332:BD332"/>
    <mergeCell ref="AC333:AE333"/>
    <mergeCell ref="BC333:BD333"/>
    <mergeCell ref="AC334:AE334"/>
    <mergeCell ref="BC334:BD334"/>
    <mergeCell ref="AI331:AI332"/>
    <mergeCell ref="AJ331:AJ332"/>
    <mergeCell ref="AK331:AK332"/>
    <mergeCell ref="AL331:AL332"/>
    <mergeCell ref="AM331:AM332"/>
    <mergeCell ref="AN331:AN332"/>
    <mergeCell ref="AO331:AO332"/>
    <mergeCell ref="AP331:AP332"/>
    <mergeCell ref="AQ331:AQ332"/>
    <mergeCell ref="T331:U334"/>
    <mergeCell ref="V331:V334"/>
    <mergeCell ref="W331:Y334"/>
    <mergeCell ref="Z331:Z334"/>
    <mergeCell ref="AA331:AB334"/>
    <mergeCell ref="AC331:AE332"/>
    <mergeCell ref="AF331:AF332"/>
    <mergeCell ref="AG331:AG332"/>
    <mergeCell ref="AH331:AH332"/>
    <mergeCell ref="A331:A334"/>
    <mergeCell ref="B331:C334"/>
    <mergeCell ref="E331:F334"/>
    <mergeCell ref="G331:H334"/>
    <mergeCell ref="I331:J334"/>
    <mergeCell ref="L331:L334"/>
    <mergeCell ref="M331:M334"/>
    <mergeCell ref="N331:O334"/>
    <mergeCell ref="R331:S334"/>
    <mergeCell ref="K331:K334"/>
    <mergeCell ref="P331:Q334"/>
    <mergeCell ref="D331:D334"/>
    <mergeCell ref="AR327:AR328"/>
    <mergeCell ref="BC327:BD327"/>
    <mergeCell ref="BR327:BR330"/>
    <mergeCell ref="BS327:BT330"/>
    <mergeCell ref="BU327:BU330"/>
    <mergeCell ref="BV327:BV330"/>
    <mergeCell ref="BW327:BW330"/>
    <mergeCell ref="BC328:BD328"/>
    <mergeCell ref="AC329:AE329"/>
    <mergeCell ref="BC329:BD329"/>
    <mergeCell ref="AC330:AE330"/>
    <mergeCell ref="BC330:BD330"/>
    <mergeCell ref="AI327:AI328"/>
    <mergeCell ref="AJ327:AJ328"/>
    <mergeCell ref="AK327:AK328"/>
    <mergeCell ref="AL327:AL328"/>
    <mergeCell ref="AM327:AM328"/>
    <mergeCell ref="AN327:AN328"/>
    <mergeCell ref="AO327:AO328"/>
    <mergeCell ref="AP327:AP328"/>
    <mergeCell ref="AQ327:AQ328"/>
    <mergeCell ref="T327:U330"/>
    <mergeCell ref="V327:V330"/>
    <mergeCell ref="W327:Y330"/>
    <mergeCell ref="Z327:Z330"/>
    <mergeCell ref="AA327:AB330"/>
    <mergeCell ref="AC327:AE328"/>
    <mergeCell ref="AF327:AF328"/>
    <mergeCell ref="AG327:AG328"/>
    <mergeCell ref="AH327:AH328"/>
    <mergeCell ref="A327:A330"/>
    <mergeCell ref="B327:C330"/>
    <mergeCell ref="E327:F330"/>
    <mergeCell ref="G327:H330"/>
    <mergeCell ref="I327:J330"/>
    <mergeCell ref="L327:L330"/>
    <mergeCell ref="M327:M330"/>
    <mergeCell ref="N327:O330"/>
    <mergeCell ref="R327:S330"/>
    <mergeCell ref="K327:K330"/>
    <mergeCell ref="P327:Q330"/>
    <mergeCell ref="D327:D330"/>
    <mergeCell ref="AR323:AR324"/>
    <mergeCell ref="BC323:BD323"/>
    <mergeCell ref="BR323:BR326"/>
    <mergeCell ref="BS323:BT326"/>
    <mergeCell ref="BU323:BU326"/>
    <mergeCell ref="BV323:BV326"/>
    <mergeCell ref="BW323:BW326"/>
    <mergeCell ref="BC324:BD324"/>
    <mergeCell ref="AC325:AE325"/>
    <mergeCell ref="BC325:BD325"/>
    <mergeCell ref="AC326:AE326"/>
    <mergeCell ref="BC326:BD326"/>
    <mergeCell ref="AI323:AI324"/>
    <mergeCell ref="AJ323:AJ324"/>
    <mergeCell ref="AK323:AK324"/>
    <mergeCell ref="AL323:AL324"/>
    <mergeCell ref="AM323:AM324"/>
    <mergeCell ref="AN323:AN324"/>
    <mergeCell ref="AO323:AO324"/>
    <mergeCell ref="AP323:AP324"/>
    <mergeCell ref="AQ323:AQ324"/>
    <mergeCell ref="T323:U326"/>
    <mergeCell ref="V323:V326"/>
    <mergeCell ref="W323:Y326"/>
    <mergeCell ref="Z323:Z326"/>
    <mergeCell ref="AA323:AB326"/>
    <mergeCell ref="AC323:AE324"/>
    <mergeCell ref="AF323:AF324"/>
    <mergeCell ref="AG323:AG324"/>
    <mergeCell ref="AH323:AH324"/>
    <mergeCell ref="A323:A326"/>
    <mergeCell ref="B323:C326"/>
    <mergeCell ref="E323:F326"/>
    <mergeCell ref="G323:H326"/>
    <mergeCell ref="I323:J326"/>
    <mergeCell ref="L323:L326"/>
    <mergeCell ref="M323:M326"/>
    <mergeCell ref="N323:O326"/>
    <mergeCell ref="R323:S326"/>
    <mergeCell ref="K323:K326"/>
    <mergeCell ref="P323:Q326"/>
    <mergeCell ref="D323:D326"/>
    <mergeCell ref="AR319:AR320"/>
    <mergeCell ref="BC319:BD319"/>
    <mergeCell ref="BR319:BR322"/>
    <mergeCell ref="BS319:BT322"/>
    <mergeCell ref="BU319:BU322"/>
    <mergeCell ref="BV319:BV322"/>
    <mergeCell ref="BW319:BW322"/>
    <mergeCell ref="BC320:BD320"/>
    <mergeCell ref="AC321:AE321"/>
    <mergeCell ref="BC321:BD321"/>
    <mergeCell ref="AC322:AE322"/>
    <mergeCell ref="BC322:BD322"/>
    <mergeCell ref="AI319:AI320"/>
    <mergeCell ref="AJ319:AJ320"/>
    <mergeCell ref="AK319:AK320"/>
    <mergeCell ref="AL319:AL320"/>
    <mergeCell ref="AM319:AM320"/>
    <mergeCell ref="AN319:AN320"/>
    <mergeCell ref="AO319:AO320"/>
    <mergeCell ref="AP319:AP320"/>
    <mergeCell ref="AQ319:AQ320"/>
    <mergeCell ref="T319:U322"/>
    <mergeCell ref="V319:V322"/>
    <mergeCell ref="W319:Y322"/>
    <mergeCell ref="Z319:Z322"/>
    <mergeCell ref="AA319:AB322"/>
    <mergeCell ref="AC319:AE320"/>
    <mergeCell ref="AF319:AF320"/>
    <mergeCell ref="AG319:AG320"/>
    <mergeCell ref="AH319:AH320"/>
    <mergeCell ref="A319:A322"/>
    <mergeCell ref="B319:C322"/>
    <mergeCell ref="E319:F322"/>
    <mergeCell ref="G319:H322"/>
    <mergeCell ref="I319:J322"/>
    <mergeCell ref="L319:L322"/>
    <mergeCell ref="M319:M322"/>
    <mergeCell ref="N319:O322"/>
    <mergeCell ref="R319:S322"/>
    <mergeCell ref="K319:K322"/>
    <mergeCell ref="P319:Q322"/>
    <mergeCell ref="D319:D322"/>
    <mergeCell ref="AR315:AR316"/>
    <mergeCell ref="BC315:BD315"/>
    <mergeCell ref="BR315:BR318"/>
    <mergeCell ref="BS315:BT318"/>
    <mergeCell ref="BU315:BU318"/>
    <mergeCell ref="BV315:BV318"/>
    <mergeCell ref="BW315:BW318"/>
    <mergeCell ref="BC316:BD316"/>
    <mergeCell ref="AC317:AE317"/>
    <mergeCell ref="BC317:BD317"/>
    <mergeCell ref="AC318:AE318"/>
    <mergeCell ref="BC318:BD318"/>
    <mergeCell ref="AI315:AI316"/>
    <mergeCell ref="AJ315:AJ316"/>
    <mergeCell ref="AK315:AK316"/>
    <mergeCell ref="AL315:AL316"/>
    <mergeCell ref="AM315:AM316"/>
    <mergeCell ref="AN315:AN316"/>
    <mergeCell ref="AO315:AO316"/>
    <mergeCell ref="AP315:AP316"/>
    <mergeCell ref="AQ315:AQ316"/>
    <mergeCell ref="T315:U318"/>
    <mergeCell ref="V315:V318"/>
    <mergeCell ref="W315:Y318"/>
    <mergeCell ref="Z315:Z318"/>
    <mergeCell ref="AA315:AB318"/>
    <mergeCell ref="AC315:AE316"/>
    <mergeCell ref="AF315:AF316"/>
    <mergeCell ref="AG315:AG316"/>
    <mergeCell ref="AH315:AH316"/>
    <mergeCell ref="A315:A318"/>
    <mergeCell ref="B315:C318"/>
    <mergeCell ref="E315:F318"/>
    <mergeCell ref="G315:H318"/>
    <mergeCell ref="I315:J318"/>
    <mergeCell ref="L315:L318"/>
    <mergeCell ref="M315:M318"/>
    <mergeCell ref="N315:O318"/>
    <mergeCell ref="R315:S318"/>
    <mergeCell ref="K315:K318"/>
    <mergeCell ref="P315:Q318"/>
    <mergeCell ref="D315:D318"/>
    <mergeCell ref="AR311:AR312"/>
    <mergeCell ref="BC311:BD311"/>
    <mergeCell ref="BR311:BR314"/>
    <mergeCell ref="BS311:BT314"/>
    <mergeCell ref="BU311:BU314"/>
    <mergeCell ref="BV311:BV314"/>
    <mergeCell ref="BW311:BW314"/>
    <mergeCell ref="BC312:BD312"/>
    <mergeCell ref="AC313:AE313"/>
    <mergeCell ref="BC313:BD313"/>
    <mergeCell ref="AC314:AE314"/>
    <mergeCell ref="BC314:BD314"/>
    <mergeCell ref="AI311:AI312"/>
    <mergeCell ref="AJ311:AJ312"/>
    <mergeCell ref="AK311:AK312"/>
    <mergeCell ref="AL311:AL312"/>
    <mergeCell ref="AM311:AM312"/>
    <mergeCell ref="AN311:AN312"/>
    <mergeCell ref="AO311:AO312"/>
    <mergeCell ref="AP311:AP312"/>
    <mergeCell ref="AQ311:AQ312"/>
    <mergeCell ref="T311:U314"/>
    <mergeCell ref="V311:V314"/>
    <mergeCell ref="W311:Y314"/>
    <mergeCell ref="Z311:Z314"/>
    <mergeCell ref="AA311:AB314"/>
    <mergeCell ref="AC311:AE312"/>
    <mergeCell ref="AF311:AF312"/>
    <mergeCell ref="AG311:AG312"/>
    <mergeCell ref="AH311:AH312"/>
    <mergeCell ref="A311:A314"/>
    <mergeCell ref="B311:C314"/>
    <mergeCell ref="E311:F314"/>
    <mergeCell ref="G311:H314"/>
    <mergeCell ref="I311:J314"/>
    <mergeCell ref="L311:L314"/>
    <mergeCell ref="M311:M314"/>
    <mergeCell ref="N311:O314"/>
    <mergeCell ref="R311:S314"/>
    <mergeCell ref="K311:K314"/>
    <mergeCell ref="P311:Q314"/>
    <mergeCell ref="D311:D314"/>
    <mergeCell ref="AR307:AR308"/>
    <mergeCell ref="BC307:BD307"/>
    <mergeCell ref="BR307:BR310"/>
    <mergeCell ref="BS307:BT310"/>
    <mergeCell ref="BU307:BU310"/>
    <mergeCell ref="BV307:BV310"/>
    <mergeCell ref="BW307:BW310"/>
    <mergeCell ref="BC308:BD308"/>
    <mergeCell ref="AC309:AE309"/>
    <mergeCell ref="BC309:BD309"/>
    <mergeCell ref="AC310:AE310"/>
    <mergeCell ref="BC310:BD310"/>
    <mergeCell ref="AI307:AI308"/>
    <mergeCell ref="AJ307:AJ308"/>
    <mergeCell ref="AK307:AK308"/>
    <mergeCell ref="AL307:AL308"/>
    <mergeCell ref="AM307:AM308"/>
    <mergeCell ref="AN307:AN308"/>
    <mergeCell ref="AO307:AO308"/>
    <mergeCell ref="AP307:AP308"/>
    <mergeCell ref="AQ307:AQ308"/>
    <mergeCell ref="T307:U310"/>
    <mergeCell ref="V307:V310"/>
    <mergeCell ref="W307:Y310"/>
    <mergeCell ref="Z307:Z310"/>
    <mergeCell ref="AA307:AB310"/>
    <mergeCell ref="AC307:AE308"/>
    <mergeCell ref="AF307:AF308"/>
    <mergeCell ref="AG307:AG308"/>
    <mergeCell ref="AH307:AH308"/>
    <mergeCell ref="A307:A310"/>
    <mergeCell ref="B307:C310"/>
    <mergeCell ref="E307:F310"/>
    <mergeCell ref="G307:H310"/>
    <mergeCell ref="I307:J310"/>
    <mergeCell ref="L307:L310"/>
    <mergeCell ref="M307:M310"/>
    <mergeCell ref="N307:O310"/>
    <mergeCell ref="R307:S310"/>
    <mergeCell ref="K307:K310"/>
    <mergeCell ref="P307:Q310"/>
    <mergeCell ref="D307:D310"/>
    <mergeCell ref="AR303:AR304"/>
    <mergeCell ref="BC303:BD303"/>
    <mergeCell ref="BR303:BR306"/>
    <mergeCell ref="BS303:BT306"/>
    <mergeCell ref="BU303:BU306"/>
    <mergeCell ref="BV303:BV306"/>
    <mergeCell ref="BW303:BW306"/>
    <mergeCell ref="BC304:BD304"/>
    <mergeCell ref="AC305:AE305"/>
    <mergeCell ref="BC305:BD305"/>
    <mergeCell ref="AC306:AE306"/>
    <mergeCell ref="BC306:BD306"/>
    <mergeCell ref="AI303:AI304"/>
    <mergeCell ref="AJ303:AJ304"/>
    <mergeCell ref="AK303:AK304"/>
    <mergeCell ref="AL303:AL304"/>
    <mergeCell ref="AM303:AM304"/>
    <mergeCell ref="AN303:AN304"/>
    <mergeCell ref="AO303:AO304"/>
    <mergeCell ref="AP303:AP304"/>
    <mergeCell ref="AQ303:AQ304"/>
    <mergeCell ref="T303:U306"/>
    <mergeCell ref="V303:V306"/>
    <mergeCell ref="W303:Y306"/>
    <mergeCell ref="Z303:Z306"/>
    <mergeCell ref="AA303:AB306"/>
    <mergeCell ref="AC303:AE304"/>
    <mergeCell ref="AF303:AF304"/>
    <mergeCell ref="AG303:AG304"/>
    <mergeCell ref="AH303:AH304"/>
    <mergeCell ref="A303:A306"/>
    <mergeCell ref="B303:C306"/>
    <mergeCell ref="E303:F306"/>
    <mergeCell ref="G303:H306"/>
    <mergeCell ref="I303:J306"/>
    <mergeCell ref="L303:L306"/>
    <mergeCell ref="M303:M306"/>
    <mergeCell ref="N303:O306"/>
    <mergeCell ref="R303:S306"/>
    <mergeCell ref="K303:K306"/>
    <mergeCell ref="P303:Q306"/>
    <mergeCell ref="D303:D306"/>
    <mergeCell ref="AR299:AR300"/>
    <mergeCell ref="BC299:BD299"/>
    <mergeCell ref="BR299:BR302"/>
    <mergeCell ref="BS299:BT302"/>
    <mergeCell ref="BU299:BU302"/>
    <mergeCell ref="BV299:BV302"/>
    <mergeCell ref="BW299:BW302"/>
    <mergeCell ref="BC300:BD300"/>
    <mergeCell ref="AC301:AE301"/>
    <mergeCell ref="BC301:BD301"/>
    <mergeCell ref="AC302:AE302"/>
    <mergeCell ref="BC302:BD302"/>
    <mergeCell ref="AI299:AI300"/>
    <mergeCell ref="AJ299:AJ300"/>
    <mergeCell ref="AK299:AK300"/>
    <mergeCell ref="AL299:AL300"/>
    <mergeCell ref="AM299:AM300"/>
    <mergeCell ref="AN299:AN300"/>
    <mergeCell ref="AO299:AO300"/>
    <mergeCell ref="AP299:AP300"/>
    <mergeCell ref="AQ299:AQ300"/>
    <mergeCell ref="T299:U302"/>
    <mergeCell ref="V299:V302"/>
    <mergeCell ref="W299:Y302"/>
    <mergeCell ref="Z299:Z302"/>
    <mergeCell ref="AA299:AB302"/>
    <mergeCell ref="AC299:AE300"/>
    <mergeCell ref="AF299:AF300"/>
    <mergeCell ref="AG299:AG300"/>
    <mergeCell ref="AH299:AH300"/>
    <mergeCell ref="A299:A302"/>
    <mergeCell ref="B299:C302"/>
    <mergeCell ref="E299:F302"/>
    <mergeCell ref="G299:H302"/>
    <mergeCell ref="I299:J302"/>
    <mergeCell ref="L299:L302"/>
    <mergeCell ref="M299:M302"/>
    <mergeCell ref="N299:O302"/>
    <mergeCell ref="R299:S302"/>
    <mergeCell ref="K299:K302"/>
    <mergeCell ref="P299:Q302"/>
    <mergeCell ref="D299:D302"/>
    <mergeCell ref="AR295:AR296"/>
    <mergeCell ref="BC295:BD295"/>
    <mergeCell ref="BR295:BR298"/>
    <mergeCell ref="BS295:BT298"/>
    <mergeCell ref="BU295:BU298"/>
    <mergeCell ref="BV295:BV298"/>
    <mergeCell ref="BW295:BW298"/>
    <mergeCell ref="BC296:BD296"/>
    <mergeCell ref="AC297:AE297"/>
    <mergeCell ref="BC297:BD297"/>
    <mergeCell ref="AC298:AE298"/>
    <mergeCell ref="BC298:BD298"/>
    <mergeCell ref="AI295:AI296"/>
    <mergeCell ref="AJ295:AJ296"/>
    <mergeCell ref="AK295:AK296"/>
    <mergeCell ref="AL295:AL296"/>
    <mergeCell ref="AM295:AM296"/>
    <mergeCell ref="AN295:AN296"/>
    <mergeCell ref="AO295:AO296"/>
    <mergeCell ref="AP295:AP296"/>
    <mergeCell ref="AQ295:AQ296"/>
    <mergeCell ref="T295:U298"/>
    <mergeCell ref="V295:V298"/>
    <mergeCell ref="W295:Y298"/>
    <mergeCell ref="Z295:Z298"/>
    <mergeCell ref="AA295:AB298"/>
    <mergeCell ref="AC295:AE296"/>
    <mergeCell ref="AF295:AF296"/>
    <mergeCell ref="AG295:AG296"/>
    <mergeCell ref="AH295:AH296"/>
    <mergeCell ref="A295:A298"/>
    <mergeCell ref="B295:C298"/>
    <mergeCell ref="E295:F298"/>
    <mergeCell ref="G295:H298"/>
    <mergeCell ref="I295:J298"/>
    <mergeCell ref="L295:L298"/>
    <mergeCell ref="M295:M298"/>
    <mergeCell ref="N295:O298"/>
    <mergeCell ref="R295:S298"/>
    <mergeCell ref="K295:K298"/>
    <mergeCell ref="P295:Q298"/>
    <mergeCell ref="D295:D298"/>
    <mergeCell ref="AR291:AR292"/>
    <mergeCell ref="BC291:BD291"/>
    <mergeCell ref="BR291:BR294"/>
    <mergeCell ref="BS291:BT294"/>
    <mergeCell ref="BU291:BU294"/>
    <mergeCell ref="BV291:BV294"/>
    <mergeCell ref="BW291:BW294"/>
    <mergeCell ref="BC292:BD292"/>
    <mergeCell ref="AC293:AE293"/>
    <mergeCell ref="BC293:BD293"/>
    <mergeCell ref="AC294:AE294"/>
    <mergeCell ref="BC294:BD294"/>
    <mergeCell ref="AI291:AI292"/>
    <mergeCell ref="AJ291:AJ292"/>
    <mergeCell ref="AK291:AK292"/>
    <mergeCell ref="AL291:AL292"/>
    <mergeCell ref="AM291:AM292"/>
    <mergeCell ref="AN291:AN292"/>
    <mergeCell ref="AO291:AO292"/>
    <mergeCell ref="AP291:AP292"/>
    <mergeCell ref="AQ291:AQ292"/>
    <mergeCell ref="T291:U294"/>
    <mergeCell ref="V291:V294"/>
    <mergeCell ref="W291:Y294"/>
    <mergeCell ref="Z291:Z294"/>
    <mergeCell ref="AA291:AB294"/>
    <mergeCell ref="AC291:AE292"/>
    <mergeCell ref="AF291:AF292"/>
    <mergeCell ref="AG291:AG292"/>
    <mergeCell ref="AH291:AH292"/>
    <mergeCell ref="A291:A294"/>
    <mergeCell ref="B291:C294"/>
    <mergeCell ref="E291:F294"/>
    <mergeCell ref="G291:H294"/>
    <mergeCell ref="I291:J294"/>
    <mergeCell ref="L291:L294"/>
    <mergeCell ref="M291:M294"/>
    <mergeCell ref="N291:O294"/>
    <mergeCell ref="R291:S294"/>
    <mergeCell ref="K291:K294"/>
    <mergeCell ref="P291:Q294"/>
    <mergeCell ref="D291:D294"/>
    <mergeCell ref="AR287:AR288"/>
    <mergeCell ref="BC287:BD287"/>
    <mergeCell ref="BR287:BR290"/>
    <mergeCell ref="BS287:BT290"/>
    <mergeCell ref="BU287:BU290"/>
    <mergeCell ref="BV287:BV290"/>
    <mergeCell ref="BW287:BW290"/>
    <mergeCell ref="BC288:BD288"/>
    <mergeCell ref="AC289:AE289"/>
    <mergeCell ref="BC289:BD289"/>
    <mergeCell ref="AC290:AE290"/>
    <mergeCell ref="BC290:BD290"/>
    <mergeCell ref="AI287:AI288"/>
    <mergeCell ref="AJ287:AJ288"/>
    <mergeCell ref="AK287:AK288"/>
    <mergeCell ref="AL287:AL288"/>
    <mergeCell ref="AM287:AM288"/>
    <mergeCell ref="AN287:AN288"/>
    <mergeCell ref="AO287:AO288"/>
    <mergeCell ref="AP287:AP288"/>
    <mergeCell ref="AQ287:AQ288"/>
    <mergeCell ref="T287:U290"/>
    <mergeCell ref="V287:V290"/>
    <mergeCell ref="W287:Y290"/>
    <mergeCell ref="Z287:Z290"/>
    <mergeCell ref="AA287:AB290"/>
    <mergeCell ref="AC287:AE288"/>
    <mergeCell ref="AF287:AF288"/>
    <mergeCell ref="AG287:AG288"/>
    <mergeCell ref="AH287:AH288"/>
    <mergeCell ref="A287:A290"/>
    <mergeCell ref="B287:C290"/>
    <mergeCell ref="E287:F290"/>
    <mergeCell ref="G287:H290"/>
    <mergeCell ref="I287:J290"/>
    <mergeCell ref="L287:L290"/>
    <mergeCell ref="M287:M290"/>
    <mergeCell ref="N287:O290"/>
    <mergeCell ref="R287:S290"/>
    <mergeCell ref="K287:K290"/>
    <mergeCell ref="P287:Q290"/>
    <mergeCell ref="D287:D290"/>
    <mergeCell ref="AR283:AR284"/>
    <mergeCell ref="BC283:BD283"/>
    <mergeCell ref="BR283:BR286"/>
    <mergeCell ref="BS283:BT286"/>
    <mergeCell ref="BU283:BU286"/>
    <mergeCell ref="BV283:BV286"/>
    <mergeCell ref="BW283:BW286"/>
    <mergeCell ref="BC284:BD284"/>
    <mergeCell ref="AC285:AE285"/>
    <mergeCell ref="BC285:BD285"/>
    <mergeCell ref="AC286:AE286"/>
    <mergeCell ref="BC286:BD286"/>
    <mergeCell ref="AI283:AI284"/>
    <mergeCell ref="AJ283:AJ284"/>
    <mergeCell ref="AK283:AK284"/>
    <mergeCell ref="AL283:AL284"/>
    <mergeCell ref="AM283:AM284"/>
    <mergeCell ref="AN283:AN284"/>
    <mergeCell ref="AO283:AO284"/>
    <mergeCell ref="AP283:AP284"/>
    <mergeCell ref="AQ283:AQ284"/>
    <mergeCell ref="T283:U286"/>
    <mergeCell ref="V283:V286"/>
    <mergeCell ref="W283:Y286"/>
    <mergeCell ref="Z283:Z286"/>
    <mergeCell ref="AA283:AB286"/>
    <mergeCell ref="AC283:AE284"/>
    <mergeCell ref="AF283:AF284"/>
    <mergeCell ref="AG283:AG284"/>
    <mergeCell ref="AH283:AH284"/>
    <mergeCell ref="A283:A286"/>
    <mergeCell ref="B283:C286"/>
    <mergeCell ref="E283:F286"/>
    <mergeCell ref="G283:H286"/>
    <mergeCell ref="I283:J286"/>
    <mergeCell ref="L283:L286"/>
    <mergeCell ref="M283:M286"/>
    <mergeCell ref="N283:O286"/>
    <mergeCell ref="R283:S286"/>
    <mergeCell ref="K283:K286"/>
    <mergeCell ref="P283:Q286"/>
    <mergeCell ref="D283:D286"/>
    <mergeCell ref="AR279:AR280"/>
    <mergeCell ref="BC279:BD279"/>
    <mergeCell ref="BR279:BR282"/>
    <mergeCell ref="BS279:BT282"/>
    <mergeCell ref="BU279:BU282"/>
    <mergeCell ref="BV279:BV282"/>
    <mergeCell ref="BW279:BW282"/>
    <mergeCell ref="BC280:BD280"/>
    <mergeCell ref="AC281:AE281"/>
    <mergeCell ref="BC281:BD281"/>
    <mergeCell ref="AC282:AE282"/>
    <mergeCell ref="BC282:BD282"/>
    <mergeCell ref="AI279:AI280"/>
    <mergeCell ref="AJ279:AJ280"/>
    <mergeCell ref="AK279:AK280"/>
    <mergeCell ref="AL279:AL280"/>
    <mergeCell ref="AM279:AM280"/>
    <mergeCell ref="AN279:AN280"/>
    <mergeCell ref="AO279:AO280"/>
    <mergeCell ref="AP279:AP280"/>
    <mergeCell ref="AQ279:AQ280"/>
    <mergeCell ref="T279:U282"/>
    <mergeCell ref="V279:V282"/>
    <mergeCell ref="W279:Y282"/>
    <mergeCell ref="Z279:Z282"/>
    <mergeCell ref="AA279:AB282"/>
    <mergeCell ref="AC279:AE280"/>
    <mergeCell ref="AF279:AF280"/>
    <mergeCell ref="AG279:AG280"/>
    <mergeCell ref="AH279:AH280"/>
    <mergeCell ref="A279:A282"/>
    <mergeCell ref="B279:C282"/>
    <mergeCell ref="E279:F282"/>
    <mergeCell ref="G279:H282"/>
    <mergeCell ref="I279:J282"/>
    <mergeCell ref="L279:L282"/>
    <mergeCell ref="M279:M282"/>
    <mergeCell ref="N279:O282"/>
    <mergeCell ref="R279:S282"/>
    <mergeCell ref="K279:K282"/>
    <mergeCell ref="P279:Q282"/>
    <mergeCell ref="D279:D282"/>
    <mergeCell ref="AR275:AR276"/>
    <mergeCell ref="BC275:BD275"/>
    <mergeCell ref="BR275:BR278"/>
    <mergeCell ref="BS275:BT278"/>
    <mergeCell ref="BU275:BU278"/>
    <mergeCell ref="BV275:BV278"/>
    <mergeCell ref="BW275:BW278"/>
    <mergeCell ref="BC276:BD276"/>
    <mergeCell ref="AC277:AE277"/>
    <mergeCell ref="BC277:BD277"/>
    <mergeCell ref="AC278:AE278"/>
    <mergeCell ref="BC278:BD278"/>
    <mergeCell ref="AI275:AI276"/>
    <mergeCell ref="AJ275:AJ276"/>
    <mergeCell ref="AK275:AK276"/>
    <mergeCell ref="AL275:AL276"/>
    <mergeCell ref="AM275:AM276"/>
    <mergeCell ref="AN275:AN276"/>
    <mergeCell ref="AO275:AO276"/>
    <mergeCell ref="AP275:AP276"/>
    <mergeCell ref="AQ275:AQ276"/>
    <mergeCell ref="T275:U278"/>
    <mergeCell ref="V275:V278"/>
    <mergeCell ref="W275:Y278"/>
    <mergeCell ref="Z275:Z278"/>
    <mergeCell ref="AA275:AB278"/>
    <mergeCell ref="AC275:AE276"/>
    <mergeCell ref="AF275:AF276"/>
    <mergeCell ref="AG275:AG276"/>
    <mergeCell ref="AH275:AH276"/>
    <mergeCell ref="A275:A278"/>
    <mergeCell ref="B275:C278"/>
    <mergeCell ref="E275:F278"/>
    <mergeCell ref="G275:H278"/>
    <mergeCell ref="I275:J278"/>
    <mergeCell ref="L275:L278"/>
    <mergeCell ref="M275:M278"/>
    <mergeCell ref="N275:O278"/>
    <mergeCell ref="R275:S278"/>
    <mergeCell ref="K275:K278"/>
    <mergeCell ref="P275:Q278"/>
    <mergeCell ref="D275:D278"/>
    <mergeCell ref="AR271:AR272"/>
    <mergeCell ref="BC271:BD271"/>
    <mergeCell ref="BR271:BR274"/>
    <mergeCell ref="BS271:BT274"/>
    <mergeCell ref="BU271:BU274"/>
    <mergeCell ref="BV271:BV274"/>
    <mergeCell ref="BW271:BW274"/>
    <mergeCell ref="BC272:BD272"/>
    <mergeCell ref="AC273:AE273"/>
    <mergeCell ref="BC273:BD273"/>
    <mergeCell ref="AC274:AE274"/>
    <mergeCell ref="BC274:BD274"/>
    <mergeCell ref="AI271:AI272"/>
    <mergeCell ref="AJ271:AJ272"/>
    <mergeCell ref="AK271:AK272"/>
    <mergeCell ref="AL271:AL272"/>
    <mergeCell ref="AM271:AM272"/>
    <mergeCell ref="AN271:AN272"/>
    <mergeCell ref="AO271:AO272"/>
    <mergeCell ref="AP271:AP272"/>
    <mergeCell ref="AQ271:AQ272"/>
    <mergeCell ref="T271:U274"/>
    <mergeCell ref="V271:V274"/>
    <mergeCell ref="W271:Y274"/>
    <mergeCell ref="Z271:Z274"/>
    <mergeCell ref="AA271:AB274"/>
    <mergeCell ref="AC271:AE272"/>
    <mergeCell ref="AF271:AF272"/>
    <mergeCell ref="AG271:AG272"/>
    <mergeCell ref="AH271:AH272"/>
    <mergeCell ref="A271:A274"/>
    <mergeCell ref="B271:C274"/>
    <mergeCell ref="E271:F274"/>
    <mergeCell ref="G271:H274"/>
    <mergeCell ref="I271:J274"/>
    <mergeCell ref="L271:L274"/>
    <mergeCell ref="M271:M274"/>
    <mergeCell ref="N271:O274"/>
    <mergeCell ref="R271:S274"/>
    <mergeCell ref="K271:K274"/>
    <mergeCell ref="P271:Q274"/>
    <mergeCell ref="D271:D274"/>
    <mergeCell ref="AR267:AR268"/>
    <mergeCell ref="BC267:BD267"/>
    <mergeCell ref="BR267:BR270"/>
    <mergeCell ref="BS267:BT270"/>
    <mergeCell ref="BU267:BU270"/>
    <mergeCell ref="BV267:BV270"/>
    <mergeCell ref="BW267:BW270"/>
    <mergeCell ref="BC268:BD268"/>
    <mergeCell ref="AC269:AE269"/>
    <mergeCell ref="BC269:BD269"/>
    <mergeCell ref="AC270:AE270"/>
    <mergeCell ref="BC270:BD270"/>
    <mergeCell ref="AI267:AI268"/>
    <mergeCell ref="AJ267:AJ268"/>
    <mergeCell ref="AK267:AK268"/>
    <mergeCell ref="AL267:AL268"/>
    <mergeCell ref="AM267:AM268"/>
    <mergeCell ref="AN267:AN268"/>
    <mergeCell ref="AO267:AO268"/>
    <mergeCell ref="AP267:AP268"/>
    <mergeCell ref="AQ267:AQ268"/>
    <mergeCell ref="T267:U270"/>
    <mergeCell ref="V267:V270"/>
    <mergeCell ref="W267:Y270"/>
    <mergeCell ref="Z267:Z270"/>
    <mergeCell ref="AA267:AB270"/>
    <mergeCell ref="AC267:AE268"/>
    <mergeCell ref="AF267:AF268"/>
    <mergeCell ref="AG267:AG268"/>
    <mergeCell ref="AH267:AH268"/>
    <mergeCell ref="A267:A270"/>
    <mergeCell ref="B267:C270"/>
    <mergeCell ref="E267:F270"/>
    <mergeCell ref="G267:H270"/>
    <mergeCell ref="I267:J270"/>
    <mergeCell ref="L267:L270"/>
    <mergeCell ref="M267:M270"/>
    <mergeCell ref="N267:O270"/>
    <mergeCell ref="R267:S270"/>
    <mergeCell ref="K267:K270"/>
    <mergeCell ref="P267:Q270"/>
    <mergeCell ref="D267:D270"/>
    <mergeCell ref="AR263:AR264"/>
    <mergeCell ref="BC263:BD263"/>
    <mergeCell ref="BR263:BR266"/>
    <mergeCell ref="BS263:BT266"/>
    <mergeCell ref="BU263:BU266"/>
    <mergeCell ref="BV263:BV266"/>
    <mergeCell ref="BW263:BW266"/>
    <mergeCell ref="BC264:BD264"/>
    <mergeCell ref="AC265:AE265"/>
    <mergeCell ref="BC265:BD265"/>
    <mergeCell ref="AC266:AE266"/>
    <mergeCell ref="BC266:BD266"/>
    <mergeCell ref="AI263:AI264"/>
    <mergeCell ref="AJ263:AJ264"/>
    <mergeCell ref="AK263:AK264"/>
    <mergeCell ref="AL263:AL264"/>
    <mergeCell ref="AM263:AM264"/>
    <mergeCell ref="AN263:AN264"/>
    <mergeCell ref="AO263:AO264"/>
    <mergeCell ref="AP263:AP264"/>
    <mergeCell ref="AQ263:AQ264"/>
    <mergeCell ref="T263:U266"/>
    <mergeCell ref="V263:V266"/>
    <mergeCell ref="W263:Y266"/>
    <mergeCell ref="Z263:Z266"/>
    <mergeCell ref="AA263:AB266"/>
    <mergeCell ref="AC263:AE264"/>
    <mergeCell ref="AF263:AF264"/>
    <mergeCell ref="AG263:AG264"/>
    <mergeCell ref="AH263:AH264"/>
    <mergeCell ref="A263:A266"/>
    <mergeCell ref="B263:C266"/>
    <mergeCell ref="E263:F266"/>
    <mergeCell ref="G263:H266"/>
    <mergeCell ref="I263:J266"/>
    <mergeCell ref="L263:L266"/>
    <mergeCell ref="M263:M266"/>
    <mergeCell ref="N263:O266"/>
    <mergeCell ref="R263:S266"/>
    <mergeCell ref="K263:K266"/>
    <mergeCell ref="P263:Q266"/>
    <mergeCell ref="D263:D266"/>
    <mergeCell ref="AR259:AR260"/>
    <mergeCell ref="BC259:BD259"/>
    <mergeCell ref="BR259:BR262"/>
    <mergeCell ref="BS259:BT262"/>
    <mergeCell ref="BU259:BU262"/>
    <mergeCell ref="BV259:BV262"/>
    <mergeCell ref="BW259:BW262"/>
    <mergeCell ref="BC260:BD260"/>
    <mergeCell ref="AC261:AE261"/>
    <mergeCell ref="BC261:BD261"/>
    <mergeCell ref="AC262:AE262"/>
    <mergeCell ref="BC262:BD262"/>
    <mergeCell ref="AI259:AI260"/>
    <mergeCell ref="AJ259:AJ260"/>
    <mergeCell ref="AK259:AK260"/>
    <mergeCell ref="AL259:AL260"/>
    <mergeCell ref="AM259:AM260"/>
    <mergeCell ref="AN259:AN260"/>
    <mergeCell ref="AO259:AO260"/>
    <mergeCell ref="AP259:AP260"/>
    <mergeCell ref="AQ259:AQ260"/>
    <mergeCell ref="T259:U262"/>
    <mergeCell ref="V259:V262"/>
    <mergeCell ref="W259:Y262"/>
    <mergeCell ref="Z259:Z262"/>
    <mergeCell ref="AA259:AB262"/>
    <mergeCell ref="AC259:AE260"/>
    <mergeCell ref="AF259:AF260"/>
    <mergeCell ref="AG259:AG260"/>
    <mergeCell ref="AH259:AH260"/>
    <mergeCell ref="A259:A262"/>
    <mergeCell ref="B259:C262"/>
    <mergeCell ref="E259:F262"/>
    <mergeCell ref="G259:H262"/>
    <mergeCell ref="I259:J262"/>
    <mergeCell ref="L259:L262"/>
    <mergeCell ref="M259:M262"/>
    <mergeCell ref="N259:O262"/>
    <mergeCell ref="R259:S262"/>
    <mergeCell ref="K259:K262"/>
    <mergeCell ref="P259:Q262"/>
    <mergeCell ref="D259:D262"/>
    <mergeCell ref="AR255:AR256"/>
    <mergeCell ref="BC255:BD255"/>
    <mergeCell ref="BR255:BR258"/>
    <mergeCell ref="BS255:BT258"/>
    <mergeCell ref="BU255:BU258"/>
    <mergeCell ref="BV255:BV258"/>
    <mergeCell ref="BW255:BW258"/>
    <mergeCell ref="BC256:BD256"/>
    <mergeCell ref="AC257:AE257"/>
    <mergeCell ref="BC257:BD257"/>
    <mergeCell ref="AC258:AE258"/>
    <mergeCell ref="BC258:BD258"/>
    <mergeCell ref="AI255:AI256"/>
    <mergeCell ref="AJ255:AJ256"/>
    <mergeCell ref="AK255:AK256"/>
    <mergeCell ref="AL255:AL256"/>
    <mergeCell ref="AM255:AM256"/>
    <mergeCell ref="AN255:AN256"/>
    <mergeCell ref="AO255:AO256"/>
    <mergeCell ref="AP255:AP256"/>
    <mergeCell ref="AQ255:AQ256"/>
    <mergeCell ref="T255:U258"/>
    <mergeCell ref="V255:V258"/>
    <mergeCell ref="W255:Y258"/>
    <mergeCell ref="Z255:Z258"/>
    <mergeCell ref="AA255:AB258"/>
    <mergeCell ref="AC255:AE256"/>
    <mergeCell ref="AF255:AF256"/>
    <mergeCell ref="AG255:AG256"/>
    <mergeCell ref="AH255:AH256"/>
    <mergeCell ref="A255:A258"/>
    <mergeCell ref="B255:C258"/>
    <mergeCell ref="E255:F258"/>
    <mergeCell ref="G255:H258"/>
    <mergeCell ref="I255:J258"/>
    <mergeCell ref="L255:L258"/>
    <mergeCell ref="M255:M258"/>
    <mergeCell ref="N255:O258"/>
    <mergeCell ref="R255:S258"/>
    <mergeCell ref="K255:K258"/>
    <mergeCell ref="P255:Q258"/>
    <mergeCell ref="D255:D258"/>
    <mergeCell ref="AR251:AR252"/>
    <mergeCell ref="BC251:BD251"/>
    <mergeCell ref="BR251:BR254"/>
    <mergeCell ref="BS251:BT254"/>
    <mergeCell ref="BU251:BU254"/>
    <mergeCell ref="BV251:BV254"/>
    <mergeCell ref="BW251:BW254"/>
    <mergeCell ref="BC252:BD252"/>
    <mergeCell ref="AC253:AE253"/>
    <mergeCell ref="BC253:BD253"/>
    <mergeCell ref="AC254:AE254"/>
    <mergeCell ref="BC254:BD254"/>
    <mergeCell ref="AI251:AI252"/>
    <mergeCell ref="AJ251:AJ252"/>
    <mergeCell ref="AK251:AK252"/>
    <mergeCell ref="AL251:AL252"/>
    <mergeCell ref="AM251:AM252"/>
    <mergeCell ref="AN251:AN252"/>
    <mergeCell ref="AO251:AO252"/>
    <mergeCell ref="AP251:AP252"/>
    <mergeCell ref="AQ251:AQ252"/>
    <mergeCell ref="T251:U254"/>
    <mergeCell ref="V251:V254"/>
    <mergeCell ref="W251:Y254"/>
    <mergeCell ref="Z251:Z254"/>
    <mergeCell ref="AA251:AB254"/>
    <mergeCell ref="AC251:AE252"/>
    <mergeCell ref="AF251:AF252"/>
    <mergeCell ref="AG251:AG252"/>
    <mergeCell ref="AH251:AH252"/>
    <mergeCell ref="A251:A254"/>
    <mergeCell ref="B251:C254"/>
    <mergeCell ref="E251:F254"/>
    <mergeCell ref="G251:H254"/>
    <mergeCell ref="I251:J254"/>
    <mergeCell ref="L251:L254"/>
    <mergeCell ref="M251:M254"/>
    <mergeCell ref="N251:O254"/>
    <mergeCell ref="R251:S254"/>
    <mergeCell ref="K251:K254"/>
    <mergeCell ref="P251:Q254"/>
    <mergeCell ref="D251:D254"/>
    <mergeCell ref="AR247:AR248"/>
    <mergeCell ref="BC247:BD247"/>
    <mergeCell ref="BR247:BR250"/>
    <mergeCell ref="BS247:BT250"/>
    <mergeCell ref="BU247:BU250"/>
    <mergeCell ref="BV247:BV250"/>
    <mergeCell ref="BW247:BW250"/>
    <mergeCell ref="BC248:BD248"/>
    <mergeCell ref="AC249:AE249"/>
    <mergeCell ref="BC249:BD249"/>
    <mergeCell ref="AC250:AE250"/>
    <mergeCell ref="BC250:BD250"/>
    <mergeCell ref="AI247:AI248"/>
    <mergeCell ref="AJ247:AJ248"/>
    <mergeCell ref="AK247:AK248"/>
    <mergeCell ref="AL247:AL248"/>
    <mergeCell ref="AM247:AM248"/>
    <mergeCell ref="AN247:AN248"/>
    <mergeCell ref="AO247:AO248"/>
    <mergeCell ref="AP247:AP248"/>
    <mergeCell ref="AQ247:AQ248"/>
    <mergeCell ref="T247:U250"/>
    <mergeCell ref="V247:V250"/>
    <mergeCell ref="W247:Y250"/>
    <mergeCell ref="Z247:Z250"/>
    <mergeCell ref="AA247:AB250"/>
    <mergeCell ref="AC247:AE248"/>
    <mergeCell ref="AF247:AF248"/>
    <mergeCell ref="AG247:AG248"/>
    <mergeCell ref="AH247:AH248"/>
    <mergeCell ref="A247:A250"/>
    <mergeCell ref="B247:C250"/>
    <mergeCell ref="E247:F250"/>
    <mergeCell ref="G247:H250"/>
    <mergeCell ref="I247:J250"/>
    <mergeCell ref="L247:L250"/>
    <mergeCell ref="M247:M250"/>
    <mergeCell ref="N247:O250"/>
    <mergeCell ref="R247:S250"/>
    <mergeCell ref="K247:K250"/>
    <mergeCell ref="P247:Q250"/>
    <mergeCell ref="D247:D250"/>
    <mergeCell ref="AR243:AR244"/>
    <mergeCell ref="BC243:BD243"/>
    <mergeCell ref="BR243:BR246"/>
    <mergeCell ref="BS243:BT246"/>
    <mergeCell ref="BU243:BU246"/>
    <mergeCell ref="BV243:BV246"/>
    <mergeCell ref="BW243:BW246"/>
    <mergeCell ref="BC244:BD244"/>
    <mergeCell ref="AC245:AE245"/>
    <mergeCell ref="BC245:BD245"/>
    <mergeCell ref="AC246:AE246"/>
    <mergeCell ref="BC246:BD246"/>
    <mergeCell ref="AI243:AI244"/>
    <mergeCell ref="AJ243:AJ244"/>
    <mergeCell ref="AK243:AK244"/>
    <mergeCell ref="AL243:AL244"/>
    <mergeCell ref="AM243:AM244"/>
    <mergeCell ref="AN243:AN244"/>
    <mergeCell ref="AO243:AO244"/>
    <mergeCell ref="AP243:AP244"/>
    <mergeCell ref="AQ243:AQ244"/>
    <mergeCell ref="T243:U246"/>
    <mergeCell ref="V243:V246"/>
    <mergeCell ref="W243:Y246"/>
    <mergeCell ref="Z243:Z246"/>
    <mergeCell ref="AA243:AB246"/>
    <mergeCell ref="AC243:AE244"/>
    <mergeCell ref="AF243:AF244"/>
    <mergeCell ref="AG243:AG244"/>
    <mergeCell ref="AH243:AH244"/>
    <mergeCell ref="A243:A246"/>
    <mergeCell ref="B243:C246"/>
    <mergeCell ref="E243:F246"/>
    <mergeCell ref="G243:H246"/>
    <mergeCell ref="I243:J246"/>
    <mergeCell ref="L243:L246"/>
    <mergeCell ref="M243:M246"/>
    <mergeCell ref="N243:O246"/>
    <mergeCell ref="R243:S246"/>
    <mergeCell ref="K243:K246"/>
    <mergeCell ref="P243:Q246"/>
    <mergeCell ref="D243:D246"/>
    <mergeCell ref="AR239:AR240"/>
    <mergeCell ref="BC239:BD239"/>
    <mergeCell ref="BR239:BR242"/>
    <mergeCell ref="BS239:BT242"/>
    <mergeCell ref="BU239:BU242"/>
    <mergeCell ref="BV239:BV242"/>
    <mergeCell ref="BW239:BW242"/>
    <mergeCell ref="BC240:BD240"/>
    <mergeCell ref="AC241:AE241"/>
    <mergeCell ref="BC241:BD241"/>
    <mergeCell ref="AC242:AE242"/>
    <mergeCell ref="BC242:BD242"/>
    <mergeCell ref="AI239:AI240"/>
    <mergeCell ref="AJ239:AJ240"/>
    <mergeCell ref="AK239:AK240"/>
    <mergeCell ref="AL239:AL240"/>
    <mergeCell ref="AM239:AM240"/>
    <mergeCell ref="AN239:AN240"/>
    <mergeCell ref="AO239:AO240"/>
    <mergeCell ref="AP239:AP240"/>
    <mergeCell ref="AQ239:AQ240"/>
    <mergeCell ref="T239:U242"/>
    <mergeCell ref="V239:V242"/>
    <mergeCell ref="W239:Y242"/>
    <mergeCell ref="Z239:Z242"/>
    <mergeCell ref="AA239:AB242"/>
    <mergeCell ref="AC239:AE240"/>
    <mergeCell ref="AF239:AF240"/>
    <mergeCell ref="AG239:AG240"/>
    <mergeCell ref="AH239:AH240"/>
    <mergeCell ref="A239:A242"/>
    <mergeCell ref="B239:C242"/>
    <mergeCell ref="E239:F242"/>
    <mergeCell ref="G239:H242"/>
    <mergeCell ref="I239:J242"/>
    <mergeCell ref="L239:L242"/>
    <mergeCell ref="M239:M242"/>
    <mergeCell ref="N239:O242"/>
    <mergeCell ref="R239:S242"/>
    <mergeCell ref="K239:K242"/>
    <mergeCell ref="P239:Q242"/>
    <mergeCell ref="D239:D242"/>
    <mergeCell ref="AR235:AR236"/>
    <mergeCell ref="BC235:BD235"/>
    <mergeCell ref="BR235:BR238"/>
    <mergeCell ref="BS235:BT238"/>
    <mergeCell ref="BU235:BU238"/>
    <mergeCell ref="BV235:BV238"/>
    <mergeCell ref="BW235:BW238"/>
    <mergeCell ref="BC236:BD236"/>
    <mergeCell ref="AC237:AE237"/>
    <mergeCell ref="BC237:BD237"/>
    <mergeCell ref="AC238:AE238"/>
    <mergeCell ref="BC238:BD238"/>
    <mergeCell ref="AI235:AI236"/>
    <mergeCell ref="AJ235:AJ236"/>
    <mergeCell ref="AK235:AK236"/>
    <mergeCell ref="AL235:AL236"/>
    <mergeCell ref="AM235:AM236"/>
    <mergeCell ref="AN235:AN236"/>
    <mergeCell ref="AO235:AO236"/>
    <mergeCell ref="AP235:AP236"/>
    <mergeCell ref="AQ235:AQ236"/>
    <mergeCell ref="T235:U238"/>
    <mergeCell ref="V235:V238"/>
    <mergeCell ref="W235:Y238"/>
    <mergeCell ref="Z235:Z238"/>
    <mergeCell ref="AA235:AB238"/>
    <mergeCell ref="AC235:AE236"/>
    <mergeCell ref="AF235:AF236"/>
    <mergeCell ref="AG235:AG236"/>
    <mergeCell ref="AH235:AH236"/>
    <mergeCell ref="A235:A238"/>
    <mergeCell ref="B235:C238"/>
    <mergeCell ref="E235:F238"/>
    <mergeCell ref="G235:H238"/>
    <mergeCell ref="I235:J238"/>
    <mergeCell ref="L235:L238"/>
    <mergeCell ref="M235:M238"/>
    <mergeCell ref="N235:O238"/>
    <mergeCell ref="R235:S238"/>
    <mergeCell ref="K235:K238"/>
    <mergeCell ref="P235:Q238"/>
    <mergeCell ref="D235:D238"/>
    <mergeCell ref="AR231:AR232"/>
    <mergeCell ref="BC231:BD231"/>
    <mergeCell ref="BR231:BR234"/>
    <mergeCell ref="BS231:BT234"/>
    <mergeCell ref="BU231:BU234"/>
    <mergeCell ref="BV231:BV234"/>
    <mergeCell ref="BW231:BW234"/>
    <mergeCell ref="BC232:BD232"/>
    <mergeCell ref="AC233:AE233"/>
    <mergeCell ref="BC233:BD233"/>
    <mergeCell ref="AC234:AE234"/>
    <mergeCell ref="BC234:BD234"/>
    <mergeCell ref="AI231:AI232"/>
    <mergeCell ref="AJ231:AJ232"/>
    <mergeCell ref="AK231:AK232"/>
    <mergeCell ref="AL231:AL232"/>
    <mergeCell ref="AM231:AM232"/>
    <mergeCell ref="AN231:AN232"/>
    <mergeCell ref="AO231:AO232"/>
    <mergeCell ref="AP231:AP232"/>
    <mergeCell ref="AQ231:AQ232"/>
    <mergeCell ref="T231:U234"/>
    <mergeCell ref="V231:V234"/>
    <mergeCell ref="W231:Y234"/>
    <mergeCell ref="Z231:Z234"/>
    <mergeCell ref="AA231:AB234"/>
    <mergeCell ref="AC231:AE232"/>
    <mergeCell ref="AF231:AF232"/>
    <mergeCell ref="AG231:AG232"/>
    <mergeCell ref="AH231:AH232"/>
    <mergeCell ref="A231:A234"/>
    <mergeCell ref="B231:C234"/>
    <mergeCell ref="E231:F234"/>
    <mergeCell ref="G231:H234"/>
    <mergeCell ref="I231:J234"/>
    <mergeCell ref="L231:L234"/>
    <mergeCell ref="M231:M234"/>
    <mergeCell ref="N231:O234"/>
    <mergeCell ref="R231:S234"/>
    <mergeCell ref="K231:K234"/>
    <mergeCell ref="P231:Q234"/>
    <mergeCell ref="D231:D234"/>
    <mergeCell ref="AR227:AR228"/>
    <mergeCell ref="BC227:BD227"/>
    <mergeCell ref="BR227:BR230"/>
    <mergeCell ref="BS227:BT230"/>
    <mergeCell ref="BU227:BU230"/>
    <mergeCell ref="BV227:BV230"/>
    <mergeCell ref="BW227:BW230"/>
    <mergeCell ref="BC228:BD228"/>
    <mergeCell ref="AC229:AE229"/>
    <mergeCell ref="BC229:BD229"/>
    <mergeCell ref="AC230:AE230"/>
    <mergeCell ref="BC230:BD230"/>
    <mergeCell ref="AI227:AI228"/>
    <mergeCell ref="AJ227:AJ228"/>
    <mergeCell ref="AK227:AK228"/>
    <mergeCell ref="AL227:AL228"/>
    <mergeCell ref="AM227:AM228"/>
    <mergeCell ref="AN227:AN228"/>
    <mergeCell ref="AO227:AO228"/>
    <mergeCell ref="AP227:AP228"/>
    <mergeCell ref="AQ227:AQ228"/>
    <mergeCell ref="T227:U230"/>
    <mergeCell ref="V227:V230"/>
    <mergeCell ref="W227:Y230"/>
    <mergeCell ref="Z227:Z230"/>
    <mergeCell ref="AA227:AB230"/>
    <mergeCell ref="AC227:AE228"/>
    <mergeCell ref="AF227:AF228"/>
    <mergeCell ref="AG227:AG228"/>
    <mergeCell ref="AH227:AH228"/>
    <mergeCell ref="A227:A230"/>
    <mergeCell ref="B227:C230"/>
    <mergeCell ref="E227:F230"/>
    <mergeCell ref="G227:H230"/>
    <mergeCell ref="I227:J230"/>
    <mergeCell ref="L227:L230"/>
    <mergeCell ref="M227:M230"/>
    <mergeCell ref="N227:O230"/>
    <mergeCell ref="R227:S230"/>
    <mergeCell ref="K227:K230"/>
    <mergeCell ref="P227:Q230"/>
    <mergeCell ref="D227:D230"/>
    <mergeCell ref="AR223:AR224"/>
    <mergeCell ref="BC223:BD223"/>
    <mergeCell ref="BR223:BR226"/>
    <mergeCell ref="BS223:BT226"/>
    <mergeCell ref="BU223:BU226"/>
    <mergeCell ref="BV223:BV226"/>
    <mergeCell ref="BW223:BW226"/>
    <mergeCell ref="BC224:BD224"/>
    <mergeCell ref="AC225:AE225"/>
    <mergeCell ref="BC225:BD225"/>
    <mergeCell ref="AC226:AE226"/>
    <mergeCell ref="BC226:BD226"/>
    <mergeCell ref="AI223:AI224"/>
    <mergeCell ref="AJ223:AJ224"/>
    <mergeCell ref="AK223:AK224"/>
    <mergeCell ref="AL223:AL224"/>
    <mergeCell ref="AM223:AM224"/>
    <mergeCell ref="AN223:AN224"/>
    <mergeCell ref="AO223:AO224"/>
    <mergeCell ref="AP223:AP224"/>
    <mergeCell ref="AQ223:AQ224"/>
    <mergeCell ref="T223:U226"/>
    <mergeCell ref="V223:V226"/>
    <mergeCell ref="W223:Y226"/>
    <mergeCell ref="Z223:Z226"/>
    <mergeCell ref="AA223:AB226"/>
    <mergeCell ref="AC223:AE224"/>
    <mergeCell ref="AF223:AF224"/>
    <mergeCell ref="AG223:AG224"/>
    <mergeCell ref="AH223:AH224"/>
    <mergeCell ref="A223:A226"/>
    <mergeCell ref="B223:C226"/>
    <mergeCell ref="E223:F226"/>
    <mergeCell ref="G223:H226"/>
    <mergeCell ref="I223:J226"/>
    <mergeCell ref="L223:L226"/>
    <mergeCell ref="M223:M226"/>
    <mergeCell ref="N223:O226"/>
    <mergeCell ref="R223:S226"/>
    <mergeCell ref="K223:K226"/>
    <mergeCell ref="P223:Q226"/>
    <mergeCell ref="D223:D226"/>
    <mergeCell ref="AR219:AR220"/>
    <mergeCell ref="BC219:BD219"/>
    <mergeCell ref="BR219:BR222"/>
    <mergeCell ref="BS219:BT222"/>
    <mergeCell ref="BU219:BU222"/>
    <mergeCell ref="BV219:BV222"/>
    <mergeCell ref="BW219:BW222"/>
    <mergeCell ref="BC220:BD220"/>
    <mergeCell ref="AC221:AE221"/>
    <mergeCell ref="BC221:BD221"/>
    <mergeCell ref="AC222:AE222"/>
    <mergeCell ref="BC222:BD222"/>
    <mergeCell ref="AI219:AI220"/>
    <mergeCell ref="AJ219:AJ220"/>
    <mergeCell ref="AK219:AK220"/>
    <mergeCell ref="AL219:AL220"/>
    <mergeCell ref="AM219:AM220"/>
    <mergeCell ref="AN219:AN220"/>
    <mergeCell ref="AO219:AO220"/>
    <mergeCell ref="AP219:AP220"/>
    <mergeCell ref="AQ219:AQ220"/>
    <mergeCell ref="T219:U222"/>
    <mergeCell ref="V219:V222"/>
    <mergeCell ref="W219:Y222"/>
    <mergeCell ref="Z219:Z222"/>
    <mergeCell ref="AA219:AB222"/>
    <mergeCell ref="AC219:AE220"/>
    <mergeCell ref="AF219:AF220"/>
    <mergeCell ref="AG219:AG220"/>
    <mergeCell ref="AH219:AH220"/>
    <mergeCell ref="A219:A222"/>
    <mergeCell ref="B219:C222"/>
    <mergeCell ref="E219:F222"/>
    <mergeCell ref="G219:H222"/>
    <mergeCell ref="I219:J222"/>
    <mergeCell ref="L219:L222"/>
    <mergeCell ref="M219:M222"/>
    <mergeCell ref="N219:O222"/>
    <mergeCell ref="R219:S222"/>
    <mergeCell ref="K219:K222"/>
    <mergeCell ref="P219:Q222"/>
    <mergeCell ref="D219:D222"/>
    <mergeCell ref="AR215:AR216"/>
    <mergeCell ref="BC215:BD215"/>
    <mergeCell ref="BR215:BR218"/>
    <mergeCell ref="BS215:BT218"/>
    <mergeCell ref="BU215:BU218"/>
    <mergeCell ref="BV215:BV218"/>
    <mergeCell ref="BW215:BW218"/>
    <mergeCell ref="BC216:BD216"/>
    <mergeCell ref="AC217:AE217"/>
    <mergeCell ref="BC217:BD217"/>
    <mergeCell ref="AC218:AE218"/>
    <mergeCell ref="BC218:BD218"/>
    <mergeCell ref="AI215:AI216"/>
    <mergeCell ref="AJ215:AJ216"/>
    <mergeCell ref="AK215:AK216"/>
    <mergeCell ref="AL215:AL216"/>
    <mergeCell ref="AM215:AM216"/>
    <mergeCell ref="AN215:AN216"/>
    <mergeCell ref="AO215:AO216"/>
    <mergeCell ref="AP215:AP216"/>
    <mergeCell ref="AQ215:AQ216"/>
    <mergeCell ref="T215:U218"/>
    <mergeCell ref="V215:V218"/>
    <mergeCell ref="W215:Y218"/>
    <mergeCell ref="Z215:Z218"/>
    <mergeCell ref="AA215:AB218"/>
    <mergeCell ref="AC215:AE216"/>
    <mergeCell ref="AF215:AF216"/>
    <mergeCell ref="AG215:AG216"/>
    <mergeCell ref="AH215:AH216"/>
    <mergeCell ref="A215:A218"/>
    <mergeCell ref="B215:C218"/>
    <mergeCell ref="E215:F218"/>
    <mergeCell ref="G215:H218"/>
    <mergeCell ref="I215:J218"/>
    <mergeCell ref="L215:L218"/>
    <mergeCell ref="M215:M218"/>
    <mergeCell ref="N215:O218"/>
    <mergeCell ref="R215:S218"/>
    <mergeCell ref="K215:K218"/>
    <mergeCell ref="P215:Q218"/>
    <mergeCell ref="D215:D218"/>
    <mergeCell ref="AR211:AR212"/>
    <mergeCell ref="BC211:BD211"/>
    <mergeCell ref="BR211:BR214"/>
    <mergeCell ref="BS211:BT214"/>
    <mergeCell ref="BU211:BU214"/>
    <mergeCell ref="BV211:BV214"/>
    <mergeCell ref="BW211:BW214"/>
    <mergeCell ref="BC212:BD212"/>
    <mergeCell ref="AC213:AE213"/>
    <mergeCell ref="BC213:BD213"/>
    <mergeCell ref="AC214:AE214"/>
    <mergeCell ref="BC214:BD214"/>
    <mergeCell ref="AI211:AI212"/>
    <mergeCell ref="AJ211:AJ212"/>
    <mergeCell ref="AK211:AK212"/>
    <mergeCell ref="AL211:AL212"/>
    <mergeCell ref="AM211:AM212"/>
    <mergeCell ref="AN211:AN212"/>
    <mergeCell ref="AO211:AO212"/>
    <mergeCell ref="AP211:AP212"/>
    <mergeCell ref="AQ211:AQ212"/>
    <mergeCell ref="T211:U214"/>
    <mergeCell ref="V211:V214"/>
    <mergeCell ref="W211:Y214"/>
    <mergeCell ref="Z211:Z214"/>
    <mergeCell ref="AA211:AB214"/>
    <mergeCell ref="AC211:AE212"/>
    <mergeCell ref="AF211:AF212"/>
    <mergeCell ref="AG211:AG212"/>
    <mergeCell ref="AH211:AH212"/>
    <mergeCell ref="A211:A214"/>
    <mergeCell ref="B211:C214"/>
    <mergeCell ref="E211:F214"/>
    <mergeCell ref="G211:H214"/>
    <mergeCell ref="I211:J214"/>
    <mergeCell ref="L211:L214"/>
    <mergeCell ref="M211:M214"/>
    <mergeCell ref="N211:O214"/>
    <mergeCell ref="R211:S214"/>
    <mergeCell ref="K211:K214"/>
    <mergeCell ref="P211:Q214"/>
    <mergeCell ref="D211:D214"/>
    <mergeCell ref="AR207:AR208"/>
    <mergeCell ref="BC207:BD207"/>
    <mergeCell ref="BR207:BR210"/>
    <mergeCell ref="BS207:BT210"/>
    <mergeCell ref="BU207:BU210"/>
    <mergeCell ref="BV207:BV210"/>
    <mergeCell ref="BW207:BW210"/>
    <mergeCell ref="BC208:BD208"/>
    <mergeCell ref="AC209:AE209"/>
    <mergeCell ref="BC209:BD209"/>
    <mergeCell ref="AC210:AE210"/>
    <mergeCell ref="BC210:BD210"/>
    <mergeCell ref="AI207:AI208"/>
    <mergeCell ref="AJ207:AJ208"/>
    <mergeCell ref="AK207:AK208"/>
    <mergeCell ref="AL207:AL208"/>
    <mergeCell ref="AM207:AM208"/>
    <mergeCell ref="AN207:AN208"/>
    <mergeCell ref="AO207:AO208"/>
    <mergeCell ref="AP207:AP208"/>
    <mergeCell ref="AQ207:AQ208"/>
    <mergeCell ref="T207:U210"/>
    <mergeCell ref="V207:V210"/>
    <mergeCell ref="W207:Y210"/>
    <mergeCell ref="Z207:Z210"/>
    <mergeCell ref="AA207:AB210"/>
    <mergeCell ref="AC207:AE208"/>
    <mergeCell ref="AF207:AF208"/>
    <mergeCell ref="AG207:AG208"/>
    <mergeCell ref="AH207:AH208"/>
    <mergeCell ref="A207:A210"/>
    <mergeCell ref="B207:C210"/>
    <mergeCell ref="E207:F210"/>
    <mergeCell ref="G207:H210"/>
    <mergeCell ref="I207:J210"/>
    <mergeCell ref="L207:L210"/>
    <mergeCell ref="M207:M210"/>
    <mergeCell ref="N207:O210"/>
    <mergeCell ref="R207:S210"/>
    <mergeCell ref="K207:K210"/>
    <mergeCell ref="P207:Q210"/>
    <mergeCell ref="D207:D210"/>
    <mergeCell ref="AR203:AR204"/>
    <mergeCell ref="BC203:BD203"/>
    <mergeCell ref="BR203:BR206"/>
    <mergeCell ref="BS203:BT206"/>
    <mergeCell ref="BU203:BU206"/>
    <mergeCell ref="BV203:BV206"/>
    <mergeCell ref="BW203:BW206"/>
    <mergeCell ref="BC204:BD204"/>
    <mergeCell ref="AC205:AE205"/>
    <mergeCell ref="BC205:BD205"/>
    <mergeCell ref="AC206:AE206"/>
    <mergeCell ref="BC206:BD206"/>
    <mergeCell ref="AI203:AI204"/>
    <mergeCell ref="AJ203:AJ204"/>
    <mergeCell ref="AK203:AK204"/>
    <mergeCell ref="AL203:AL204"/>
    <mergeCell ref="AM203:AM204"/>
    <mergeCell ref="AN203:AN204"/>
    <mergeCell ref="AO203:AO204"/>
    <mergeCell ref="AP203:AP204"/>
    <mergeCell ref="AQ203:AQ204"/>
    <mergeCell ref="T203:U206"/>
    <mergeCell ref="V203:V206"/>
    <mergeCell ref="W203:Y206"/>
    <mergeCell ref="Z203:Z206"/>
    <mergeCell ref="AA203:AB206"/>
    <mergeCell ref="AC203:AE204"/>
    <mergeCell ref="AF203:AF204"/>
    <mergeCell ref="AG203:AG204"/>
    <mergeCell ref="AH203:AH204"/>
    <mergeCell ref="A203:A206"/>
    <mergeCell ref="B203:C206"/>
    <mergeCell ref="E203:F206"/>
    <mergeCell ref="G203:H206"/>
    <mergeCell ref="I203:J206"/>
    <mergeCell ref="L203:L206"/>
    <mergeCell ref="M203:M206"/>
    <mergeCell ref="N203:O206"/>
    <mergeCell ref="R203:S206"/>
    <mergeCell ref="K203:K206"/>
    <mergeCell ref="P203:Q206"/>
    <mergeCell ref="D203:D206"/>
    <mergeCell ref="AR199:AR200"/>
    <mergeCell ref="BC199:BD199"/>
    <mergeCell ref="BR199:BR202"/>
    <mergeCell ref="BS199:BT202"/>
    <mergeCell ref="BU199:BU202"/>
    <mergeCell ref="BV199:BV202"/>
    <mergeCell ref="BW199:BW202"/>
    <mergeCell ref="BC200:BD200"/>
    <mergeCell ref="AC201:AE201"/>
    <mergeCell ref="BC201:BD201"/>
    <mergeCell ref="AC202:AE202"/>
    <mergeCell ref="BC202:BD202"/>
    <mergeCell ref="AI199:AI200"/>
    <mergeCell ref="AJ199:AJ200"/>
    <mergeCell ref="AK199:AK200"/>
    <mergeCell ref="AL199:AL200"/>
    <mergeCell ref="AM199:AM200"/>
    <mergeCell ref="AN199:AN200"/>
    <mergeCell ref="AO199:AO200"/>
    <mergeCell ref="AP199:AP200"/>
    <mergeCell ref="AQ199:AQ200"/>
    <mergeCell ref="T199:U202"/>
    <mergeCell ref="V199:V202"/>
    <mergeCell ref="W199:Y202"/>
    <mergeCell ref="Z199:Z202"/>
    <mergeCell ref="AA199:AB202"/>
    <mergeCell ref="AC199:AE200"/>
    <mergeCell ref="AF199:AF200"/>
    <mergeCell ref="AG199:AG200"/>
    <mergeCell ref="AH199:AH200"/>
    <mergeCell ref="A199:A202"/>
    <mergeCell ref="B199:C202"/>
    <mergeCell ref="E199:F202"/>
    <mergeCell ref="G199:H202"/>
    <mergeCell ref="I199:J202"/>
    <mergeCell ref="L199:L202"/>
    <mergeCell ref="M199:M202"/>
    <mergeCell ref="N199:O202"/>
    <mergeCell ref="R199:S202"/>
    <mergeCell ref="K199:K202"/>
    <mergeCell ref="P199:Q202"/>
    <mergeCell ref="D199:D202"/>
    <mergeCell ref="AR195:AR196"/>
    <mergeCell ref="BC195:BD195"/>
    <mergeCell ref="BR195:BR198"/>
    <mergeCell ref="BS195:BT198"/>
    <mergeCell ref="BU195:BU198"/>
    <mergeCell ref="BV195:BV198"/>
    <mergeCell ref="BW195:BW198"/>
    <mergeCell ref="BC196:BD196"/>
    <mergeCell ref="AC197:AE197"/>
    <mergeCell ref="BC197:BD197"/>
    <mergeCell ref="AC198:AE198"/>
    <mergeCell ref="BC198:BD198"/>
    <mergeCell ref="AI195:AI196"/>
    <mergeCell ref="AJ195:AJ196"/>
    <mergeCell ref="AK195:AK196"/>
    <mergeCell ref="AL195:AL196"/>
    <mergeCell ref="AM195:AM196"/>
    <mergeCell ref="AN195:AN196"/>
    <mergeCell ref="AO195:AO196"/>
    <mergeCell ref="AP195:AP196"/>
    <mergeCell ref="AQ195:AQ196"/>
    <mergeCell ref="T195:U198"/>
    <mergeCell ref="V195:V198"/>
    <mergeCell ref="W195:Y198"/>
    <mergeCell ref="Z195:Z198"/>
    <mergeCell ref="AA195:AB198"/>
    <mergeCell ref="AC195:AE196"/>
    <mergeCell ref="AF195:AF196"/>
    <mergeCell ref="AG195:AG196"/>
    <mergeCell ref="AH195:AH196"/>
    <mergeCell ref="A195:A198"/>
    <mergeCell ref="B195:C198"/>
    <mergeCell ref="E195:F198"/>
    <mergeCell ref="G195:H198"/>
    <mergeCell ref="I195:J198"/>
    <mergeCell ref="L195:L198"/>
    <mergeCell ref="M195:M198"/>
    <mergeCell ref="N195:O198"/>
    <mergeCell ref="R195:S198"/>
    <mergeCell ref="K195:K198"/>
    <mergeCell ref="P195:Q198"/>
    <mergeCell ref="D195:D198"/>
    <mergeCell ref="AR191:AR192"/>
    <mergeCell ref="BC191:BD191"/>
    <mergeCell ref="BR191:BR194"/>
    <mergeCell ref="BS191:BT194"/>
    <mergeCell ref="BU191:BU194"/>
    <mergeCell ref="BV191:BV194"/>
    <mergeCell ref="BW191:BW194"/>
    <mergeCell ref="BC192:BD192"/>
    <mergeCell ref="AC193:AE193"/>
    <mergeCell ref="BC193:BD193"/>
    <mergeCell ref="AC194:AE194"/>
    <mergeCell ref="BC194:BD194"/>
    <mergeCell ref="AI191:AI192"/>
    <mergeCell ref="AJ191:AJ192"/>
    <mergeCell ref="AK191:AK192"/>
    <mergeCell ref="AL191:AL192"/>
    <mergeCell ref="AM191:AM192"/>
    <mergeCell ref="AN191:AN192"/>
    <mergeCell ref="AO191:AO192"/>
    <mergeCell ref="AP191:AP192"/>
    <mergeCell ref="AQ191:AQ192"/>
    <mergeCell ref="T191:U194"/>
    <mergeCell ref="V191:V194"/>
    <mergeCell ref="W191:Y194"/>
    <mergeCell ref="Z191:Z194"/>
    <mergeCell ref="AA191:AB194"/>
    <mergeCell ref="AC191:AE192"/>
    <mergeCell ref="AF191:AF192"/>
    <mergeCell ref="AG191:AG192"/>
    <mergeCell ref="AH191:AH192"/>
    <mergeCell ref="A191:A194"/>
    <mergeCell ref="B191:C194"/>
    <mergeCell ref="E191:F194"/>
    <mergeCell ref="G191:H194"/>
    <mergeCell ref="I191:J194"/>
    <mergeCell ref="L191:L194"/>
    <mergeCell ref="M191:M194"/>
    <mergeCell ref="N191:O194"/>
    <mergeCell ref="R191:S194"/>
    <mergeCell ref="K191:K194"/>
    <mergeCell ref="P191:Q194"/>
    <mergeCell ref="D191:D194"/>
    <mergeCell ref="AR187:AR188"/>
    <mergeCell ref="BC187:BD187"/>
    <mergeCell ref="BR187:BR190"/>
    <mergeCell ref="BS187:BT190"/>
    <mergeCell ref="BU187:BU190"/>
    <mergeCell ref="BV187:BV190"/>
    <mergeCell ref="BW187:BW190"/>
    <mergeCell ref="BC188:BD188"/>
    <mergeCell ref="AC189:AE189"/>
    <mergeCell ref="BC189:BD189"/>
    <mergeCell ref="AC190:AE190"/>
    <mergeCell ref="BC190:BD190"/>
    <mergeCell ref="AI187:AI188"/>
    <mergeCell ref="AJ187:AJ188"/>
    <mergeCell ref="AK187:AK188"/>
    <mergeCell ref="AL187:AL188"/>
    <mergeCell ref="AM187:AM188"/>
    <mergeCell ref="AN187:AN188"/>
    <mergeCell ref="AO187:AO188"/>
    <mergeCell ref="AP187:AP188"/>
    <mergeCell ref="AQ187:AQ188"/>
    <mergeCell ref="T187:U190"/>
    <mergeCell ref="V187:V190"/>
    <mergeCell ref="W187:Y190"/>
    <mergeCell ref="Z187:Z190"/>
    <mergeCell ref="AA187:AB190"/>
    <mergeCell ref="AC187:AE188"/>
    <mergeCell ref="AF187:AF188"/>
    <mergeCell ref="AG187:AG188"/>
    <mergeCell ref="AH187:AH188"/>
    <mergeCell ref="A187:A190"/>
    <mergeCell ref="B187:C190"/>
    <mergeCell ref="E187:F190"/>
    <mergeCell ref="G187:H190"/>
    <mergeCell ref="I187:J190"/>
    <mergeCell ref="L187:L190"/>
    <mergeCell ref="M187:M190"/>
    <mergeCell ref="N187:O190"/>
    <mergeCell ref="R187:S190"/>
    <mergeCell ref="K187:K190"/>
    <mergeCell ref="P187:Q190"/>
    <mergeCell ref="D187:D190"/>
    <mergeCell ref="AR183:AR184"/>
    <mergeCell ref="BC183:BD183"/>
    <mergeCell ref="BR183:BR186"/>
    <mergeCell ref="BS183:BT186"/>
    <mergeCell ref="BU183:BU186"/>
    <mergeCell ref="BV183:BV186"/>
    <mergeCell ref="BW183:BW186"/>
    <mergeCell ref="BC184:BD184"/>
    <mergeCell ref="AC185:AE185"/>
    <mergeCell ref="BC185:BD185"/>
    <mergeCell ref="AC186:AE186"/>
    <mergeCell ref="BC186:BD186"/>
    <mergeCell ref="AI183:AI184"/>
    <mergeCell ref="AJ183:AJ184"/>
    <mergeCell ref="AK183:AK184"/>
    <mergeCell ref="AL183:AL184"/>
    <mergeCell ref="AM183:AM184"/>
    <mergeCell ref="AN183:AN184"/>
    <mergeCell ref="AO183:AO184"/>
    <mergeCell ref="AP183:AP184"/>
    <mergeCell ref="AQ183:AQ184"/>
    <mergeCell ref="T183:U186"/>
    <mergeCell ref="V183:V186"/>
    <mergeCell ref="W183:Y186"/>
    <mergeCell ref="Z183:Z186"/>
    <mergeCell ref="AA183:AB186"/>
    <mergeCell ref="AC183:AE184"/>
    <mergeCell ref="AF183:AF184"/>
    <mergeCell ref="AG183:AG184"/>
    <mergeCell ref="AH183:AH184"/>
    <mergeCell ref="A183:A186"/>
    <mergeCell ref="B183:C186"/>
    <mergeCell ref="E183:F186"/>
    <mergeCell ref="G183:H186"/>
    <mergeCell ref="I183:J186"/>
    <mergeCell ref="L183:L186"/>
    <mergeCell ref="M183:M186"/>
    <mergeCell ref="N183:O186"/>
    <mergeCell ref="R183:S186"/>
    <mergeCell ref="K183:K186"/>
    <mergeCell ref="P183:Q186"/>
    <mergeCell ref="D183:D186"/>
    <mergeCell ref="AR179:AR180"/>
    <mergeCell ref="BC179:BD179"/>
    <mergeCell ref="BR179:BR182"/>
    <mergeCell ref="BS179:BT182"/>
    <mergeCell ref="BU179:BU182"/>
    <mergeCell ref="BV179:BV182"/>
    <mergeCell ref="BW179:BW182"/>
    <mergeCell ref="BC180:BD180"/>
    <mergeCell ref="AC181:AE181"/>
    <mergeCell ref="BC181:BD181"/>
    <mergeCell ref="AC182:AE182"/>
    <mergeCell ref="BC182:BD182"/>
    <mergeCell ref="AI179:AI180"/>
    <mergeCell ref="AJ179:AJ180"/>
    <mergeCell ref="AK179:AK180"/>
    <mergeCell ref="AL179:AL180"/>
    <mergeCell ref="AM179:AM180"/>
    <mergeCell ref="AN179:AN180"/>
    <mergeCell ref="AO179:AO180"/>
    <mergeCell ref="AP179:AP180"/>
    <mergeCell ref="AQ179:AQ180"/>
    <mergeCell ref="T179:U182"/>
    <mergeCell ref="V179:V182"/>
    <mergeCell ref="W179:Y182"/>
    <mergeCell ref="Z179:Z182"/>
    <mergeCell ref="AA179:AB182"/>
    <mergeCell ref="AC179:AE180"/>
    <mergeCell ref="AF179:AF180"/>
    <mergeCell ref="AG179:AG180"/>
    <mergeCell ref="AH179:AH180"/>
    <mergeCell ref="A179:A182"/>
    <mergeCell ref="B179:C182"/>
    <mergeCell ref="E179:F182"/>
    <mergeCell ref="G179:H182"/>
    <mergeCell ref="I179:J182"/>
    <mergeCell ref="L179:L182"/>
    <mergeCell ref="M179:M182"/>
    <mergeCell ref="N179:O182"/>
    <mergeCell ref="R179:S182"/>
    <mergeCell ref="K179:K182"/>
    <mergeCell ref="P179:Q182"/>
    <mergeCell ref="D179:D182"/>
    <mergeCell ref="AR175:AR176"/>
    <mergeCell ref="BC175:BD175"/>
    <mergeCell ref="BR175:BR178"/>
    <mergeCell ref="BS175:BT178"/>
    <mergeCell ref="BU175:BU178"/>
    <mergeCell ref="BV175:BV178"/>
    <mergeCell ref="BW175:BW178"/>
    <mergeCell ref="BC176:BD176"/>
    <mergeCell ref="AC177:AE177"/>
    <mergeCell ref="BC177:BD177"/>
    <mergeCell ref="AC178:AE178"/>
    <mergeCell ref="BC178:BD178"/>
    <mergeCell ref="AI175:AI176"/>
    <mergeCell ref="AJ175:AJ176"/>
    <mergeCell ref="AK175:AK176"/>
    <mergeCell ref="AL175:AL176"/>
    <mergeCell ref="AM175:AM176"/>
    <mergeCell ref="AN175:AN176"/>
    <mergeCell ref="AO175:AO176"/>
    <mergeCell ref="AP175:AP176"/>
    <mergeCell ref="AQ175:AQ176"/>
    <mergeCell ref="T175:U178"/>
    <mergeCell ref="V175:V178"/>
    <mergeCell ref="W175:Y178"/>
    <mergeCell ref="Z175:Z178"/>
    <mergeCell ref="AA175:AB178"/>
    <mergeCell ref="AC175:AE176"/>
    <mergeCell ref="AF175:AF176"/>
    <mergeCell ref="AG175:AG176"/>
    <mergeCell ref="AH175:AH176"/>
    <mergeCell ref="A175:A178"/>
    <mergeCell ref="B175:C178"/>
    <mergeCell ref="E175:F178"/>
    <mergeCell ref="G175:H178"/>
    <mergeCell ref="I175:J178"/>
    <mergeCell ref="L175:L178"/>
    <mergeCell ref="M175:M178"/>
    <mergeCell ref="N175:O178"/>
    <mergeCell ref="R175:S178"/>
    <mergeCell ref="K175:K178"/>
    <mergeCell ref="P175:Q178"/>
    <mergeCell ref="D175:D178"/>
    <mergeCell ref="AR171:AR172"/>
    <mergeCell ref="BC171:BD171"/>
    <mergeCell ref="BR171:BR174"/>
    <mergeCell ref="BS171:BT174"/>
    <mergeCell ref="BU171:BU174"/>
    <mergeCell ref="BV171:BV174"/>
    <mergeCell ref="BW171:BW174"/>
    <mergeCell ref="BC172:BD172"/>
    <mergeCell ref="AC173:AE173"/>
    <mergeCell ref="BC173:BD173"/>
    <mergeCell ref="AC174:AE174"/>
    <mergeCell ref="BC174:BD174"/>
    <mergeCell ref="AI171:AI172"/>
    <mergeCell ref="AJ171:AJ172"/>
    <mergeCell ref="AK171:AK172"/>
    <mergeCell ref="AL171:AL172"/>
    <mergeCell ref="AM171:AM172"/>
    <mergeCell ref="AN171:AN172"/>
    <mergeCell ref="AO171:AO172"/>
    <mergeCell ref="AP171:AP172"/>
    <mergeCell ref="AQ171:AQ172"/>
    <mergeCell ref="T171:U174"/>
    <mergeCell ref="V171:V174"/>
    <mergeCell ref="W171:Y174"/>
    <mergeCell ref="Z171:Z174"/>
    <mergeCell ref="AA171:AB174"/>
    <mergeCell ref="AC171:AE172"/>
    <mergeCell ref="AF171:AF172"/>
    <mergeCell ref="AG171:AG172"/>
    <mergeCell ref="AH171:AH172"/>
    <mergeCell ref="A171:A174"/>
    <mergeCell ref="B171:C174"/>
    <mergeCell ref="E171:F174"/>
    <mergeCell ref="G171:H174"/>
    <mergeCell ref="I171:J174"/>
    <mergeCell ref="L171:L174"/>
    <mergeCell ref="M171:M174"/>
    <mergeCell ref="N171:O174"/>
    <mergeCell ref="R171:S174"/>
    <mergeCell ref="K171:K174"/>
    <mergeCell ref="P171:Q174"/>
    <mergeCell ref="D171:D174"/>
    <mergeCell ref="AR167:AR168"/>
    <mergeCell ref="BC167:BD167"/>
    <mergeCell ref="BR167:BR170"/>
    <mergeCell ref="BS167:BT170"/>
    <mergeCell ref="BU167:BU170"/>
    <mergeCell ref="BV167:BV170"/>
    <mergeCell ref="BW167:BW170"/>
    <mergeCell ref="BC168:BD168"/>
    <mergeCell ref="AC169:AE169"/>
    <mergeCell ref="BC169:BD169"/>
    <mergeCell ref="AC170:AE170"/>
    <mergeCell ref="BC170:BD170"/>
    <mergeCell ref="AI167:AI168"/>
    <mergeCell ref="AJ167:AJ168"/>
    <mergeCell ref="AK167:AK168"/>
    <mergeCell ref="AL167:AL168"/>
    <mergeCell ref="AM167:AM168"/>
    <mergeCell ref="AN167:AN168"/>
    <mergeCell ref="AO167:AO168"/>
    <mergeCell ref="AP167:AP168"/>
    <mergeCell ref="AQ167:AQ168"/>
    <mergeCell ref="T167:U170"/>
    <mergeCell ref="V167:V170"/>
    <mergeCell ref="W167:Y170"/>
    <mergeCell ref="Z167:Z170"/>
    <mergeCell ref="AA167:AB170"/>
    <mergeCell ref="AC167:AE168"/>
    <mergeCell ref="AF167:AF168"/>
    <mergeCell ref="AG167:AG168"/>
    <mergeCell ref="AH167:AH168"/>
    <mergeCell ref="A167:A170"/>
    <mergeCell ref="B167:C170"/>
    <mergeCell ref="E167:F170"/>
    <mergeCell ref="G167:H170"/>
    <mergeCell ref="I167:J170"/>
    <mergeCell ref="L167:L170"/>
    <mergeCell ref="M167:M170"/>
    <mergeCell ref="N167:O170"/>
    <mergeCell ref="R167:S170"/>
    <mergeCell ref="K167:K170"/>
    <mergeCell ref="P167:Q170"/>
    <mergeCell ref="D167:D170"/>
    <mergeCell ref="AR163:AR164"/>
    <mergeCell ref="BC163:BD163"/>
    <mergeCell ref="BR163:BR166"/>
    <mergeCell ref="BS163:BT166"/>
    <mergeCell ref="BU163:BU166"/>
    <mergeCell ref="BV163:BV166"/>
    <mergeCell ref="BW163:BW166"/>
    <mergeCell ref="BC164:BD164"/>
    <mergeCell ref="AC165:AE165"/>
    <mergeCell ref="BC165:BD165"/>
    <mergeCell ref="AC166:AE166"/>
    <mergeCell ref="BC166:BD166"/>
    <mergeCell ref="AI163:AI164"/>
    <mergeCell ref="AJ163:AJ164"/>
    <mergeCell ref="AK163:AK164"/>
    <mergeCell ref="AL163:AL164"/>
    <mergeCell ref="AM163:AM164"/>
    <mergeCell ref="AN163:AN164"/>
    <mergeCell ref="AO163:AO164"/>
    <mergeCell ref="AP163:AP164"/>
    <mergeCell ref="AQ163:AQ164"/>
    <mergeCell ref="T163:U166"/>
    <mergeCell ref="V163:V166"/>
    <mergeCell ref="W163:Y166"/>
    <mergeCell ref="Z163:Z166"/>
    <mergeCell ref="AA163:AB166"/>
    <mergeCell ref="AC163:AE164"/>
    <mergeCell ref="AF163:AF164"/>
    <mergeCell ref="AG163:AG164"/>
    <mergeCell ref="AH163:AH164"/>
    <mergeCell ref="A163:A166"/>
    <mergeCell ref="B163:C166"/>
    <mergeCell ref="E163:F166"/>
    <mergeCell ref="G163:H166"/>
    <mergeCell ref="I163:J166"/>
    <mergeCell ref="L163:L166"/>
    <mergeCell ref="M163:M166"/>
    <mergeCell ref="N163:O166"/>
    <mergeCell ref="R163:S166"/>
    <mergeCell ref="K163:K166"/>
    <mergeCell ref="P163:Q166"/>
    <mergeCell ref="D163:D166"/>
    <mergeCell ref="AR159:AR160"/>
    <mergeCell ref="BC159:BD159"/>
    <mergeCell ref="BR159:BR162"/>
    <mergeCell ref="BS159:BT162"/>
    <mergeCell ref="BU159:BU162"/>
    <mergeCell ref="BV159:BV162"/>
    <mergeCell ref="BW159:BW162"/>
    <mergeCell ref="BC160:BD160"/>
    <mergeCell ref="AC161:AE161"/>
    <mergeCell ref="BC161:BD161"/>
    <mergeCell ref="AC162:AE162"/>
    <mergeCell ref="BC162:BD162"/>
    <mergeCell ref="AI159:AI160"/>
    <mergeCell ref="AJ159:AJ160"/>
    <mergeCell ref="AK159:AK160"/>
    <mergeCell ref="AL159:AL160"/>
    <mergeCell ref="AM159:AM160"/>
    <mergeCell ref="AN159:AN160"/>
    <mergeCell ref="AO159:AO160"/>
    <mergeCell ref="AP159:AP160"/>
    <mergeCell ref="AQ159:AQ160"/>
    <mergeCell ref="T159:U162"/>
    <mergeCell ref="V159:V162"/>
    <mergeCell ref="W159:Y162"/>
    <mergeCell ref="Z159:Z162"/>
    <mergeCell ref="AA159:AB162"/>
    <mergeCell ref="AC159:AE160"/>
    <mergeCell ref="AF159:AF160"/>
    <mergeCell ref="AG159:AG160"/>
    <mergeCell ref="AH159:AH160"/>
    <mergeCell ref="A159:A162"/>
    <mergeCell ref="B159:C162"/>
    <mergeCell ref="E159:F162"/>
    <mergeCell ref="G159:H162"/>
    <mergeCell ref="I159:J162"/>
    <mergeCell ref="L159:L162"/>
    <mergeCell ref="M159:M162"/>
    <mergeCell ref="N159:O162"/>
    <mergeCell ref="R159:S162"/>
    <mergeCell ref="K159:K162"/>
    <mergeCell ref="P159:Q162"/>
    <mergeCell ref="D159:D162"/>
    <mergeCell ref="AR155:AR156"/>
    <mergeCell ref="BC155:BD155"/>
    <mergeCell ref="BR155:BR158"/>
    <mergeCell ref="BS155:BT158"/>
    <mergeCell ref="BU155:BU158"/>
    <mergeCell ref="BV155:BV158"/>
    <mergeCell ref="BW155:BW158"/>
    <mergeCell ref="BC156:BD156"/>
    <mergeCell ref="AC157:AE157"/>
    <mergeCell ref="BC157:BD157"/>
    <mergeCell ref="AC158:AE158"/>
    <mergeCell ref="BC158:BD158"/>
    <mergeCell ref="AI155:AI156"/>
    <mergeCell ref="AJ155:AJ156"/>
    <mergeCell ref="AK155:AK156"/>
    <mergeCell ref="AL155:AL156"/>
    <mergeCell ref="AM155:AM156"/>
    <mergeCell ref="AN155:AN156"/>
    <mergeCell ref="AO155:AO156"/>
    <mergeCell ref="AP155:AP156"/>
    <mergeCell ref="AQ155:AQ156"/>
    <mergeCell ref="T155:U158"/>
    <mergeCell ref="V155:V158"/>
    <mergeCell ref="W155:Y158"/>
    <mergeCell ref="Z155:Z158"/>
    <mergeCell ref="AA155:AB158"/>
    <mergeCell ref="AC155:AE156"/>
    <mergeCell ref="AF155:AF156"/>
    <mergeCell ref="AG155:AG156"/>
    <mergeCell ref="AH155:AH156"/>
    <mergeCell ref="A155:A158"/>
    <mergeCell ref="B155:C158"/>
    <mergeCell ref="E155:F158"/>
    <mergeCell ref="G155:H158"/>
    <mergeCell ref="I155:J158"/>
    <mergeCell ref="L155:L158"/>
    <mergeCell ref="M155:M158"/>
    <mergeCell ref="N155:O158"/>
    <mergeCell ref="R155:S158"/>
    <mergeCell ref="K155:K158"/>
    <mergeCell ref="P155:Q158"/>
    <mergeCell ref="D155:D158"/>
    <mergeCell ref="AR151:AR152"/>
    <mergeCell ref="BC151:BD151"/>
    <mergeCell ref="BR151:BR154"/>
    <mergeCell ref="BS151:BT154"/>
    <mergeCell ref="BU151:BU154"/>
    <mergeCell ref="BV151:BV154"/>
    <mergeCell ref="BW151:BW154"/>
    <mergeCell ref="BC152:BD152"/>
    <mergeCell ref="AC153:AE153"/>
    <mergeCell ref="BC153:BD153"/>
    <mergeCell ref="AC154:AE154"/>
    <mergeCell ref="BC154:BD154"/>
    <mergeCell ref="AI151:AI152"/>
    <mergeCell ref="AJ151:AJ152"/>
    <mergeCell ref="AK151:AK152"/>
    <mergeCell ref="AL151:AL152"/>
    <mergeCell ref="AM151:AM152"/>
    <mergeCell ref="AN151:AN152"/>
    <mergeCell ref="AO151:AO152"/>
    <mergeCell ref="AP151:AP152"/>
    <mergeCell ref="AQ151:AQ152"/>
    <mergeCell ref="T151:U154"/>
    <mergeCell ref="V151:V154"/>
    <mergeCell ref="W151:Y154"/>
    <mergeCell ref="Z151:Z154"/>
    <mergeCell ref="AA151:AB154"/>
    <mergeCell ref="AC151:AE152"/>
    <mergeCell ref="AF151:AF152"/>
    <mergeCell ref="AG151:AG152"/>
    <mergeCell ref="AH151:AH152"/>
    <mergeCell ref="A151:A154"/>
    <mergeCell ref="B151:C154"/>
    <mergeCell ref="E151:F154"/>
    <mergeCell ref="G151:H154"/>
    <mergeCell ref="I151:J154"/>
    <mergeCell ref="L151:L154"/>
    <mergeCell ref="M151:M154"/>
    <mergeCell ref="N151:O154"/>
    <mergeCell ref="R151:S154"/>
    <mergeCell ref="K151:K154"/>
    <mergeCell ref="P151:Q154"/>
    <mergeCell ref="D151:D154"/>
    <mergeCell ref="AR147:AR148"/>
    <mergeCell ref="BC147:BD147"/>
    <mergeCell ref="BR147:BR150"/>
    <mergeCell ref="BS147:BT150"/>
    <mergeCell ref="BU147:BU150"/>
    <mergeCell ref="BV147:BV150"/>
    <mergeCell ref="BW147:BW150"/>
    <mergeCell ref="BC148:BD148"/>
    <mergeCell ref="AC149:AE149"/>
    <mergeCell ref="BC149:BD149"/>
    <mergeCell ref="AC150:AE150"/>
    <mergeCell ref="BC150:BD150"/>
    <mergeCell ref="AI147:AI148"/>
    <mergeCell ref="AJ147:AJ148"/>
    <mergeCell ref="AK147:AK148"/>
    <mergeCell ref="AL147:AL148"/>
    <mergeCell ref="AM147:AM148"/>
    <mergeCell ref="AN147:AN148"/>
    <mergeCell ref="AO147:AO148"/>
    <mergeCell ref="AP147:AP148"/>
    <mergeCell ref="AQ147:AQ148"/>
    <mergeCell ref="T147:U150"/>
    <mergeCell ref="V147:V150"/>
    <mergeCell ref="W147:Y150"/>
    <mergeCell ref="Z147:Z150"/>
    <mergeCell ref="AA147:AB150"/>
    <mergeCell ref="AC147:AE148"/>
    <mergeCell ref="AF147:AF148"/>
    <mergeCell ref="AG147:AG148"/>
    <mergeCell ref="AH147:AH148"/>
    <mergeCell ref="A147:A150"/>
    <mergeCell ref="B147:C150"/>
    <mergeCell ref="E147:F150"/>
    <mergeCell ref="G147:H150"/>
    <mergeCell ref="I147:J150"/>
    <mergeCell ref="L147:L150"/>
    <mergeCell ref="M147:M150"/>
    <mergeCell ref="N147:O150"/>
    <mergeCell ref="R147:S150"/>
    <mergeCell ref="K147:K150"/>
    <mergeCell ref="P147:Q150"/>
    <mergeCell ref="D147:D150"/>
    <mergeCell ref="AR143:AR144"/>
    <mergeCell ref="BC143:BD143"/>
    <mergeCell ref="BR143:BR146"/>
    <mergeCell ref="BS143:BT146"/>
    <mergeCell ref="BU143:BU146"/>
    <mergeCell ref="BV143:BV146"/>
    <mergeCell ref="BW143:BW146"/>
    <mergeCell ref="BC144:BD144"/>
    <mergeCell ref="AC145:AE145"/>
    <mergeCell ref="BC145:BD145"/>
    <mergeCell ref="AC146:AE146"/>
    <mergeCell ref="BC146:BD146"/>
    <mergeCell ref="AI143:AI144"/>
    <mergeCell ref="AJ143:AJ144"/>
    <mergeCell ref="AK143:AK144"/>
    <mergeCell ref="AL143:AL144"/>
    <mergeCell ref="AM143:AM144"/>
    <mergeCell ref="AN143:AN144"/>
    <mergeCell ref="AO143:AO144"/>
    <mergeCell ref="AP143:AP144"/>
    <mergeCell ref="AQ143:AQ144"/>
    <mergeCell ref="T143:U146"/>
    <mergeCell ref="V143:V146"/>
    <mergeCell ref="W143:Y146"/>
    <mergeCell ref="Z143:Z146"/>
    <mergeCell ref="AA143:AB146"/>
    <mergeCell ref="AC143:AE144"/>
    <mergeCell ref="AF143:AF144"/>
    <mergeCell ref="AG143:AG144"/>
    <mergeCell ref="AH143:AH144"/>
    <mergeCell ref="A143:A146"/>
    <mergeCell ref="B143:C146"/>
    <mergeCell ref="E143:F146"/>
    <mergeCell ref="G143:H146"/>
    <mergeCell ref="I143:J146"/>
    <mergeCell ref="L143:L146"/>
    <mergeCell ref="M143:M146"/>
    <mergeCell ref="N143:O146"/>
    <mergeCell ref="R143:S146"/>
    <mergeCell ref="K143:K146"/>
    <mergeCell ref="P143:Q146"/>
    <mergeCell ref="BR139:BR142"/>
    <mergeCell ref="BS139:BT142"/>
    <mergeCell ref="BU139:BU142"/>
    <mergeCell ref="BV139:BV142"/>
    <mergeCell ref="BW139:BW142"/>
    <mergeCell ref="BC140:BD140"/>
    <mergeCell ref="AC141:AE141"/>
    <mergeCell ref="BC141:BD141"/>
    <mergeCell ref="AC142:AE142"/>
    <mergeCell ref="BC142:BD142"/>
    <mergeCell ref="AI139:AI140"/>
    <mergeCell ref="AJ139:AJ140"/>
    <mergeCell ref="AK139:AK140"/>
    <mergeCell ref="AL139:AL140"/>
    <mergeCell ref="AM139:AM140"/>
    <mergeCell ref="AN139:AN140"/>
    <mergeCell ref="AO139:AO140"/>
    <mergeCell ref="AP139:AP140"/>
    <mergeCell ref="AQ139:AQ140"/>
    <mergeCell ref="T139:U142"/>
    <mergeCell ref="V139:V142"/>
    <mergeCell ref="W139:Y142"/>
    <mergeCell ref="Z139:Z142"/>
    <mergeCell ref="AA139:AB142"/>
    <mergeCell ref="AC139:AE140"/>
    <mergeCell ref="AF139:AF140"/>
    <mergeCell ref="AG139:AG140"/>
    <mergeCell ref="AH139:AH140"/>
    <mergeCell ref="A139:A142"/>
    <mergeCell ref="B139:C142"/>
    <mergeCell ref="E139:F142"/>
    <mergeCell ref="G139:H142"/>
    <mergeCell ref="I139:J142"/>
    <mergeCell ref="L139:L142"/>
    <mergeCell ref="M139:M142"/>
    <mergeCell ref="N139:O142"/>
    <mergeCell ref="R139:S142"/>
    <mergeCell ref="K139:K142"/>
    <mergeCell ref="P139:Q142"/>
    <mergeCell ref="BR135:BR138"/>
    <mergeCell ref="BS135:BT138"/>
    <mergeCell ref="BU135:BU138"/>
    <mergeCell ref="BV135:BV138"/>
    <mergeCell ref="BW135:BW138"/>
    <mergeCell ref="BC136:BD136"/>
    <mergeCell ref="AC137:AE137"/>
    <mergeCell ref="BC137:BD137"/>
    <mergeCell ref="AC138:AE138"/>
    <mergeCell ref="BC138:BD138"/>
    <mergeCell ref="AI135:AI136"/>
    <mergeCell ref="AJ135:AJ136"/>
    <mergeCell ref="AK135:AK136"/>
    <mergeCell ref="AL135:AL136"/>
    <mergeCell ref="AM135:AM136"/>
    <mergeCell ref="AN135:AN136"/>
    <mergeCell ref="AO135:AO136"/>
    <mergeCell ref="AP135:AP136"/>
    <mergeCell ref="AQ135:AQ136"/>
    <mergeCell ref="T135:U138"/>
    <mergeCell ref="V135:V138"/>
    <mergeCell ref="W135:Y138"/>
    <mergeCell ref="Z135:Z138"/>
    <mergeCell ref="AA135:AB138"/>
    <mergeCell ref="AC135:AE136"/>
    <mergeCell ref="AF135:AF136"/>
    <mergeCell ref="AG135:AG136"/>
    <mergeCell ref="AH135:AH136"/>
    <mergeCell ref="A135:A138"/>
    <mergeCell ref="B135:C138"/>
    <mergeCell ref="E135:F138"/>
    <mergeCell ref="G135:H138"/>
    <mergeCell ref="I135:J138"/>
    <mergeCell ref="L135:L138"/>
    <mergeCell ref="M135:M138"/>
    <mergeCell ref="N135:O138"/>
    <mergeCell ref="R135:S138"/>
    <mergeCell ref="K135:K138"/>
    <mergeCell ref="P135:Q138"/>
    <mergeCell ref="BR131:BR134"/>
    <mergeCell ref="BS131:BT134"/>
    <mergeCell ref="BU131:BU134"/>
    <mergeCell ref="BV131:BV134"/>
    <mergeCell ref="BW131:BW134"/>
    <mergeCell ref="BC132:BD132"/>
    <mergeCell ref="AC133:AE133"/>
    <mergeCell ref="BC133:BD133"/>
    <mergeCell ref="AC134:AE134"/>
    <mergeCell ref="BC134:BD134"/>
    <mergeCell ref="AI131:AI132"/>
    <mergeCell ref="AJ131:AJ132"/>
    <mergeCell ref="AK131:AK132"/>
    <mergeCell ref="AL131:AL132"/>
    <mergeCell ref="AM131:AM132"/>
    <mergeCell ref="AN131:AN132"/>
    <mergeCell ref="AO131:AO132"/>
    <mergeCell ref="AP131:AP132"/>
    <mergeCell ref="AQ131:AQ132"/>
    <mergeCell ref="T131:U134"/>
    <mergeCell ref="V131:V134"/>
    <mergeCell ref="W131:Y134"/>
    <mergeCell ref="Z131:Z134"/>
    <mergeCell ref="AA131:AB134"/>
    <mergeCell ref="AC131:AE132"/>
    <mergeCell ref="AF131:AF132"/>
    <mergeCell ref="AG131:AG132"/>
    <mergeCell ref="AH131:AH132"/>
    <mergeCell ref="A131:A134"/>
    <mergeCell ref="B131:C134"/>
    <mergeCell ref="E131:F134"/>
    <mergeCell ref="G131:H134"/>
    <mergeCell ref="I131:J134"/>
    <mergeCell ref="L131:L134"/>
    <mergeCell ref="M131:M134"/>
    <mergeCell ref="N131:O134"/>
    <mergeCell ref="R131:S134"/>
    <mergeCell ref="K131:K134"/>
    <mergeCell ref="P131:Q134"/>
    <mergeCell ref="BR127:BR130"/>
    <mergeCell ref="BS127:BT130"/>
    <mergeCell ref="BU127:BU130"/>
    <mergeCell ref="BV127:BV130"/>
    <mergeCell ref="BW127:BW130"/>
    <mergeCell ref="BC128:BD128"/>
    <mergeCell ref="AC129:AE129"/>
    <mergeCell ref="BC129:BD129"/>
    <mergeCell ref="AC130:AE130"/>
    <mergeCell ref="BC130:BD130"/>
    <mergeCell ref="AI127:AI128"/>
    <mergeCell ref="AJ127:AJ128"/>
    <mergeCell ref="AK127:AK128"/>
    <mergeCell ref="AL127:AL128"/>
    <mergeCell ref="AM127:AM128"/>
    <mergeCell ref="AN127:AN128"/>
    <mergeCell ref="AO127:AO128"/>
    <mergeCell ref="AP127:AP128"/>
    <mergeCell ref="AQ127:AQ128"/>
    <mergeCell ref="T127:U130"/>
    <mergeCell ref="V127:V130"/>
    <mergeCell ref="W127:Y130"/>
    <mergeCell ref="Z127:Z130"/>
    <mergeCell ref="AA127:AB130"/>
    <mergeCell ref="AC127:AE128"/>
    <mergeCell ref="AF127:AF128"/>
    <mergeCell ref="AG127:AG128"/>
    <mergeCell ref="AH127:AH128"/>
    <mergeCell ref="A127:A130"/>
    <mergeCell ref="B127:C130"/>
    <mergeCell ref="E127:F130"/>
    <mergeCell ref="G127:H130"/>
    <mergeCell ref="I127:J130"/>
    <mergeCell ref="L127:L130"/>
    <mergeCell ref="M127:M130"/>
    <mergeCell ref="N127:O130"/>
    <mergeCell ref="R127:S130"/>
    <mergeCell ref="K127:K130"/>
    <mergeCell ref="P127:Q130"/>
    <mergeCell ref="BR123:BR126"/>
    <mergeCell ref="BS123:BT126"/>
    <mergeCell ref="BU123:BU126"/>
    <mergeCell ref="BV123:BV126"/>
    <mergeCell ref="BW123:BW126"/>
    <mergeCell ref="BC124:BD124"/>
    <mergeCell ref="AC125:AE125"/>
    <mergeCell ref="BC125:BD125"/>
    <mergeCell ref="AC126:AE126"/>
    <mergeCell ref="BC126:BD126"/>
    <mergeCell ref="AI123:AI124"/>
    <mergeCell ref="AJ123:AJ124"/>
    <mergeCell ref="AK123:AK124"/>
    <mergeCell ref="AL123:AL124"/>
    <mergeCell ref="AM123:AM124"/>
    <mergeCell ref="AN123:AN124"/>
    <mergeCell ref="AO123:AO124"/>
    <mergeCell ref="AP123:AP124"/>
    <mergeCell ref="AQ123:AQ124"/>
    <mergeCell ref="T123:U126"/>
    <mergeCell ref="V123:V126"/>
    <mergeCell ref="W123:Y126"/>
    <mergeCell ref="Z123:Z126"/>
    <mergeCell ref="AA123:AB126"/>
    <mergeCell ref="AC123:AE124"/>
    <mergeCell ref="AF123:AF124"/>
    <mergeCell ref="AG123:AG124"/>
    <mergeCell ref="AH123:AH124"/>
    <mergeCell ref="A123:A126"/>
    <mergeCell ref="B123:C126"/>
    <mergeCell ref="E123:F126"/>
    <mergeCell ref="G123:H126"/>
    <mergeCell ref="I123:J126"/>
    <mergeCell ref="L123:L126"/>
    <mergeCell ref="M123:M126"/>
    <mergeCell ref="N123:O126"/>
    <mergeCell ref="R123:S126"/>
    <mergeCell ref="K123:K126"/>
    <mergeCell ref="P123:Q126"/>
    <mergeCell ref="BR119:BR122"/>
    <mergeCell ref="BS119:BT122"/>
    <mergeCell ref="BU119:BU122"/>
    <mergeCell ref="BV119:BV122"/>
    <mergeCell ref="BW119:BW122"/>
    <mergeCell ref="BC120:BD120"/>
    <mergeCell ref="AC121:AE121"/>
    <mergeCell ref="BC121:BD121"/>
    <mergeCell ref="AC122:AE122"/>
    <mergeCell ref="BC122:BD122"/>
    <mergeCell ref="AI119:AI120"/>
    <mergeCell ref="AJ119:AJ120"/>
    <mergeCell ref="AK119:AK120"/>
    <mergeCell ref="AL119:AL120"/>
    <mergeCell ref="AM119:AM120"/>
    <mergeCell ref="AN119:AN120"/>
    <mergeCell ref="AO119:AO120"/>
    <mergeCell ref="AP119:AP120"/>
    <mergeCell ref="AQ119:AQ120"/>
    <mergeCell ref="T119:U122"/>
    <mergeCell ref="V119:V122"/>
    <mergeCell ref="W119:Y122"/>
    <mergeCell ref="Z119:Z122"/>
    <mergeCell ref="AA119:AB122"/>
    <mergeCell ref="AC119:AE120"/>
    <mergeCell ref="AF119:AF120"/>
    <mergeCell ref="AG119:AG120"/>
    <mergeCell ref="AH119:AH120"/>
    <mergeCell ref="A119:A122"/>
    <mergeCell ref="B119:C122"/>
    <mergeCell ref="E119:F122"/>
    <mergeCell ref="G119:H122"/>
    <mergeCell ref="I119:J122"/>
    <mergeCell ref="L119:L122"/>
    <mergeCell ref="M119:M122"/>
    <mergeCell ref="N119:O122"/>
    <mergeCell ref="R119:S122"/>
    <mergeCell ref="K119:K122"/>
    <mergeCell ref="P119:Q122"/>
    <mergeCell ref="BR115:BR118"/>
    <mergeCell ref="BS115:BT118"/>
    <mergeCell ref="BU115:BU118"/>
    <mergeCell ref="BV115:BV118"/>
    <mergeCell ref="BW115:BW118"/>
    <mergeCell ref="BC116:BD116"/>
    <mergeCell ref="AC117:AE117"/>
    <mergeCell ref="BC117:BD117"/>
    <mergeCell ref="AC118:AE118"/>
    <mergeCell ref="BC118:BD118"/>
    <mergeCell ref="AI115:AI116"/>
    <mergeCell ref="AJ115:AJ116"/>
    <mergeCell ref="AK115:AK116"/>
    <mergeCell ref="AL115:AL116"/>
    <mergeCell ref="AM115:AM116"/>
    <mergeCell ref="AN115:AN116"/>
    <mergeCell ref="AO115:AO116"/>
    <mergeCell ref="AP115:AP116"/>
    <mergeCell ref="AQ115:AQ116"/>
    <mergeCell ref="T115:U118"/>
    <mergeCell ref="V115:V118"/>
    <mergeCell ref="W115:Y118"/>
    <mergeCell ref="Z115:Z118"/>
    <mergeCell ref="AA115:AB118"/>
    <mergeCell ref="AC115:AE116"/>
    <mergeCell ref="AF115:AF116"/>
    <mergeCell ref="AG115:AG116"/>
    <mergeCell ref="AH115:AH116"/>
    <mergeCell ref="A115:A118"/>
    <mergeCell ref="B115:C118"/>
    <mergeCell ref="E115:F118"/>
    <mergeCell ref="G115:H118"/>
    <mergeCell ref="I115:J118"/>
    <mergeCell ref="L115:L118"/>
    <mergeCell ref="M115:M118"/>
    <mergeCell ref="N115:O118"/>
    <mergeCell ref="R115:S118"/>
    <mergeCell ref="K115:K118"/>
    <mergeCell ref="P115:Q118"/>
    <mergeCell ref="BR111:BR114"/>
    <mergeCell ref="BS111:BT114"/>
    <mergeCell ref="BU111:BU114"/>
    <mergeCell ref="BV111:BV114"/>
    <mergeCell ref="BW111:BW114"/>
    <mergeCell ref="BC112:BD112"/>
    <mergeCell ref="AC113:AE113"/>
    <mergeCell ref="BC113:BD113"/>
    <mergeCell ref="AC114:AE114"/>
    <mergeCell ref="BC114:BD114"/>
    <mergeCell ref="AI111:AI112"/>
    <mergeCell ref="AJ111:AJ112"/>
    <mergeCell ref="AK111:AK112"/>
    <mergeCell ref="AL111:AL112"/>
    <mergeCell ref="AM111:AM112"/>
    <mergeCell ref="AN111:AN112"/>
    <mergeCell ref="AO111:AO112"/>
    <mergeCell ref="AP111:AP112"/>
    <mergeCell ref="AQ111:AQ112"/>
    <mergeCell ref="T111:U114"/>
    <mergeCell ref="V111:V114"/>
    <mergeCell ref="W111:Y114"/>
    <mergeCell ref="Z111:Z114"/>
    <mergeCell ref="AA111:AB114"/>
    <mergeCell ref="AC111:AE112"/>
    <mergeCell ref="AF111:AF112"/>
    <mergeCell ref="AG111:AG112"/>
    <mergeCell ref="AH111:AH112"/>
    <mergeCell ref="A111:A114"/>
    <mergeCell ref="B111:C114"/>
    <mergeCell ref="E111:F114"/>
    <mergeCell ref="G111:H114"/>
    <mergeCell ref="I111:J114"/>
    <mergeCell ref="L111:L114"/>
    <mergeCell ref="M111:M114"/>
    <mergeCell ref="N111:O114"/>
    <mergeCell ref="R111:S114"/>
    <mergeCell ref="K111:K114"/>
    <mergeCell ref="P111:Q114"/>
    <mergeCell ref="BR107:BR110"/>
    <mergeCell ref="BS107:BT110"/>
    <mergeCell ref="BU107:BU110"/>
    <mergeCell ref="BV107:BV110"/>
    <mergeCell ref="BW107:BW110"/>
    <mergeCell ref="BC108:BD108"/>
    <mergeCell ref="AC109:AE109"/>
    <mergeCell ref="BC109:BD109"/>
    <mergeCell ref="AC110:AE110"/>
    <mergeCell ref="BC110:BD110"/>
    <mergeCell ref="AI107:AI108"/>
    <mergeCell ref="AJ107:AJ108"/>
    <mergeCell ref="AK107:AK108"/>
    <mergeCell ref="AL107:AL108"/>
    <mergeCell ref="AM107:AM108"/>
    <mergeCell ref="AN107:AN108"/>
    <mergeCell ref="AO107:AO108"/>
    <mergeCell ref="AP107:AP108"/>
    <mergeCell ref="AQ107:AQ108"/>
    <mergeCell ref="T107:U110"/>
    <mergeCell ref="V107:V110"/>
    <mergeCell ref="W107:Y110"/>
    <mergeCell ref="Z107:Z110"/>
    <mergeCell ref="AA107:AB110"/>
    <mergeCell ref="AC107:AE108"/>
    <mergeCell ref="AF107:AF108"/>
    <mergeCell ref="AG107:AG108"/>
    <mergeCell ref="AH107:AH108"/>
    <mergeCell ref="A107:A110"/>
    <mergeCell ref="B107:C110"/>
    <mergeCell ref="E107:F110"/>
    <mergeCell ref="G107:H110"/>
    <mergeCell ref="I107:J110"/>
    <mergeCell ref="L107:L110"/>
    <mergeCell ref="M107:M110"/>
    <mergeCell ref="N107:O110"/>
    <mergeCell ref="R107:S110"/>
    <mergeCell ref="K107:K110"/>
    <mergeCell ref="P107:Q110"/>
    <mergeCell ref="BR103:BR106"/>
    <mergeCell ref="BS103:BT106"/>
    <mergeCell ref="BU103:BU106"/>
    <mergeCell ref="BV103:BV106"/>
    <mergeCell ref="BW103:BW106"/>
    <mergeCell ref="BC104:BD104"/>
    <mergeCell ref="AC105:AE105"/>
    <mergeCell ref="BC105:BD105"/>
    <mergeCell ref="AC106:AE106"/>
    <mergeCell ref="BC106:BD106"/>
    <mergeCell ref="AI103:AI104"/>
    <mergeCell ref="AJ103:AJ104"/>
    <mergeCell ref="AK103:AK104"/>
    <mergeCell ref="AL103:AL104"/>
    <mergeCell ref="AM103:AM104"/>
    <mergeCell ref="AN103:AN104"/>
    <mergeCell ref="AO103:AO104"/>
    <mergeCell ref="AP103:AP104"/>
    <mergeCell ref="AQ103:AQ104"/>
    <mergeCell ref="T103:U106"/>
    <mergeCell ref="V103:V106"/>
    <mergeCell ref="W103:Y106"/>
    <mergeCell ref="Z103:Z106"/>
    <mergeCell ref="AA103:AB106"/>
    <mergeCell ref="AC103:AE104"/>
    <mergeCell ref="AF103:AF104"/>
    <mergeCell ref="AG103:AG104"/>
    <mergeCell ref="AH103:AH104"/>
    <mergeCell ref="A103:A106"/>
    <mergeCell ref="B103:C106"/>
    <mergeCell ref="E103:F106"/>
    <mergeCell ref="G103:H106"/>
    <mergeCell ref="I103:J106"/>
    <mergeCell ref="L103:L106"/>
    <mergeCell ref="M103:M106"/>
    <mergeCell ref="N103:O106"/>
    <mergeCell ref="R103:S106"/>
    <mergeCell ref="K103:K106"/>
    <mergeCell ref="P103:Q106"/>
    <mergeCell ref="BR99:BR102"/>
    <mergeCell ref="BS99:BT102"/>
    <mergeCell ref="BU99:BU102"/>
    <mergeCell ref="BV99:BV102"/>
    <mergeCell ref="BW99:BW102"/>
    <mergeCell ref="BC100:BD100"/>
    <mergeCell ref="AC101:AE101"/>
    <mergeCell ref="BC101:BD101"/>
    <mergeCell ref="AC102:AE102"/>
    <mergeCell ref="BC102:BD102"/>
    <mergeCell ref="AI99:AI100"/>
    <mergeCell ref="AJ99:AJ100"/>
    <mergeCell ref="AK99:AK100"/>
    <mergeCell ref="AL99:AL100"/>
    <mergeCell ref="AM99:AM100"/>
    <mergeCell ref="AN99:AN100"/>
    <mergeCell ref="AO99:AO100"/>
    <mergeCell ref="AP99:AP100"/>
    <mergeCell ref="AQ99:AQ100"/>
    <mergeCell ref="T99:U102"/>
    <mergeCell ref="V99:V102"/>
    <mergeCell ref="W99:Y102"/>
    <mergeCell ref="Z99:Z102"/>
    <mergeCell ref="AA99:AB102"/>
    <mergeCell ref="AC99:AE100"/>
    <mergeCell ref="AF99:AF100"/>
    <mergeCell ref="AG99:AG100"/>
    <mergeCell ref="AH99:AH100"/>
    <mergeCell ref="A99:A102"/>
    <mergeCell ref="B99:C102"/>
    <mergeCell ref="E99:F102"/>
    <mergeCell ref="G99:H102"/>
    <mergeCell ref="I99:J102"/>
    <mergeCell ref="L99:L102"/>
    <mergeCell ref="M99:M102"/>
    <mergeCell ref="N99:O102"/>
    <mergeCell ref="R99:S102"/>
    <mergeCell ref="K99:K102"/>
    <mergeCell ref="P99:Q102"/>
    <mergeCell ref="BR95:BR98"/>
    <mergeCell ref="BS95:BT98"/>
    <mergeCell ref="BU95:BU98"/>
    <mergeCell ref="BV95:BV98"/>
    <mergeCell ref="BW95:BW98"/>
    <mergeCell ref="BC96:BD96"/>
    <mergeCell ref="AC97:AE97"/>
    <mergeCell ref="BC97:BD97"/>
    <mergeCell ref="AC98:AE98"/>
    <mergeCell ref="BC98:BD98"/>
    <mergeCell ref="AI95:AI96"/>
    <mergeCell ref="AJ95:AJ96"/>
    <mergeCell ref="AK95:AK96"/>
    <mergeCell ref="AL95:AL96"/>
    <mergeCell ref="AM95:AM96"/>
    <mergeCell ref="AN95:AN96"/>
    <mergeCell ref="AO95:AO96"/>
    <mergeCell ref="AP95:AP96"/>
    <mergeCell ref="AQ95:AQ96"/>
    <mergeCell ref="T95:U98"/>
    <mergeCell ref="V95:V98"/>
    <mergeCell ref="W95:Y98"/>
    <mergeCell ref="Z95:Z98"/>
    <mergeCell ref="AA95:AB98"/>
    <mergeCell ref="AC95:AE96"/>
    <mergeCell ref="AF95:AF96"/>
    <mergeCell ref="AG95:AG96"/>
    <mergeCell ref="AH95:AH96"/>
    <mergeCell ref="A95:A98"/>
    <mergeCell ref="B95:C98"/>
    <mergeCell ref="E95:F98"/>
    <mergeCell ref="G95:H98"/>
    <mergeCell ref="I95:J98"/>
    <mergeCell ref="L95:L98"/>
    <mergeCell ref="M95:M98"/>
    <mergeCell ref="N95:O98"/>
    <mergeCell ref="R95:S98"/>
    <mergeCell ref="K95:K98"/>
    <mergeCell ref="P95:Q98"/>
    <mergeCell ref="BR91:BR94"/>
    <mergeCell ref="BS91:BT94"/>
    <mergeCell ref="BU91:BU94"/>
    <mergeCell ref="BV91:BV94"/>
    <mergeCell ref="BW91:BW94"/>
    <mergeCell ref="BC92:BD92"/>
    <mergeCell ref="AC93:AE93"/>
    <mergeCell ref="BC93:BD93"/>
    <mergeCell ref="AC94:AE94"/>
    <mergeCell ref="BC94:BD94"/>
    <mergeCell ref="AI91:AI92"/>
    <mergeCell ref="AJ91:AJ92"/>
    <mergeCell ref="AK91:AK92"/>
    <mergeCell ref="AL91:AL92"/>
    <mergeCell ref="AM91:AM92"/>
    <mergeCell ref="AN91:AN92"/>
    <mergeCell ref="AO91:AO92"/>
    <mergeCell ref="AP91:AP92"/>
    <mergeCell ref="AQ91:AQ92"/>
    <mergeCell ref="T91:U94"/>
    <mergeCell ref="V91:V94"/>
    <mergeCell ref="W91:Y94"/>
    <mergeCell ref="Z91:Z94"/>
    <mergeCell ref="AA91:AB94"/>
    <mergeCell ref="AC91:AE92"/>
    <mergeCell ref="AF91:AF92"/>
    <mergeCell ref="AG91:AG92"/>
    <mergeCell ref="AH91:AH92"/>
    <mergeCell ref="A91:A94"/>
    <mergeCell ref="B91:C94"/>
    <mergeCell ref="E91:F94"/>
    <mergeCell ref="G91:H94"/>
    <mergeCell ref="I91:J94"/>
    <mergeCell ref="L91:L94"/>
    <mergeCell ref="M91:M94"/>
    <mergeCell ref="N91:O94"/>
    <mergeCell ref="R91:S94"/>
    <mergeCell ref="K91:K94"/>
    <mergeCell ref="P91:Q94"/>
    <mergeCell ref="BR87:BR90"/>
    <mergeCell ref="BS87:BT90"/>
    <mergeCell ref="BU87:BU90"/>
    <mergeCell ref="BV87:BV90"/>
    <mergeCell ref="BW87:BW90"/>
    <mergeCell ref="BC88:BD88"/>
    <mergeCell ref="AC89:AE89"/>
    <mergeCell ref="BC89:BD89"/>
    <mergeCell ref="AC90:AE90"/>
    <mergeCell ref="BC90:BD90"/>
    <mergeCell ref="AI87:AI88"/>
    <mergeCell ref="AJ87:AJ88"/>
    <mergeCell ref="AK87:AK88"/>
    <mergeCell ref="AL87:AL88"/>
    <mergeCell ref="AM87:AM88"/>
    <mergeCell ref="AN87:AN88"/>
    <mergeCell ref="AO87:AO88"/>
    <mergeCell ref="AP87:AP88"/>
    <mergeCell ref="AQ87:AQ88"/>
    <mergeCell ref="T87:U90"/>
    <mergeCell ref="V87:V90"/>
    <mergeCell ref="W87:Y90"/>
    <mergeCell ref="Z87:Z90"/>
    <mergeCell ref="AA87:AB90"/>
    <mergeCell ref="AC87:AE88"/>
    <mergeCell ref="AF87:AF88"/>
    <mergeCell ref="AG87:AG88"/>
    <mergeCell ref="AH87:AH88"/>
    <mergeCell ref="A87:A90"/>
    <mergeCell ref="B87:C90"/>
    <mergeCell ref="E87:F90"/>
    <mergeCell ref="G87:H90"/>
    <mergeCell ref="I87:J90"/>
    <mergeCell ref="L87:L90"/>
    <mergeCell ref="M87:M90"/>
    <mergeCell ref="N87:O90"/>
    <mergeCell ref="R87:S90"/>
    <mergeCell ref="K87:K90"/>
    <mergeCell ref="P87:Q90"/>
    <mergeCell ref="BR83:BR86"/>
    <mergeCell ref="BS83:BT86"/>
    <mergeCell ref="BU83:BU86"/>
    <mergeCell ref="BV83:BV86"/>
    <mergeCell ref="BW83:BW86"/>
    <mergeCell ref="BC84:BD84"/>
    <mergeCell ref="AC85:AE85"/>
    <mergeCell ref="BC85:BD85"/>
    <mergeCell ref="AC86:AE86"/>
    <mergeCell ref="BC86:BD86"/>
    <mergeCell ref="AI83:AI84"/>
    <mergeCell ref="AJ83:AJ84"/>
    <mergeCell ref="AK83:AK84"/>
    <mergeCell ref="AL83:AL84"/>
    <mergeCell ref="AM83:AM84"/>
    <mergeCell ref="AN83:AN84"/>
    <mergeCell ref="AO83:AO84"/>
    <mergeCell ref="AP83:AP84"/>
    <mergeCell ref="AQ83:AQ84"/>
    <mergeCell ref="T83:U86"/>
    <mergeCell ref="V83:V86"/>
    <mergeCell ref="W83:Y86"/>
    <mergeCell ref="Z83:Z86"/>
    <mergeCell ref="AA83:AB86"/>
    <mergeCell ref="AC83:AE84"/>
    <mergeCell ref="AF83:AF84"/>
    <mergeCell ref="AG83:AG84"/>
    <mergeCell ref="AH83:AH84"/>
    <mergeCell ref="A83:A86"/>
    <mergeCell ref="B83:C86"/>
    <mergeCell ref="E83:F86"/>
    <mergeCell ref="G83:H86"/>
    <mergeCell ref="I83:J86"/>
    <mergeCell ref="L83:L86"/>
    <mergeCell ref="M83:M86"/>
    <mergeCell ref="N83:O86"/>
    <mergeCell ref="R83:S86"/>
    <mergeCell ref="K83:K86"/>
    <mergeCell ref="P83:Q86"/>
    <mergeCell ref="BR79:BR82"/>
    <mergeCell ref="BS79:BT82"/>
    <mergeCell ref="BU79:BU82"/>
    <mergeCell ref="BV79:BV82"/>
    <mergeCell ref="BW79:BW82"/>
    <mergeCell ref="BC80:BD80"/>
    <mergeCell ref="AC81:AE81"/>
    <mergeCell ref="BC81:BD81"/>
    <mergeCell ref="AC82:AE82"/>
    <mergeCell ref="BC82:BD82"/>
    <mergeCell ref="AI79:AI80"/>
    <mergeCell ref="AJ79:AJ80"/>
    <mergeCell ref="AK79:AK80"/>
    <mergeCell ref="AL79:AL80"/>
    <mergeCell ref="AM79:AM80"/>
    <mergeCell ref="AN79:AN80"/>
    <mergeCell ref="AO79:AO80"/>
    <mergeCell ref="AP79:AP80"/>
    <mergeCell ref="AQ79:AQ80"/>
    <mergeCell ref="T79:U82"/>
    <mergeCell ref="V79:V82"/>
    <mergeCell ref="W79:Y82"/>
    <mergeCell ref="Z79:Z82"/>
    <mergeCell ref="AA79:AB82"/>
    <mergeCell ref="AC79:AE80"/>
    <mergeCell ref="AF79:AF80"/>
    <mergeCell ref="AG79:AG80"/>
    <mergeCell ref="AH79:AH80"/>
    <mergeCell ref="A79:A82"/>
    <mergeCell ref="B79:C82"/>
    <mergeCell ref="E79:F82"/>
    <mergeCell ref="G79:H82"/>
    <mergeCell ref="I79:J82"/>
    <mergeCell ref="L79:L82"/>
    <mergeCell ref="M79:M82"/>
    <mergeCell ref="N79:O82"/>
    <mergeCell ref="R79:S82"/>
    <mergeCell ref="K79:K82"/>
    <mergeCell ref="P79:Q82"/>
    <mergeCell ref="BR75:BR78"/>
    <mergeCell ref="BS75:BT78"/>
    <mergeCell ref="BU75:BU78"/>
    <mergeCell ref="BV75:BV78"/>
    <mergeCell ref="BW75:BW78"/>
    <mergeCell ref="BC76:BD76"/>
    <mergeCell ref="AC77:AE77"/>
    <mergeCell ref="BC77:BD77"/>
    <mergeCell ref="AC78:AE78"/>
    <mergeCell ref="BC78:BD78"/>
    <mergeCell ref="AI75:AI76"/>
    <mergeCell ref="AJ75:AJ76"/>
    <mergeCell ref="AK75:AK76"/>
    <mergeCell ref="AL75:AL76"/>
    <mergeCell ref="AM75:AM76"/>
    <mergeCell ref="AN75:AN76"/>
    <mergeCell ref="AO75:AO76"/>
    <mergeCell ref="AP75:AP76"/>
    <mergeCell ref="AQ75:AQ76"/>
    <mergeCell ref="T75:U78"/>
    <mergeCell ref="V75:V78"/>
    <mergeCell ref="W75:Y78"/>
    <mergeCell ref="Z75:Z78"/>
    <mergeCell ref="AA75:AB78"/>
    <mergeCell ref="AC75:AE76"/>
    <mergeCell ref="AF75:AF76"/>
    <mergeCell ref="AG75:AG76"/>
    <mergeCell ref="AH75:AH76"/>
    <mergeCell ref="A75:A78"/>
    <mergeCell ref="B75:C78"/>
    <mergeCell ref="E75:F78"/>
    <mergeCell ref="G75:H78"/>
    <mergeCell ref="I75:J78"/>
    <mergeCell ref="L75:L78"/>
    <mergeCell ref="M75:M78"/>
    <mergeCell ref="N75:O78"/>
    <mergeCell ref="R75:S78"/>
    <mergeCell ref="K75:K78"/>
    <mergeCell ref="P75:Q78"/>
    <mergeCell ref="BR71:BR74"/>
    <mergeCell ref="BS71:BT74"/>
    <mergeCell ref="BU71:BU74"/>
    <mergeCell ref="BV71:BV74"/>
    <mergeCell ref="BW71:BW74"/>
    <mergeCell ref="BC72:BD72"/>
    <mergeCell ref="AC73:AE73"/>
    <mergeCell ref="BC73:BD73"/>
    <mergeCell ref="AC74:AE74"/>
    <mergeCell ref="BC74:BD74"/>
    <mergeCell ref="AI71:AI72"/>
    <mergeCell ref="AJ71:AJ72"/>
    <mergeCell ref="AK71:AK72"/>
    <mergeCell ref="AL71:AL72"/>
    <mergeCell ref="AM71:AM72"/>
    <mergeCell ref="AN71:AN72"/>
    <mergeCell ref="AO71:AO72"/>
    <mergeCell ref="AP71:AP72"/>
    <mergeCell ref="AQ71:AQ72"/>
    <mergeCell ref="T71:U74"/>
    <mergeCell ref="V71:V74"/>
    <mergeCell ref="W71:Y74"/>
    <mergeCell ref="Z71:Z74"/>
    <mergeCell ref="AA71:AB74"/>
    <mergeCell ref="AC71:AE72"/>
    <mergeCell ref="AF71:AF72"/>
    <mergeCell ref="AG71:AG72"/>
    <mergeCell ref="AH71:AH72"/>
    <mergeCell ref="A71:A74"/>
    <mergeCell ref="B71:C74"/>
    <mergeCell ref="E71:F74"/>
    <mergeCell ref="G71:H74"/>
    <mergeCell ref="I71:J74"/>
    <mergeCell ref="L71:L74"/>
    <mergeCell ref="M71:M74"/>
    <mergeCell ref="N71:O74"/>
    <mergeCell ref="R71:S74"/>
    <mergeCell ref="K71:K74"/>
    <mergeCell ref="P71:Q74"/>
    <mergeCell ref="BR67:BR70"/>
    <mergeCell ref="BS67:BT70"/>
    <mergeCell ref="BU67:BU70"/>
    <mergeCell ref="BV67:BV70"/>
    <mergeCell ref="BW67:BW70"/>
    <mergeCell ref="BC68:BD68"/>
    <mergeCell ref="AC69:AE69"/>
    <mergeCell ref="BC69:BD69"/>
    <mergeCell ref="AC70:AE70"/>
    <mergeCell ref="BC70:BD70"/>
    <mergeCell ref="AI67:AI68"/>
    <mergeCell ref="AJ67:AJ68"/>
    <mergeCell ref="AK67:AK68"/>
    <mergeCell ref="AL67:AL68"/>
    <mergeCell ref="AM67:AM68"/>
    <mergeCell ref="AN67:AN68"/>
    <mergeCell ref="AO67:AO68"/>
    <mergeCell ref="AP67:AP68"/>
    <mergeCell ref="AQ67:AQ68"/>
    <mergeCell ref="T67:U70"/>
    <mergeCell ref="V67:V70"/>
    <mergeCell ref="W67:Y70"/>
    <mergeCell ref="Z67:Z70"/>
    <mergeCell ref="AA67:AB70"/>
    <mergeCell ref="AC67:AE68"/>
    <mergeCell ref="AF67:AF68"/>
    <mergeCell ref="AG67:AG68"/>
    <mergeCell ref="AH67:AH68"/>
    <mergeCell ref="A67:A70"/>
    <mergeCell ref="B67:C70"/>
    <mergeCell ref="E67:F70"/>
    <mergeCell ref="G67:H70"/>
    <mergeCell ref="I67:J70"/>
    <mergeCell ref="L67:L70"/>
    <mergeCell ref="M67:M70"/>
    <mergeCell ref="N67:O70"/>
    <mergeCell ref="R67:S70"/>
    <mergeCell ref="K67:K70"/>
    <mergeCell ref="P67:Q70"/>
    <mergeCell ref="BR63:BR66"/>
    <mergeCell ref="BS63:BT66"/>
    <mergeCell ref="BU63:BU66"/>
    <mergeCell ref="BV63:BV66"/>
    <mergeCell ref="BW63:BW66"/>
    <mergeCell ref="BC64:BD64"/>
    <mergeCell ref="AC65:AE65"/>
    <mergeCell ref="BC65:BD65"/>
    <mergeCell ref="AC66:AE66"/>
    <mergeCell ref="BC66:BD66"/>
    <mergeCell ref="AI63:AI64"/>
    <mergeCell ref="AJ63:AJ64"/>
    <mergeCell ref="AK63:AK64"/>
    <mergeCell ref="AL63:AL64"/>
    <mergeCell ref="AM63:AM64"/>
    <mergeCell ref="AN63:AN64"/>
    <mergeCell ref="AO63:AO64"/>
    <mergeCell ref="AP63:AP64"/>
    <mergeCell ref="AQ63:AQ64"/>
    <mergeCell ref="T63:U66"/>
    <mergeCell ref="V63:V66"/>
    <mergeCell ref="W63:Y66"/>
    <mergeCell ref="Z63:Z66"/>
    <mergeCell ref="AA63:AB66"/>
    <mergeCell ref="AC63:AE64"/>
    <mergeCell ref="AF63:AF64"/>
    <mergeCell ref="AG63:AG64"/>
    <mergeCell ref="AH63:AH64"/>
    <mergeCell ref="A63:A66"/>
    <mergeCell ref="B63:C66"/>
    <mergeCell ref="E63:F66"/>
    <mergeCell ref="G63:H66"/>
    <mergeCell ref="I63:J66"/>
    <mergeCell ref="L63:L66"/>
    <mergeCell ref="M63:M66"/>
    <mergeCell ref="N63:O66"/>
    <mergeCell ref="R63:S66"/>
    <mergeCell ref="K63:K66"/>
    <mergeCell ref="P63:Q66"/>
    <mergeCell ref="BR59:BR62"/>
    <mergeCell ref="BS59:BT62"/>
    <mergeCell ref="BU59:BU62"/>
    <mergeCell ref="BV59:BV62"/>
    <mergeCell ref="BW59:BW62"/>
    <mergeCell ref="BC60:BD60"/>
    <mergeCell ref="AC61:AE61"/>
    <mergeCell ref="BC61:BD61"/>
    <mergeCell ref="AC62:AE62"/>
    <mergeCell ref="BC62:BD62"/>
    <mergeCell ref="AI59:AI60"/>
    <mergeCell ref="AJ59:AJ60"/>
    <mergeCell ref="AK59:AK60"/>
    <mergeCell ref="AL59:AL60"/>
    <mergeCell ref="AM59:AM60"/>
    <mergeCell ref="AN59:AN60"/>
    <mergeCell ref="AO59:AO60"/>
    <mergeCell ref="AP59:AP60"/>
    <mergeCell ref="AQ59:AQ60"/>
    <mergeCell ref="T59:U62"/>
    <mergeCell ref="V59:V62"/>
    <mergeCell ref="W59:Y62"/>
    <mergeCell ref="Z59:Z62"/>
    <mergeCell ref="AA59:AB62"/>
    <mergeCell ref="AC59:AE60"/>
    <mergeCell ref="AF59:AF60"/>
    <mergeCell ref="AG59:AG60"/>
    <mergeCell ref="AH59:AH60"/>
    <mergeCell ref="A59:A62"/>
    <mergeCell ref="B59:C62"/>
    <mergeCell ref="E59:F62"/>
    <mergeCell ref="G59:H62"/>
    <mergeCell ref="I59:J62"/>
    <mergeCell ref="L59:L62"/>
    <mergeCell ref="M59:M62"/>
    <mergeCell ref="N59:O62"/>
    <mergeCell ref="R59:S62"/>
    <mergeCell ref="K59:K62"/>
    <mergeCell ref="P59:Q62"/>
    <mergeCell ref="BR55:BR58"/>
    <mergeCell ref="BS55:BT58"/>
    <mergeCell ref="BU55:BU58"/>
    <mergeCell ref="BV55:BV58"/>
    <mergeCell ref="BW55:BW58"/>
    <mergeCell ref="BC56:BD56"/>
    <mergeCell ref="AC57:AE57"/>
    <mergeCell ref="BC57:BD57"/>
    <mergeCell ref="AC58:AE58"/>
    <mergeCell ref="BC58:BD58"/>
    <mergeCell ref="AI55:AI56"/>
    <mergeCell ref="AJ55:AJ56"/>
    <mergeCell ref="AK55:AK56"/>
    <mergeCell ref="AL55:AL56"/>
    <mergeCell ref="AM55:AM56"/>
    <mergeCell ref="AN55:AN56"/>
    <mergeCell ref="AO55:AO56"/>
    <mergeCell ref="AP55:AP56"/>
    <mergeCell ref="AQ55:AQ56"/>
    <mergeCell ref="T55:U58"/>
    <mergeCell ref="V55:V58"/>
    <mergeCell ref="W55:Y58"/>
    <mergeCell ref="Z55:Z58"/>
    <mergeCell ref="AA55:AB58"/>
    <mergeCell ref="AC55:AE56"/>
    <mergeCell ref="AF55:AF56"/>
    <mergeCell ref="AG55:AG56"/>
    <mergeCell ref="AH55:AH56"/>
    <mergeCell ref="A55:A58"/>
    <mergeCell ref="B55:C58"/>
    <mergeCell ref="E55:F58"/>
    <mergeCell ref="G55:H58"/>
    <mergeCell ref="I55:J58"/>
    <mergeCell ref="L55:L58"/>
    <mergeCell ref="M55:M58"/>
    <mergeCell ref="N55:O58"/>
    <mergeCell ref="R55:S58"/>
    <mergeCell ref="K55:K58"/>
    <mergeCell ref="BR51:BR54"/>
    <mergeCell ref="BS51:BT54"/>
    <mergeCell ref="BU51:BU54"/>
    <mergeCell ref="BV51:BV54"/>
    <mergeCell ref="BW51:BW54"/>
    <mergeCell ref="BC52:BD52"/>
    <mergeCell ref="AC53:AE53"/>
    <mergeCell ref="BC53:BD53"/>
    <mergeCell ref="AC54:AE54"/>
    <mergeCell ref="BC54:BD54"/>
    <mergeCell ref="AI51:AI52"/>
    <mergeCell ref="AJ51:AJ52"/>
    <mergeCell ref="AK51:AK52"/>
    <mergeCell ref="AL51:AL52"/>
    <mergeCell ref="AM51:AM52"/>
    <mergeCell ref="AN51:AN52"/>
    <mergeCell ref="AO51:AO52"/>
    <mergeCell ref="AP51:AP52"/>
    <mergeCell ref="AQ51:AQ52"/>
    <mergeCell ref="T51:U54"/>
    <mergeCell ref="V51:V54"/>
    <mergeCell ref="W51:Y54"/>
    <mergeCell ref="Z51:Z54"/>
    <mergeCell ref="AA51:AB54"/>
    <mergeCell ref="AC51:AE52"/>
    <mergeCell ref="AF51:AF52"/>
    <mergeCell ref="AG51:AG52"/>
    <mergeCell ref="AH51:AH52"/>
    <mergeCell ref="A51:A54"/>
    <mergeCell ref="B51:C54"/>
    <mergeCell ref="E51:F54"/>
    <mergeCell ref="G51:H54"/>
    <mergeCell ref="I51:J54"/>
    <mergeCell ref="L51:L54"/>
    <mergeCell ref="M51:M54"/>
    <mergeCell ref="N51:O54"/>
    <mergeCell ref="R51:S54"/>
    <mergeCell ref="K51:K54"/>
    <mergeCell ref="BR47:BR50"/>
    <mergeCell ref="BS47:BT50"/>
    <mergeCell ref="BU47:BU50"/>
    <mergeCell ref="BV47:BV50"/>
    <mergeCell ref="BW47:BW50"/>
    <mergeCell ref="BC48:BD48"/>
    <mergeCell ref="AC49:AE49"/>
    <mergeCell ref="BC49:BD49"/>
    <mergeCell ref="AC50:AE50"/>
    <mergeCell ref="BC50:BD50"/>
    <mergeCell ref="AI47:AI48"/>
    <mergeCell ref="AJ47:AJ48"/>
    <mergeCell ref="AK47:AK48"/>
    <mergeCell ref="AL47:AL48"/>
    <mergeCell ref="AM47:AM48"/>
    <mergeCell ref="AN47:AN48"/>
    <mergeCell ref="AO47:AO48"/>
    <mergeCell ref="AP47:AP48"/>
    <mergeCell ref="AQ47:AQ48"/>
    <mergeCell ref="T47:U50"/>
    <mergeCell ref="V47:V50"/>
    <mergeCell ref="W47:Y50"/>
    <mergeCell ref="Z47:Z50"/>
    <mergeCell ref="AA47:AB50"/>
    <mergeCell ref="AC47:AE48"/>
    <mergeCell ref="AF47:AF48"/>
    <mergeCell ref="AG47:AG48"/>
    <mergeCell ref="AH47:AH48"/>
    <mergeCell ref="A47:A50"/>
    <mergeCell ref="B47:C50"/>
    <mergeCell ref="E47:F50"/>
    <mergeCell ref="G47:H50"/>
    <mergeCell ref="I47:J50"/>
    <mergeCell ref="L47:L50"/>
    <mergeCell ref="M47:M50"/>
    <mergeCell ref="N47:O50"/>
    <mergeCell ref="R47:S50"/>
    <mergeCell ref="K47:K50"/>
    <mergeCell ref="BR43:BR46"/>
    <mergeCell ref="BS43:BT46"/>
    <mergeCell ref="BU43:BU46"/>
    <mergeCell ref="BV43:BV46"/>
    <mergeCell ref="BW43:BW46"/>
    <mergeCell ref="BC44:BD44"/>
    <mergeCell ref="AC45:AE45"/>
    <mergeCell ref="BC45:BD45"/>
    <mergeCell ref="AC46:AE46"/>
    <mergeCell ref="BC46:BD46"/>
    <mergeCell ref="AI43:AI44"/>
    <mergeCell ref="AJ43:AJ44"/>
    <mergeCell ref="AK43:AK44"/>
    <mergeCell ref="AL43:AL44"/>
    <mergeCell ref="AM43:AM44"/>
    <mergeCell ref="AN43:AN44"/>
    <mergeCell ref="AO43:AO44"/>
    <mergeCell ref="AP43:AP44"/>
    <mergeCell ref="AQ43:AQ44"/>
    <mergeCell ref="T43:U46"/>
    <mergeCell ref="V43:V46"/>
    <mergeCell ref="W43:Y46"/>
    <mergeCell ref="Z43:Z46"/>
    <mergeCell ref="AA43:AB46"/>
    <mergeCell ref="AC43:AE44"/>
    <mergeCell ref="AF43:AF44"/>
    <mergeCell ref="AG43:AG44"/>
    <mergeCell ref="AH43:AH44"/>
    <mergeCell ref="A43:A46"/>
    <mergeCell ref="B43:C46"/>
    <mergeCell ref="E43:F46"/>
    <mergeCell ref="G43:H46"/>
    <mergeCell ref="I43:J46"/>
    <mergeCell ref="L43:L46"/>
    <mergeCell ref="M43:M46"/>
    <mergeCell ref="N43:O46"/>
    <mergeCell ref="R43:S46"/>
    <mergeCell ref="BR39:BR42"/>
    <mergeCell ref="BS39:BT42"/>
    <mergeCell ref="BU39:BU42"/>
    <mergeCell ref="BV39:BV42"/>
    <mergeCell ref="BW39:BW42"/>
    <mergeCell ref="BC40:BD40"/>
    <mergeCell ref="AC41:AE41"/>
    <mergeCell ref="BC41:BD41"/>
    <mergeCell ref="AC42:AE42"/>
    <mergeCell ref="BC42:BD42"/>
    <mergeCell ref="AI39:AI40"/>
    <mergeCell ref="AJ39:AJ40"/>
    <mergeCell ref="AK39:AK40"/>
    <mergeCell ref="AL39:AL40"/>
    <mergeCell ref="AM39:AM40"/>
    <mergeCell ref="AN39:AN40"/>
    <mergeCell ref="AO39:AO40"/>
    <mergeCell ref="AP39:AP40"/>
    <mergeCell ref="AQ39:AQ40"/>
    <mergeCell ref="T39:U42"/>
    <mergeCell ref="V39:V42"/>
    <mergeCell ref="W39:Y42"/>
    <mergeCell ref="Z39:Z42"/>
    <mergeCell ref="AA39:AB42"/>
    <mergeCell ref="AC39:AE40"/>
    <mergeCell ref="AF39:AF40"/>
    <mergeCell ref="AG39:AG40"/>
    <mergeCell ref="AH39:AH40"/>
    <mergeCell ref="A39:A42"/>
    <mergeCell ref="B39:C42"/>
    <mergeCell ref="E39:F42"/>
    <mergeCell ref="G39:H42"/>
    <mergeCell ref="I39:J42"/>
    <mergeCell ref="L39:L42"/>
    <mergeCell ref="M39:M42"/>
    <mergeCell ref="N39:O42"/>
    <mergeCell ref="R39:S42"/>
    <mergeCell ref="BR35:BR38"/>
    <mergeCell ref="BS35:BT38"/>
    <mergeCell ref="BU35:BU38"/>
    <mergeCell ref="BV35:BV38"/>
    <mergeCell ref="BW35:BW38"/>
    <mergeCell ref="BC36:BD36"/>
    <mergeCell ref="AC37:AE37"/>
    <mergeCell ref="BC37:BD37"/>
    <mergeCell ref="AC38:AE38"/>
    <mergeCell ref="BC38:BD38"/>
    <mergeCell ref="AI35:AI36"/>
    <mergeCell ref="AJ35:AJ36"/>
    <mergeCell ref="AK35:AK36"/>
    <mergeCell ref="AL35:AL36"/>
    <mergeCell ref="AM35:AM36"/>
    <mergeCell ref="AN35:AN36"/>
    <mergeCell ref="AO35:AO36"/>
    <mergeCell ref="AP35:AP36"/>
    <mergeCell ref="AQ35:AQ36"/>
    <mergeCell ref="T35:U38"/>
    <mergeCell ref="V35:V38"/>
    <mergeCell ref="W35:Y38"/>
    <mergeCell ref="Z35:Z38"/>
    <mergeCell ref="AA35:AB38"/>
    <mergeCell ref="AC35:AE36"/>
    <mergeCell ref="AF35:AF36"/>
    <mergeCell ref="AG35:AG36"/>
    <mergeCell ref="AH35:AH36"/>
    <mergeCell ref="A35:A38"/>
    <mergeCell ref="B35:C38"/>
    <mergeCell ref="E35:F38"/>
    <mergeCell ref="G35:H38"/>
    <mergeCell ref="I35:J38"/>
    <mergeCell ref="L35:L38"/>
    <mergeCell ref="M35:M38"/>
    <mergeCell ref="N35:O38"/>
    <mergeCell ref="R35:S38"/>
    <mergeCell ref="BR15:BR18"/>
    <mergeCell ref="BS15:BT18"/>
    <mergeCell ref="BU15:BU18"/>
    <mergeCell ref="BV15:BV18"/>
    <mergeCell ref="A15:A18"/>
    <mergeCell ref="R15:S18"/>
    <mergeCell ref="AG15:AG16"/>
    <mergeCell ref="AH15:AH16"/>
    <mergeCell ref="AI15:AI16"/>
    <mergeCell ref="AJ15:AJ16"/>
    <mergeCell ref="AL15:AL16"/>
    <mergeCell ref="AM15:AM16"/>
    <mergeCell ref="AN15:AN16"/>
    <mergeCell ref="AR19:AR20"/>
    <mergeCell ref="BC19:BD19"/>
    <mergeCell ref="BR19:BR22"/>
    <mergeCell ref="BS19:BT22"/>
    <mergeCell ref="BU19:BU22"/>
    <mergeCell ref="BV19:BV22"/>
    <mergeCell ref="BW19:BW22"/>
    <mergeCell ref="BC20:BD20"/>
    <mergeCell ref="AC21:AE21"/>
    <mergeCell ref="BC21:BD21"/>
    <mergeCell ref="AC22:AE22"/>
    <mergeCell ref="BC22:BD22"/>
    <mergeCell ref="AI19:AI20"/>
    <mergeCell ref="AJ19:AJ20"/>
    <mergeCell ref="AK19:AK20"/>
    <mergeCell ref="AL19:AL20"/>
    <mergeCell ref="AM19:AM20"/>
    <mergeCell ref="AN19:AN20"/>
    <mergeCell ref="AO19:AO20"/>
    <mergeCell ref="AP19:AP20"/>
    <mergeCell ref="AQ19:AQ20"/>
    <mergeCell ref="T19:U22"/>
    <mergeCell ref="V19:V22"/>
    <mergeCell ref="W19:Y22"/>
    <mergeCell ref="Z19:Z22"/>
    <mergeCell ref="AA19:AB22"/>
    <mergeCell ref="AC19:AE20"/>
    <mergeCell ref="AF19:AF20"/>
    <mergeCell ref="AG19:AG20"/>
    <mergeCell ref="AH19:AH20"/>
    <mergeCell ref="B15:C18"/>
    <mergeCell ref="E15:F18"/>
    <mergeCell ref="G15:H18"/>
    <mergeCell ref="I15:J18"/>
    <mergeCell ref="K15:K18"/>
    <mergeCell ref="L15:L18"/>
    <mergeCell ref="M15:M18"/>
    <mergeCell ref="N15:O18"/>
    <mergeCell ref="P15:Q18"/>
    <mergeCell ref="T15:U18"/>
    <mergeCell ref="V15:V18"/>
    <mergeCell ref="W15:Y18"/>
    <mergeCell ref="Z15:Z18"/>
    <mergeCell ref="AA15:AB18"/>
    <mergeCell ref="AC15:AE16"/>
    <mergeCell ref="AF15:AF16"/>
    <mergeCell ref="AK15:AK16"/>
    <mergeCell ref="K19:K22"/>
    <mergeCell ref="P19:Q22"/>
    <mergeCell ref="AO15:AO16"/>
    <mergeCell ref="AP15:AP16"/>
    <mergeCell ref="BR31:BR34"/>
    <mergeCell ref="BS31:BT34"/>
    <mergeCell ref="BU31:BU34"/>
    <mergeCell ref="BV31:BV34"/>
    <mergeCell ref="BW31:BW34"/>
    <mergeCell ref="BC32:BD32"/>
    <mergeCell ref="AC33:AE33"/>
    <mergeCell ref="BC33:BD33"/>
    <mergeCell ref="AC34:AE34"/>
    <mergeCell ref="BC34:BD34"/>
    <mergeCell ref="AI31:AI32"/>
    <mergeCell ref="AJ31:AJ32"/>
    <mergeCell ref="AK31:AK32"/>
    <mergeCell ref="AL31:AL32"/>
    <mergeCell ref="AM31:AM32"/>
    <mergeCell ref="AN31:AN32"/>
    <mergeCell ref="AO31:AO32"/>
    <mergeCell ref="AP31:AP32"/>
    <mergeCell ref="AQ31:AQ32"/>
    <mergeCell ref="T31:U34"/>
    <mergeCell ref="V31:V34"/>
    <mergeCell ref="W31:Y34"/>
    <mergeCell ref="Z31:Z34"/>
    <mergeCell ref="AA31:AB34"/>
    <mergeCell ref="AC31:AE32"/>
    <mergeCell ref="AF31:AF32"/>
    <mergeCell ref="AG31:AG32"/>
    <mergeCell ref="AH31:AH32"/>
    <mergeCell ref="A31:A34"/>
    <mergeCell ref="B31:C34"/>
    <mergeCell ref="E31:F34"/>
    <mergeCell ref="G31:H34"/>
    <mergeCell ref="I31:J34"/>
    <mergeCell ref="L31:L34"/>
    <mergeCell ref="M31:M34"/>
    <mergeCell ref="N31:O34"/>
    <mergeCell ref="R31:S34"/>
    <mergeCell ref="BR27:BR30"/>
    <mergeCell ref="BS27:BT30"/>
    <mergeCell ref="BU27:BU30"/>
    <mergeCell ref="BV27:BV30"/>
    <mergeCell ref="BW27:BW30"/>
    <mergeCell ref="BC28:BD28"/>
    <mergeCell ref="AC29:AE29"/>
    <mergeCell ref="BC29:BD29"/>
    <mergeCell ref="AC30:AE30"/>
    <mergeCell ref="BC30:BD30"/>
    <mergeCell ref="AI27:AI28"/>
    <mergeCell ref="AJ27:AJ28"/>
    <mergeCell ref="AK27:AK28"/>
    <mergeCell ref="AL27:AL28"/>
    <mergeCell ref="AM27:AM28"/>
    <mergeCell ref="AN27:AN28"/>
    <mergeCell ref="AO27:AO28"/>
    <mergeCell ref="AP27:AP28"/>
    <mergeCell ref="AQ27:AQ28"/>
    <mergeCell ref="T27:U30"/>
    <mergeCell ref="V27:V30"/>
    <mergeCell ref="W27:Y30"/>
    <mergeCell ref="Z27:Z30"/>
    <mergeCell ref="AA27:AB30"/>
    <mergeCell ref="AC27:AE28"/>
    <mergeCell ref="AF27:AF28"/>
    <mergeCell ref="AG27:AG28"/>
    <mergeCell ref="AH27:AH28"/>
    <mergeCell ref="A27:A30"/>
    <mergeCell ref="B27:C30"/>
    <mergeCell ref="E27:F30"/>
    <mergeCell ref="G27:H30"/>
    <mergeCell ref="I27:J30"/>
    <mergeCell ref="L27:L30"/>
    <mergeCell ref="M27:M30"/>
    <mergeCell ref="N27:O30"/>
    <mergeCell ref="R27:S30"/>
    <mergeCell ref="A6:AI6"/>
    <mergeCell ref="A1:AI2"/>
    <mergeCell ref="A3:G3"/>
    <mergeCell ref="H3:V3"/>
    <mergeCell ref="X3:Z3"/>
    <mergeCell ref="AA3:AI3"/>
    <mergeCell ref="A4:G4"/>
    <mergeCell ref="H4:V4"/>
    <mergeCell ref="X4:Z4"/>
    <mergeCell ref="AA4:AI4"/>
    <mergeCell ref="A5:G5"/>
    <mergeCell ref="H5:M5"/>
    <mergeCell ref="N5:V5"/>
    <mergeCell ref="X5:Z5"/>
    <mergeCell ref="AA5:AI5"/>
    <mergeCell ref="A7:AI7"/>
    <mergeCell ref="AC10:AE10"/>
    <mergeCell ref="AR23:AR24"/>
    <mergeCell ref="BC23:BD23"/>
    <mergeCell ref="BR23:BR26"/>
    <mergeCell ref="BS23:BT26"/>
    <mergeCell ref="BU23:BU26"/>
    <mergeCell ref="BV23:BV26"/>
    <mergeCell ref="BW23:BW26"/>
    <mergeCell ref="BC24:BD24"/>
    <mergeCell ref="AC25:AE25"/>
    <mergeCell ref="BC25:BD25"/>
    <mergeCell ref="AC26:AE26"/>
    <mergeCell ref="BC26:BD26"/>
    <mergeCell ref="AI23:AI24"/>
    <mergeCell ref="AJ23:AJ24"/>
    <mergeCell ref="AK23:AK24"/>
    <mergeCell ref="AL23:AL24"/>
    <mergeCell ref="AM23:AM24"/>
    <mergeCell ref="AN23:AN24"/>
    <mergeCell ref="AO23:AO24"/>
    <mergeCell ref="AP23:AP24"/>
    <mergeCell ref="AQ23:AQ24"/>
    <mergeCell ref="T23:U26"/>
    <mergeCell ref="V23:V26"/>
    <mergeCell ref="W23:Y26"/>
    <mergeCell ref="Z23:Z26"/>
    <mergeCell ref="AA23:AB26"/>
    <mergeCell ref="AC23:AE24"/>
    <mergeCell ref="AF23:AF24"/>
    <mergeCell ref="AG23:AG24"/>
    <mergeCell ref="AH23:AH24"/>
    <mergeCell ref="A23:A26"/>
    <mergeCell ref="B23:C26"/>
    <mergeCell ref="E23:F26"/>
    <mergeCell ref="G23:H26"/>
    <mergeCell ref="I23:J26"/>
    <mergeCell ref="L23:L26"/>
    <mergeCell ref="M23:M26"/>
    <mergeCell ref="N23:O26"/>
    <mergeCell ref="R23:S26"/>
    <mergeCell ref="BW15:BW18"/>
    <mergeCell ref="BC16:BD16"/>
    <mergeCell ref="AC17:AE17"/>
    <mergeCell ref="BC17:BD17"/>
    <mergeCell ref="AC18:AE18"/>
    <mergeCell ref="BC18:BD18"/>
    <mergeCell ref="A19:A22"/>
    <mergeCell ref="B19:C22"/>
    <mergeCell ref="BC10:BD10"/>
    <mergeCell ref="BS10:BT10"/>
    <mergeCell ref="T10:U10"/>
    <mergeCell ref="W10:Y10"/>
    <mergeCell ref="AA10:AB10"/>
    <mergeCell ref="AI11:AI12"/>
    <mergeCell ref="M11:M14"/>
    <mergeCell ref="N11:O14"/>
    <mergeCell ref="T11:U14"/>
    <mergeCell ref="V11:V14"/>
    <mergeCell ref="W11:Y14"/>
    <mergeCell ref="Z11:Z14"/>
    <mergeCell ref="N10:O10"/>
    <mergeCell ref="AL11:AL12"/>
    <mergeCell ref="AM11:AM12"/>
    <mergeCell ref="AN11:AN12"/>
    <mergeCell ref="AO11:AO12"/>
    <mergeCell ref="AA11:AB14"/>
    <mergeCell ref="AC11:AE12"/>
    <mergeCell ref="AF11:AF12"/>
    <mergeCell ref="AG11:AG12"/>
    <mergeCell ref="AH11:AH12"/>
    <mergeCell ref="R10:S10"/>
    <mergeCell ref="AC8:AR8"/>
    <mergeCell ref="BU11:BU14"/>
    <mergeCell ref="BV11:BV14"/>
    <mergeCell ref="BW11:BW14"/>
    <mergeCell ref="BC12:BD12"/>
    <mergeCell ref="AC13:AE13"/>
    <mergeCell ref="BC13:BD13"/>
    <mergeCell ref="AC14:AE14"/>
    <mergeCell ref="BC14:BD14"/>
    <mergeCell ref="AP11:AP12"/>
    <mergeCell ref="AQ11:AQ12"/>
    <mergeCell ref="AR11:AR12"/>
    <mergeCell ref="BC11:BD11"/>
    <mergeCell ref="BR11:BR14"/>
    <mergeCell ref="BS11:BT14"/>
    <mergeCell ref="AJ11:AJ12"/>
    <mergeCell ref="AK11:AK12"/>
    <mergeCell ref="BS8:BW8"/>
    <mergeCell ref="BC8:BR8"/>
    <mergeCell ref="P10:Q10"/>
    <mergeCell ref="P11:Q14"/>
    <mergeCell ref="A8:AB8"/>
    <mergeCell ref="R11:S14"/>
    <mergeCell ref="A11:A14"/>
    <mergeCell ref="B11:C14"/>
    <mergeCell ref="E11:F14"/>
    <mergeCell ref="G11:H14"/>
    <mergeCell ref="I11:J14"/>
    <mergeCell ref="L11:L14"/>
    <mergeCell ref="B10:C10"/>
    <mergeCell ref="E10:F10"/>
    <mergeCell ref="G10:H10"/>
    <mergeCell ref="I10:J10"/>
    <mergeCell ref="K11:K14"/>
    <mergeCell ref="AS8:AX8"/>
    <mergeCell ref="AY8:BB8"/>
    <mergeCell ref="D11:D14"/>
    <mergeCell ref="K23:K26"/>
    <mergeCell ref="P23:Q26"/>
    <mergeCell ref="K27:K30"/>
    <mergeCell ref="P27:Q30"/>
    <mergeCell ref="K31:K34"/>
    <mergeCell ref="P31:Q34"/>
    <mergeCell ref="K35:K38"/>
    <mergeCell ref="P35:Q38"/>
    <mergeCell ref="K39:K42"/>
    <mergeCell ref="P39:Q42"/>
    <mergeCell ref="K43:K46"/>
    <mergeCell ref="P43:Q46"/>
    <mergeCell ref="P47:Q50"/>
    <mergeCell ref="P51:Q54"/>
    <mergeCell ref="P55:Q58"/>
    <mergeCell ref="E19:F22"/>
    <mergeCell ref="G19:H22"/>
    <mergeCell ref="I19:J22"/>
    <mergeCell ref="L19:L22"/>
    <mergeCell ref="M19:M22"/>
    <mergeCell ref="N19:O22"/>
    <mergeCell ref="R19:S22"/>
    <mergeCell ref="AL1075:AL1076"/>
    <mergeCell ref="AM1075:AM1076"/>
    <mergeCell ref="AN1075:AN1076"/>
    <mergeCell ref="AO1075:AO1076"/>
    <mergeCell ref="AP1075:AP1076"/>
    <mergeCell ref="AQ1075:AQ1076"/>
    <mergeCell ref="AR1075:AR1076"/>
    <mergeCell ref="BC1075:BD1075"/>
    <mergeCell ref="BC1076:BD1076"/>
    <mergeCell ref="AR27:AR28"/>
    <mergeCell ref="BC27:BD27"/>
    <mergeCell ref="AR31:AR32"/>
    <mergeCell ref="BC31:BD31"/>
    <mergeCell ref="BC75:BD75"/>
    <mergeCell ref="AR79:AR80"/>
    <mergeCell ref="BC79:BD79"/>
    <mergeCell ref="AR83:AR84"/>
    <mergeCell ref="BC83:BD83"/>
    <mergeCell ref="AR87:AR88"/>
    <mergeCell ref="BC87:BD87"/>
    <mergeCell ref="AR91:AR92"/>
    <mergeCell ref="BC91:BD91"/>
    <mergeCell ref="AR95:AR96"/>
    <mergeCell ref="BC95:BD95"/>
    <mergeCell ref="AR99:AR100"/>
    <mergeCell ref="BC99:BD99"/>
    <mergeCell ref="AR103:AR104"/>
    <mergeCell ref="BC103:BD103"/>
    <mergeCell ref="AR107:AR108"/>
    <mergeCell ref="BC107:BD107"/>
    <mergeCell ref="AR111:AR112"/>
    <mergeCell ref="BC111:BD111"/>
    <mergeCell ref="AR115:AR116"/>
    <mergeCell ref="BC115:BD115"/>
    <mergeCell ref="AR119:AR120"/>
    <mergeCell ref="BC119:BD119"/>
    <mergeCell ref="AR123:AR124"/>
    <mergeCell ref="BC123:BD123"/>
    <mergeCell ref="AR127:AR128"/>
    <mergeCell ref="BC127:BD127"/>
    <mergeCell ref="AR131:AR132"/>
    <mergeCell ref="BC131:BD131"/>
    <mergeCell ref="AQ15:AQ16"/>
    <mergeCell ref="AR15:AR16"/>
    <mergeCell ref="BC15:BD15"/>
    <mergeCell ref="AR35:AR36"/>
    <mergeCell ref="BC35:BD35"/>
    <mergeCell ref="AR39:AR40"/>
    <mergeCell ref="BC39:BD39"/>
    <mergeCell ref="AR43:AR44"/>
    <mergeCell ref="BC43:BD43"/>
    <mergeCell ref="AR47:AR48"/>
    <mergeCell ref="BC47:BD47"/>
    <mergeCell ref="AR51:AR52"/>
    <mergeCell ref="BC51:BD51"/>
    <mergeCell ref="AR55:AR56"/>
    <mergeCell ref="BC55:BD55"/>
    <mergeCell ref="AR59:AR60"/>
    <mergeCell ref="BC59:BD59"/>
    <mergeCell ref="AR63:AR64"/>
    <mergeCell ref="BC63:BD63"/>
    <mergeCell ref="AR67:AR68"/>
    <mergeCell ref="BC67:BD67"/>
    <mergeCell ref="AR71:AR72"/>
    <mergeCell ref="BC71:BD71"/>
    <mergeCell ref="AR75:AR76"/>
    <mergeCell ref="AC1077:AE1077"/>
    <mergeCell ref="BC1077:BD1077"/>
    <mergeCell ref="AC1078:AE1078"/>
    <mergeCell ref="BC1078:BD1078"/>
    <mergeCell ref="P1079:Q1082"/>
    <mergeCell ref="P1083:Q1086"/>
    <mergeCell ref="T1083:U1086"/>
    <mergeCell ref="V1083:V1086"/>
    <mergeCell ref="W1083:Y1086"/>
    <mergeCell ref="Z1083:Z1086"/>
    <mergeCell ref="AA1083:AB1086"/>
    <mergeCell ref="AC1083:AE1084"/>
    <mergeCell ref="AF1083:AF1084"/>
    <mergeCell ref="AG1083:AG1084"/>
    <mergeCell ref="AH1083:AH1084"/>
    <mergeCell ref="AI1083:AI1084"/>
    <mergeCell ref="AJ1083:AJ1084"/>
    <mergeCell ref="AK1083:AK1084"/>
    <mergeCell ref="AL1083:AL1084"/>
    <mergeCell ref="AM1083:AM1084"/>
    <mergeCell ref="AN1083:AN1084"/>
    <mergeCell ref="AO1083:AO1084"/>
    <mergeCell ref="AP1083:AP1084"/>
    <mergeCell ref="AQ1083:AQ1084"/>
    <mergeCell ref="AR1083:AR1084"/>
    <mergeCell ref="BC1083:BD1083"/>
    <mergeCell ref="BC1084:BD1084"/>
    <mergeCell ref="AC1085:AE1085"/>
    <mergeCell ref="BC1085:BD1085"/>
    <mergeCell ref="AC1086:AE1086"/>
    <mergeCell ref="BC1086:BD1086"/>
    <mergeCell ref="AA1075:AB1078"/>
    <mergeCell ref="AC1075:AE1076"/>
    <mergeCell ref="AF1075:AF1076"/>
    <mergeCell ref="AG1075:AG1076"/>
    <mergeCell ref="AH1075:AH1076"/>
    <mergeCell ref="AR135:AR136"/>
    <mergeCell ref="BC135:BD135"/>
    <mergeCell ref="AR139:AR140"/>
    <mergeCell ref="BC139:BD139"/>
  </mergeCells>
  <phoneticPr fontId="7" type="noConversion"/>
  <conditionalFormatting sqref="B11:D11 B15:D15 B19:D19 B23:D23 B27:D27 B31:D31 B35:D35 B39:D39 B43:D43 B47:D47 B51:D51 B55:D55 B59:D59 B63:D63 B67:D67 B71:D71 B75:D75 B79:D79 B83:D83 B87:D87 B91:D91 B95:D95 B99:D99 B103:D103 B107:D107 B111:D111 B115:D115 B119:D119 B123:D123 B127:D127 B131:D131 B135:D135 B139:D139 B143:D143 B147:D147 B151:D151 B155:D155 B159:D159 B163:D163 B167:D167 B171:D171 B175:D175 B179:D179 B183:D183 B187:D187 B191:D191 B195:D195 B199:D199 B203:D203 B207:D207 B211:D211 B215:D215 B219:D219 B223:D223 B227:D227 B231:D231 B235:D235 B239:D239 B243:D243 B247:D247 B251:D251 B255:D255 B259:D259 B263:D263 B267:D267 B271:D271 B275:D275 B279:D279 B283:D283 B287:D287 B291:D291 B295:D295 B299:D299 B303:D303 B307:D307 B311:D311 B315:D315 B319:D319 B323:D323 B327:D327 B331:D331 B335:D335 B339:D339 B343:D343 B347:D347 B351:D351 B355:D355 B359:D359 B363:D363 B367:D367 B371:D371 B375:D375 B379:D379 B383:D383 B387:D387 B391:D391 B395:D395 B399:D399 B403:D403 B407:D407 B411:D411 B415:D415 B419:D419 B423:D423 B427:D427 B431:D431 B435:D435 B439:D439 B443:D443 B447:D447 B451:D451 B455:D455 B459:D459 B463:D463 B467:D467 B471:D471 B475:D475 B479:D479 B483:D483 B487:D487 B491:D491 B495:D495 B499:D499 B503:D503 B507:D507 B511:D511 B515:D515 B519:D519 B523:D523 B527:D527 B531:D531 B535:D535 B539:D539 B543:D543 B547:D547 B551:D551 B555:D555 B559:D559 B563:D563 B567:D567 B571:D571 B575:D575 B579:D579 B583:D583 B587:D587 B591:D591 B595:D595 B599:D599 B603:D603 B607:D607 B611:D611 B615:D615 B619:D619 B623:D623 B627:D627 B631:D631 B635:D635 B639:D639 B643:D643 B647:D647 B651:D651 B655:D655 B659:D659 B663:D663 B667:D667 B671:D671 B675:D675 B679:D679 B683:D683 B687:D687 B691:D691 B695:D695 B699:D699 B703:D703 B707:D707 B711:D711 B715:D715 B719:D719 B723:D723 B727:D727 B731:D731 B735:D735 B739:D739 B743:D743 B747:D747 B751:D751 B755:D755 B759:D759 B763:D763 B767:D767 B771:D771 B775:D775 B779:D779 B783:D783 B787:D787 B791:D791 B795:D795 B799:D799 B803:D803 B807:D807 B811:D811 B815:D815 B819:D819 B823:D823 B827:D827 B831:D831 B835:D835 B839:D839 B843:D843 B847:D847 B851:D851 B855:D855 B859:D859 B863:D863 B867:D867 B871:D871 B875:D875 B879:D879 B883:D883 B887:D887 B891:D891 B895:D895 B899:D899 B903:D903 B907:D907 B911:D911 B915:D915 B919:D919 B923:D923 B927:D927 B931:D931 B935:D935 B939:D939 B943:D943 B947:D947 B951:D951 B955:D955 B959:D959 B963:D963 B967:D967 B971:D971 B975:D975 B979:D979 B983:D983 B987:D987 B991:D991 B995:D995 B999:D999 B1003:D1003 B1007:D1007 B1011:D1011 B1015:D1015 B1019:D1019 B1023:D1023 B1027:D1027 B1031:D1031 B1035:D1035 B1039:D1039 B1043:D1043 B1047:D1047 B1051:D1051 B1055:D1055 B1059:D1059 B1063:D1063 B1067:D1067 B1071:D1071 B1075:D1075 B1079:D1079 B1083:D1083">
    <cfRule type="expression" dxfId="31" priority="5">
      <formula>$BU11:BU14="Yes"</formula>
    </cfRule>
  </conditionalFormatting>
  <conditionalFormatting sqref="F11 F15 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419 F423 F427 F431 F435 F439 F443 F447 F451 F455 F459 F463 F467 F471 F475 F479 F483 F487 F491 F495 F499 F503 F507 F511 F515 F519 F523 F527 F531 F535 F539 F543 F547 F551 F555 F559 F563 F567 F571 F575 F579 F583 F587 F591 F595 F599 F603 F607 F611 F615 F619 F623 F627 F631 F635 F639 F643 F647 F651 F655 F659 F663 F667 F671 F675 F679 F683 F687 F691 F695 F699 F703 F707 F711 F715 F719 F723 F727 F731 F735 F739 F743 F747 F751 F755 F759 F763 F767 F771 F775 F779 F783 F787 F791 F795 F799 F803 F807 F811 F815 F819 F823 F827 F831 F835 F839 F843 F847 F851 F855 F859 F863 F867 F871 F875 F879 F883 F887 F891 F895 F899 F903 F907 F911 F915 F919 F923 F927 F931 F935 F939 F943 F947 F951 F955 F959 F963 F967 F971 F975 F979 F983 F987 F991 F995 F999 F1003 F1007 F1011 F1015 F1019 F1023 F1027 F1031 F1035 F1039 F1043 F1047 F1051 F1055 F1059 F1063 F1067 F1071 F1075 F1079 F1083">
    <cfRule type="expression" dxfId="30" priority="7">
      <formula>$BU11:BV14="Yes"</formula>
    </cfRule>
  </conditionalFormatting>
  <conditionalFormatting sqref="G11:H11 G15:H15 G19:H19 G23:H23 G27:H27 G31:H31 G35:H35 G39:H39 G43:H43 G47:H47 G51:H51 G55:H55 G59:H59 G63:H63 G67:H67 G71:H71 G75:H75 G79:H79 G83:H83 G87:H87 G91:H91 G95:H95 G99:H99 G103:H103 G107:H107 G111:H111 G115:H115 G119:H119 G123:H123 G127:H127 G131:H131 G135:H135 G139:H139 G143:H143 G147:H147 G151:H151 G155:H155 G159:H159 G163:H163 G167:H167 G171:H171 G175:H175 G179:H179 G183:H183 G187:H187 G191:H191 G195:H195 G199:H199 G203:H203 G207:H207 G211:H211 G215:H215 G219:H219 G223:H223 G227:H227 G231:H231 G235:H235 G239:H239 G243:H243 G247:H247 G251:H251 G255:H255 G259:H259 G263:H263 G267:H267 G271:H271 G275:H275 G279:H279 G283:H283 G287:H287 G291:H291 G295:H295 G299:H299 G303:H303 G307:H307 G311:H311 G315:H315 G319:H319 G323:H323 G327:H327 G331:H331 G335:H335 G339:H339 G343:H343 G347:H347 G351:H351 G355:H355 G359:H359 G363:H363 G367:H367 G371:H371 G375:H375 G379:H379 G383:H383 G387:H387 G391:H391 G395:H395 G399:H399 G403:H403 G407:H407 G411:H411 G415:H415 G419:H419 G423:H423 G427:H427 G431:H431 G435:H435 G439:H439 G443:H443 G447:H447 G451:H451 G455:H455 G459:H459 G463:H463 G467:H467 G471:H471 G475:H475 G479:H479 G483:H483 G487:H487 G491:H491 G495:H495 G499:H499 G503:H503 G507:H507 G511:H511 G515:H515 G519:H519 G523:H523 G527:H527 G531:H531 G535:H535 G539:H539 G543:H543 G547:H547 G551:H551 G555:H555 G559:H559 G563:H563 G567:H567 G571:H571 G575:H575 G579:H579 G583:H583 G587:H587 G591:H591 G595:H595 G599:H599 G603:H603 G607:H607 G611:H611 G615:H615 G619:H619 G623:H623 G627:H627 G631:H631 G635:H635 G639:H639 G643:H643 G647:H647 G651:H651 G655:H655 G659:H659 G663:H663 G667:H667 G671:H671 G675:H675 G679:H679 G683:H683 G687:H687 G691:H691 G695:H695 G699:H699 G703:H703 G707:H707 G711:H711 G715:H715 G719:H719 G723:H723 G727:H727 G731:H731 G735:H735 G739:H739 G743:H743 G747:H747 G751:H751 G755:H755 G759:H759 G763:H763 G767:H767 G771:H771 G775:H775 G779:H779 G783:H783 G787:H787 G791:H791 G795:H795 G799:H799 G803:H803 G807:H807 G811:H811 G815:H815 G819:H819 G823:H823 G827:H827 G831:H831 G835:H835 G839:H839 G843:H843 G847:H847 G851:H851 G855:H855 G859:H859 G863:H863 G867:H867 G871:H871 G875:H875 G879:H879 G883:H883 G887:H887 G891:H891 G895:H895 G899:H899 G903:H903 G907:H907 G911:H911 G915:H915 G919:H919 G923:H923 G927:H927 G931:H931 G935:H935 G939:H939 G943:H943 G947:H947 G951:H951 G955:H955 G959:H959 G963:H963 G967:H967 G971:H971 G975:H975 G979:H979 G983:H983 G987:H987 G991:H991 G995:H995 G999:H999 G1003:H1003 G1007:H1007 G1011:H1011 G1015:H1015 G1019:H1019 G1023:H1023 G1027:H1027 G1031:H1031 G1035:H1035 G1039:H1039 G1043:H1043 G1047:H1047 G1051:H1051 G1055:H1055 G1059:H1059 G1063:H1063 G1067:H1067 G1071:H1071 G1075:H1075 G1079:H1079 G1083:H1083">
    <cfRule type="expression" dxfId="29" priority="9">
      <formula>$BU11:BV14="Yes"</formula>
    </cfRule>
  </conditionalFormatting>
  <conditionalFormatting sqref="E11 E15 E19 E23 E27 E31 E35 E39 E43 E47 E51 E55 E59 E63 E67 E71 E75 E79 E83 E87 E91 E95 E99 E103 E107 E111 E115 E119 E123 E127 E131 E135 E139 E143 E147 E151 E155 E159 E163 E167 E171 E175 E179 E183 E187 E191 E195 E199 E203 E207 E211 E215 E219 E223 E227 E231 E235 E239 E243 E247 E251 E255 E259 E263 E267 E271 E275 E279 E283 E287 E291 E295 E299 E303 E307 E311 E315 E319 E323 E327 E331 E335 E339 E343 E347 E351 E355 E359 E363 E367 E371 E375 E379 E383 E387 E391 E395 E399 E403 E407 E411 E415 E419 E423 E427 E431 E435 E439 E443 E447 E451 E455 E459 E463 E467 E471 E475 E479 E483 E487 E491 E495 E499 E503 E507 E511 E515 E519 E523 E527 E531 E535 E539 E543 E547 E551 E555 E559 E563 E567 E571 E575 E579 E583 E587 E591 E595 E599 E603 E607 E611 E615 E619 E623 E627 E631 E635 E639 E643 E647 E651 E655 E659 E663 E667 E671 E675 E679 E683 E687 E691 E695 E699 E703 E707 E711 E715 E719 E723 E727 E731 E735 E739 E743 E747 E751 E755 E759 E763 E767 E771 E775 E779 E783 E787 E791 E795 E799 E803 E807 E811 E815 E819 E823 E827 E831 E835 E839 E843 E847 E851 E855 E859 E863 E867 E871 E875 E879 E883 E887 E891 E895 E899 E903 E907 E911 E915 E919 E923 E927 E931 E935 E939 E943 E947 E951 E955 E959 E963 E967 E971 E975 E979 E983 E987 E991 E995 E999 E1003 E1007 E1011 E1015 E1019 E1023 E1027 E1031 E1035 E1039 E1043 E1047 E1051 E1055 E1059 E1063 E1067 E1071 E1075 E1079 E1083">
    <cfRule type="expression" dxfId="28" priority="12">
      <formula>$BU11:BV14="Yes"</formula>
    </cfRule>
  </conditionalFormatting>
  <conditionalFormatting sqref="I11 I15 I19 I23 I27 I31 I35 I39 I43 I47 I51 I55 I59 I63 I67 I71 I75 I79 I83 I87 I91 I95 I99 I103 I107 I111 I115 I119 I123 I127 I131 I135 I139 I143 I147 I151 I155 I159 I163 I167 I171 I175 I179 I183 I187 I191 I195 I199 I203 I207 I211 I215 I219 I223 I227 I231 I235 I239 I243 I247 I251 I255 I259 I263 I267 I271 I275 I279 I283 I287 I291 I295 I299 I303 I307 I311 I315 I319 I323 I327 I331 I335 I339 I343 I347 I351 I355 I359 I363 I367 I371 I375 I379 I383 I387 I391 I395 I399 I403 I407 I411 I415 I419 I423 I427 I431 I435 I439 I443 I447 I451 I455 I459 I463 I467 I471 I475 I479 I483 I487 I491 I495 I499 I503 I507 I511 I515 I519 I523 I527 I531 I535 I539 I543 I547 I551 I555 I559 I563 I567 I571 I575 I579 I583 I587 I591 I595 I599 I603 I607 I611 I615 I619 I623 I627 I631 I635 I639 I643 I647 I651 I655 I659 I663 I667 I671 I675 I679 I683 I687 I691 I695 I699 I703 I707 I711 I715 I719 I723 I727 I731 I735 I739 I743 I747 I751 I755 I759 I763 I767 I771 I775 I779 I783 I787 I791 I795 I799 I803 I807 I811 I815 I819 I823 I827 I831 I835 I839 I843 I847 I851 I855 I859 I863 I867 I871 I875 I879 I883 I887 I891 I895 I899 I903 I907 I911 I915 I919 I923 I927 I931 I935 I939 I943 I947 I951 I955 I959 I963 I967 I971 I975 I979 I983 I987 I991 I995 I999 I1003 I1007 I1011 I1015 I1019 I1023 I1027 I1031 I1035 I1039 I1043 I1047 I1051 I1055 I1059 I1063 I1067 I1071 I1075 I1079 I1083">
    <cfRule type="expression" dxfId="27" priority="16">
      <formula>$BU11:BW14="Yes"</formula>
    </cfRule>
  </conditionalFormatting>
  <conditionalFormatting sqref="J11:K11 J15:K15 J19:K19 J23:K23 J27:K27 J31:K31 J35:K35 J39:K39 J43:K43 J47:K47 J51:K51 J55:K55 J59:K59 J63:K63 J67:K67 J71:K71 J75:K75 J79:K79 J83:K83 J87:K87 J91:K91 J95:K95 J99:K99 J103:K103 J107:K107 J111:K111 J115:K115 J119:K119 J123:K123 J127:K127 J131:K131 J135:K135 J139:K139 J143:K143 J147:K147 J151:K151 J155:K155 J159:K159 J163:K163 J167:K167 J171:K171 J175:K175 J179:K179 J183:K183 J187:K187 J191:K191 J195:K195 J199:K199 J203:K203 J207:K207 J211:K211 J215:K215 J219:K219 J223:K223 J227:K227 J231:K231 J235:K235 J239:K239 J243:K243 J247:K247 J251:K251 J255:K255 J259:K259 J263:K263 J267:K267 J271:K271 J275:K275 J279:K279 J283:K283 J287:K287 J291:K291 J295:K295 J299:K299 J303:K303 J307:K307 J311:K311 J315:K315 J319:K319 J323:K323 J327:K327 J331:K331 J335:K335 J339:K339 J343:K343 J347:K347 J351:K351 J355:K355 J359:K359 J363:K363 J367:K367 J371:K371 J375:K375 J379:K379 J383:K383 J387:K387 J391:K391 J395:K395 J399:K399 J403:K403 J407:K407 J411:K411 J415:K415 J419:K419 J423:K423 J427:K427 J431:K431 J435:K435 J439:K439 J443:K443 J447:K447 J451:K451 J455:K455 J459:K459 J463:K463 J467:K467 J471:K471 J475:K475 J479:K479 J483:K483 J487:K487 J491:K491 J495:K495 J499:K499 J503:K503 J507:K507 J511:K511 J515:K515 J519:K519 J523:K523 J527:K527 J531:K531 J535:K535 J539:K539 J543:K543 J547:K547 J551:K551 J555:K555 J559:K559 J563:K563 J567:K567 J571:K571 J575:K575 J579:K579 J583:K583 J587:K587 J591:K591 J595:K595 J599:K599 J603:K603 J607:K607 J611:K611 J615:K615 J619:K619 J623:K623 J627:K627 J631:K631 J635:K635 J639:K639 J643:K643 J647:K647 J651:K651 J655:K655 J659:K659 J663:K663 J667:K667 J671:K671 J675:K675 J679:K679 J683:K683 J687:K687 J691:K691 J695:K695 J699:K699 J703:K703 J707:K707 J711:K711 J715:K715 J719:K719 J723:K723 J727:K727 J731:K731 J735:K735 J739:K739 J743:K743 J747:K747 J751:K751 J755:K755 J759:K759 J763:K763 J767:K767 J771:K771 J775:K775 J779:K779 J783:K783 J787:K787 J791:K791 J795:K795 J799:K799 J803:K803 J807:K807 J811:K811 J815:K815 J819:K819 J823:K823 J827:K827 J831:K831 J835:K835 J839:K839 J843:K843 J847:K847 J851:K851 J855:K855 J859:K859 J863:K863 J867:K867 J871:K871 J875:K875 J879:K879 J883:K883 J887:K887 J891:K891 J895:K895 J899:K899 J903:K903 J907:K907 J911:K911 J915:K915 J919:K919 J923:K923 J927:K927 J931:K931 J935:K935 J939:K939 J943:K943 J947:K947 J951:K951 J955:K955 J959:K959 J963:K963 J967:K967 J971:K971 J975:K975 J979:K979 J983:K983 J987:K987 J991:K991 J995:K995 J999:K999 J1003:K1003 J1007:K1007 J1011:K1011 J1015:K1015 J1019:K1019 J1023:K1023 J1027:K1027 J1031:K1031 J1035:K1035 J1039:K1039 J1043:K1043 J1047:K1047 J1051:K1051 J1055:K1055 J1059:K1059 J1063:K1063 J1067:K1067 J1071:K1071 J1075:K1075 J1079:K1079 J1083:K1083">
    <cfRule type="expression" dxfId="26" priority="21">
      <formula>$BU13:BX14="Yes"</formula>
    </cfRule>
  </conditionalFormatting>
  <conditionalFormatting sqref="J13:J14 M13:M14 J17:J18 J21:J22 J25:J26 J29:J30 J33:J34 J37:J38 J41:J42 J45:J46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J417:J418 J421:J422 J425:J426 M17:M18 M21:M22 M25:M26 M29:M30 M33:M34 M37:M38 M41:M42 M45:M46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M417:M418 M421:M422 M425:M426 J429:J430 J433:J434 J437:J438 J441:J442 J445:J446 J449:J450 J453:J454 J457:J458 J461:J462 J465:J466 J469:J470 J473:J474 J477:J478 J481:J482 J485:J486 J489:J490 J493:J494 J497:J498 J501:J502 J505:J506 J509:J510 J513:J514 J517:J518 J521:J522 J525:J526 J529:J530 J533:J534 J537:J538 J541:J542 J545:J546 J549:J550 J553:J554 J557:J558 J561:J562 J565:J566 J569:J570 J573:J574 J577:J578 J581:J582 J585:J586 J589:J590 J593:J594 J597:J598 J601:J602 J605:J606 J609:J610 J613:J614 J617:J618 J621:J622 J625:J626 J629:J630 J633:J634 J637:J638 J641:J642 J645:J646 J649:J650 J653:J654 J657:J658 J661:J662 J665:J666 J669:J670 J673:J674 J677:J678 J681:J682 J685:J686 J689:J690 J693:J694 J697:J698 J701:J702 J705:J706 J709:J710 J713:J714 J717:J718 J721:J722 J725:J726 J729:J730 J733:J734 J737:J738 J741:J742 J745:J746 J749:J750 J753:J754 J757:J758 J761:J762 J765:J766 J769:J770 J773:J774 J777:J778 J781:J782 J785:J786 J789:J790 J793:J794 J797:J798 J801:J802 J805:J806 J809:J810 J813:J814 J817:J818 J821:J822 J825:J826 J829:J830 J833:J834 J837:J838 J841:J842 J845:J846 J849:J850 J853:J854 J857:J858 J861:J862 M429:M430 M433:M434 M437:M438 M441:M442 M445:M446 M449:M450 M453:M454 M457:M458 M461:M462 M465:M466 M469:M470 M473:M474 M477:M478 M481:M482 M485:M486 M489:M490 M493:M494 M497:M498 M501:M502 M505:M506 M509:M510 M513:M514 M517:M518 M521:M522 M525:M526 M529:M530 M533:M534 M537:M538 M541:M542 M545:M546 M549:M550 M553:M554 M557:M558 M561:M562 M565:M566 M569:M570 M573:M574 M577:M578 M581:M582 M585:M586 M589:M590 M593:M594 M597:M598 M601:M602 M605:M606 M609:M610 M613:M614 M617:M618 M621:M622 M625:M626 M629:M630 M633:M634 M637:M638 M641:M642 M645:M646 M649:M650 M653:M654 M657:M658 M661:M662 M665:M666 M669:M670 M673:M674 M677:M678 M681:M682 M685:M686 M689:M690 M693:M694 M697:M698 M701:M702 M705:M706 M709:M710 M713:M714 M717:M718 M721:M722 M725:M726 M729:M730 M733:M734 M737:M738 M741:M742 M745:M746 M749:M750 M753:M754 M757:M758 M761:M762 M765:M766 M769:M770 M773:M774 M777:M778 M781:M782 M785:M786 M789:M790 M793:M794 M797:M798 M801:M802 M805:M806 M809:M810 M813:M814 M817:M818 M821:M822 M825:M826 M829:M830 M833:M834 M837:M838 M841:M842 M845:M846 M849:M850 M853:M854 M857:M858 M861:M862 J865:J866 J869:J870 J873:J874 J877:J878 J881:J882 J885:J886 J889:J890 J893:J894 J897:J898 J901:J902 J905:J906 J909:J910 J913:J914 J917:J918 J921:J922 J925:J926 J929:J930 J933:J934 J937:J938 J941:J942 J945:J946 J949:J950 J953:J954 J957:J958 J961:J962 J965:J966 J969:J970 J973:J974 J977:J978 J981:J982 J985:J986 J989:J990 J993:J994 J997:J998 J1001:J1002 J1005:J1006 J1009:J1010 J1013:J1014 J1017:J1018 J1021:J1022 J1025:J1026 J1029:J1030 J1033:J1034 J1037:J1038 J1041:J1042 J1045:J1046 J1049:J1050 J1053:J1054 J1057:J1058 J1061:J1062 J1065:J1066 J1069:J1070 J1073:J1074 J1077:J1078 J1081:J1082 J1085:J1086 M865:M866 M869:M870 M873:M874 M877:M878 M881:M882 M885:M886 M889:M890 M893:M894 M897:M898 M901:M902 M905:M906 M909:M910 M913:M914 M917:M918 M921:M922 M925:M926 M929:M930 M933:M934 M937:M938 M941:M942 M945:M946 M949:M950 M953:M954 M957:M958 M961:M962 M965:M966 M969:M970 M973:M974 M977:M978 M981:M982 M985:M986 M989:M990 M993:M994 M997:M998 M1001:M1002 M1005:M1006 M1009:M1010 M1013:M1014 M1017:M1018 M1021:M1022 M1025:M1026 M1029:M1030 M1033:M1034 M1037:M1038 M1041:M1042 M1045:M1046 M1049:M1050 M1053:M1054 M1057:M1058 M1061:M1062 M1065:M1066 M1069:M1070 M1073:M1074 M1077:M1078 M1081:M1082 M1085:M1086">
    <cfRule type="expression" dxfId="25" priority="22">
      <formula>#REF!="Yes"</formula>
    </cfRule>
  </conditionalFormatting>
  <conditionalFormatting sqref="B12:C12 B16:C16 B20:C20 B24:C24 B28:C28 B32:C32 B36:C36 B40:C40 B44:C44 B48:C48 B52:C52 B56:C56 B60:C60 B64:C64 B68:C68 B72:C72 B76:C76 B80:C80 B84:C84 B88:C88 B92:C92 B96:C96 B100:C100 B104:C104 B108:C108 B112:C112 B116:C116 B120:C120 B124:C124 B128:C128 B132:C132 B136:C136 B140:C140 B144:C144 B148:C148 B152:C152 B156:C156 B160:C160 B164:C164 B168:C168 B172:C172 B176:C176 B180:C180 B184:C184 B188:C188 B192:C192 B196:C196 B200:C200 B204:C204 B208:C208 B212:C212 B216:C216 B220:C220 B224:C224 B228:C228 B232:C232 B236:C236 B240:C240 B244:C244 B248:C248 B252:C252 B256:C256 B260:C260 B264:C264 B268:C268 B272:C272 B276:C276 B280:C280 B284:C284 B288:C288 B292:C292 B296:C296 B300:C300 B304:C304 B308:C308 B312:C312 B316:C316 B320:C320 B324:C324 B328:C328 B332:C332 B336:C336 B340:C340 B344:C344 B348:C348 B352:C352 B356:C356 B360:C360 B364:C364 B368:C368 B372:C372 B376:C376 B380:C380 B384:C384 B388:C388 B392:C392 B396:C396 B400:C400 B404:C404 B408:C408 B412:C412 B416:C416 B420:C420 B424:C424 B428:C428 B432:C432 B436:C436 B440:C440 B444:C444 B448:C448 B452:C452 B456:C456 B460:C460 B464:C464 B468:C468 B472:C472 B476:C476 B480:C480 B484:C484 B488:C488 B492:C492 B496:C496 B500:C500 B504:C504 B508:C508 B512:C512 B516:C516 B520:C520 B524:C524 B528:C528 B532:C532 B536:C536 B540:C540 B544:C544 B548:C548 B552:C552 B556:C556 B560:C560 B564:C564 B568:C568 B572:C572 B576:C576 B580:C580 B584:C584 B588:C588 B592:C592 B596:C596 B600:C600 B604:C604 B608:C608 B612:C612 B616:C616 B620:C620 B624:C624 B628:C628 B632:C632 B636:C636 B640:C640 B644:C644 B648:C648 B652:C652 B656:C656 B660:C660 B664:C664 B668:C668 B672:C672 B676:C676 B680:C680 B684:C684 B688:C688 B692:C692 B696:C696 B700:C700 B704:C704 B708:C708 B712:C712 B716:C716 B720:C720 B724:C724 B728:C728 B732:C732 B736:C736 B740:C740 B744:C744 B748:C748 B752:C752 B756:C756 B760:C760 B764:C764 B768:C768 B772:C772 B776:C776 B780:C780 B784:C784 B788:C788 B792:C792 B796:C796 B800:C800 B804:C804 B808:C808 B812:C812 B816:C816 B820:C820 B824:C824 B828:C828 B832:C832 B836:C836 B840:C840 B844:C844 B848:C848 B852:C852 B856:C856 B860:C860 B864:C864 B868:C868 B872:C872 B876:C876 B880:C880 B884:C884 B888:C888 B892:C892 B896:C896 B900:C900 B904:C904 B908:C908 B912:C912 B916:C916 B920:C920 B924:C924 B928:C928 B932:C932 B936:C936 B940:C940 B944:C944 B948:C948 B952:C952 B956:C956 B960:C960 B964:C964 B968:C968 B972:C972 B976:C976 B980:C980 B984:C984 B988:C988 B992:C992 B996:C996 B1000:C1000 B1004:C1004 B1008:C1008 B1012:C1012 B1016:C1016 B1020:C1020 B1024:C1024 B1028:C1028 B1032:C1032 B1036:C1036 B1040:C1040 B1044:C1044 B1048:C1048 B1052:C1052 B1056:C1056 B1060:C1060 B1064:C1064 B1068:C1068 B1072:C1072 B1076:C1076 B1080:C1080 B1084:C1084">
    <cfRule type="expression" dxfId="24" priority="26">
      <formula>$BU12:BU14="Yes"</formula>
    </cfRule>
  </conditionalFormatting>
  <conditionalFormatting sqref="F12 F16 F20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F420 F424 F428 F432 F436 F440 F444 F448 F452 F456 F460 F464 F468 F472 F476 F480 F484 F488 F492 F496 F500 F504 F508 F512 F516 F520 F524 F528 F532 F536 F540 F544 F548 F552 F556 F560 F564 F568 F572 F576 F580 F584 F588 F592 F596 F600 F604 F608 F612 F616 F620 F624 F628 F632 F636 F640 F644 F648 F652 F656 F660 F664 F668 F672 F676 F680 F684 F688 F692 F696 F700 F704 F708 F712 F716 F720 F724 F728 F732 F736 F740 F744 F748 F752 F756 F760 F764 F768 F772 F776 F780 F784 F788 F792 F796 F800 F804 F808 F812 F816 F820 F824 F828 F832 F836 F840 F844 F848 F852 F856 F860 F864 F868 F872 F876 F880 F884 F888 F892 F896 F900 F904 F908 F912 F916 F920 F924 F928 F932 F936 F940 F944 F948 F952 F956 F960 F964 F968 F972 F976 F980 F984 F988 F992 F996 F1000 F1004 F1008 F1012 F1016 F1020 F1024 F1028 F1032 F1036 F1040 F1044 F1048 F1052 F1056 F1060 F1064 F1068 F1072 F1076 F1080 F1084">
    <cfRule type="expression" dxfId="23" priority="28">
      <formula>$BU12:BV14="Yes"</formula>
    </cfRule>
  </conditionalFormatting>
  <conditionalFormatting sqref="G12:H12 G16:H16 G20:H20 G24:H24 G28:H28 G32:H32 G36:H36 G40:H40 G44:H44 G48:H48 G52:H52 G56:H56 G60:H60 G64:H64 G68:H68 G72:H72 G76:H76 G80:H80 G84:H84 G88:H88 G92:H92 G96:H96 G100:H100 G104:H104 G108:H108 G112:H112 G116:H116 G120:H120 G124:H124 G128:H128 G132:H132 G136:H136 G140:H140 G144:H144 G148:H148 G152:H152 G156:H156 G160:H160 G164:H164 G168:H168 G172:H172 G176:H176 G180:H180 G184:H184 G188:H188 G192:H192 G196:H196 G200:H200 G204:H204 G208:H208 G212:H212 G216:H216 G220:H220 G224:H224 G228:H228 G232:H232 G236:H236 G240:H240 G244:H244 G248:H248 G252:H252 G256:H256 G260:H260 G264:H264 G268:H268 G272:H272 G276:H276 G280:H280 G284:H284 G288:H288 G292:H292 G296:H296 G300:H300 G304:H304 G308:H308 G312:H312 G316:H316 G320:H320 G324:H324 G328:H328 G332:H332 G336:H336 G340:H340 G344:H344 G348:H348 G352:H352 G356:H356 G360:H360 G364:H364 G368:H368 G372:H372 G376:H376 G380:H380 G384:H384 G388:H388 G392:H392 G396:H396 G400:H400 G404:H404 G408:H408 G412:H412 G416:H416 G420:H420 G424:H424 G428:H428 G432:H432 G436:H436 G440:H440 G444:H444 G448:H448 G452:H452 G456:H456 G460:H460 G464:H464 G468:H468 G472:H472 G476:H476 G480:H480 G484:H484 G488:H488 G492:H492 G496:H496 G500:H500 G504:H504 G508:H508 G512:H512 G516:H516 G520:H520 G524:H524 G528:H528 G532:H532 G536:H536 G540:H540 G544:H544 G548:H548 G552:H552 G556:H556 G560:H560 G564:H564 G568:H568 G572:H572 G576:H576 G580:H580 G584:H584 G588:H588 G592:H592 G596:H596 G600:H600 G604:H604 G608:H608 G612:H612 G616:H616 G620:H620 G624:H624 G628:H628 G632:H632 G636:H636 G640:H640 G644:H644 G648:H648 G652:H652 G656:H656 G660:H660 G664:H664 G668:H668 G672:H672 G676:H676 G680:H680 G684:H684 G688:H688 G692:H692 G696:H696 G700:H700 G704:H704 G708:H708 G712:H712 G716:H716 G720:H720 G724:H724 G728:H728 G732:H732 G736:H736 G740:H740 G744:H744 G748:H748 G752:H752 G756:H756 G760:H760 G764:H764 G768:H768 G772:H772 G776:H776 G780:H780 G784:H784 G788:H788 G792:H792 G796:H796 G800:H800 G804:H804 G808:H808 G812:H812 G816:H816 G820:H820 G824:H824 G828:H828 G832:H832 G836:H836 G840:H840 G844:H844 G848:H848 G852:H852 G856:H856 G860:H860 G864:H864 G868:H868 G872:H872 G876:H876 G880:H880 G884:H884 G888:H888 G892:H892 G896:H896 G900:H900 G904:H904 G908:H908 G912:H912 G916:H916 G920:H920 G924:H924 G928:H928 G932:H932 G936:H936 G940:H940 G944:H944 G948:H948 G952:H952 G956:H956 G960:H960 G964:H964 G968:H968 G972:H972 G976:H976 G980:H980 G984:H984 G988:H988 G992:H992 G996:H996 G1000:H1000 G1004:H1004 G1008:H1008 G1012:H1012 G1016:H1016 G1020:H1020 G1024:H1024 G1028:H1028 G1032:H1032 G1036:H1036 G1040:H1040 G1044:H1044 G1048:H1048 G1052:H1052 G1056:H1056 G1060:H1060 G1064:H1064 G1068:H1068 G1072:H1072 G1076:H1076 G1080:H1080 G1084:H1084">
    <cfRule type="expression" dxfId="22" priority="30">
      <formula>$BU12:BV14="Yes"</formula>
    </cfRule>
  </conditionalFormatting>
  <conditionalFormatting sqref="E12 E16 E20 E24 E28 E32 E36 E40 E44 E48 E52 E56 E60 E64 E68 E72 E76 E80 E84 E88 E92 E96 E100 E104 E108 E112 E116 E120 E124 E128 E132 E136 E140 E144 E148 E152 E156 E160 E164 E168 E172 E176 E180 E184 E188 E192 E196 E200 E204 E208 E212 E216 E220 E224 E228 E232 E236 E240 E244 E248 E252 E256 E260 E264 E268 E272 E276 E280 E284 E288 E292 E296 E300 E304 E308 E312 E316 E320 E324 E328 E332 E336 E340 E344 E348 E352 E356 E360 E364 E368 E372 E376 E380 E384 E388 E392 E396 E400 E404 E408 E412 E416 E420 E424 E428 E432 E436 E440 E444 E448 E452 E456 E460 E464 E468 E472 E476 E480 E484 E488 E492 E496 E500 E504 E508 E512 E516 E520 E524 E528 E532 E536 E540 E544 E548 E552 E556 E560 E564 E568 E572 E576 E580 E584 E588 E592 E596 E600 E604 E608 E612 E616 E620 E624 E628 E632 E636 E640 E644 E648 E652 E656 E660 E664 E668 E672 E676 E680 E684 E688 E692 E696 E700 E704 E708 E712 E716 E720 E724 E728 E732 E736 E740 E744 E748 E752 E756 E760 E764 E768 E772 E776 E780 E784 E788 E792 E796 E800 E804 E808 E812 E816 E820 E824 E828 E832 E836 E840 E844 E848 E852 E856 E860 E864 E868 E872 E876 E880 E884 E888 E892 E896 E900 E904 E908 E912 E916 E920 E924 E928 E932 E936 E940 E944 E948 E952 E956 E960 E964 E968 E972 E976 E980 E984 E988 E992 E996 E1000 E1004 E1008 E1012 E1016 E1020 E1024 E1028 E1032 E1036 E1040 E1044 E1048 E1052 E1056 E1060 E1064 E1068 E1072 E1076 E1080 E1084">
    <cfRule type="expression" dxfId="21" priority="32">
      <formula>$BU12:BV14="Yes"</formula>
    </cfRule>
  </conditionalFormatting>
  <conditionalFormatting sqref="I12 I16 I20 I24 I28 I32 I36 I40 I44 I48 I52 I56 I60 I64 I68 I72 I76 I80 I84 I88 I92 I96 I100 I104 I108 I112 I116 I120 I124 I128 I132 I136 I140 I144 I148 I152 I156 I160 I164 I168 I172 I176 I180 I184 I188 I192 I196 I200 I204 I208 I212 I216 I220 I224 I228 I232 I236 I240 I244 I248 I252 I256 I260 I264 I268 I272 I276 I280 I284 I288 I292 I296 I300 I304 I308 I312 I316 I320 I324 I328 I332 I336 I340 I344 I348 I352 I356 I360 I364 I368 I372 I376 I380 I384 I388 I392 I396 I400 I404 I408 I412 I416 I420 I424 I428 I432 I436 I440 I444 I448 I452 I456 I460 I464 I468 I472 I476 I480 I484 I488 I492 I496 I500 I504 I508 I512 I516 I520 I524 I528 I532 I536 I540 I544 I548 I552 I556 I560 I564 I568 I572 I576 I580 I584 I588 I592 I596 I600 I604 I608 I612 I616 I620 I624 I628 I632 I636 I640 I644 I648 I652 I656 I660 I664 I668 I672 I676 I680 I684 I688 I692 I696 I700 I704 I708 I712 I716 I720 I724 I728 I732 I736 I740 I744 I748 I752 I756 I760 I764 I768 I772 I776 I780 I784 I788 I792 I796 I800 I804 I808 I812 I816 I820 I824 I828 I832 I836 I840 I844 I848 I852 I856 I860 I864 I868 I872 I876 I880 I884 I888 I892 I896 I900 I904 I908 I912 I916 I920 I924 I928 I932 I936 I940 I944 I948 I952 I956 I960 I964 I968 I972 I976 I980 I984 I988 I992 I996 I1000 I1004 I1008 I1012 I1016 I1020 I1024 I1028 I1032 I1036 I1040 I1044 I1048 I1052 I1056 I1060 I1064 I1068 I1072 I1076 I1080 I1084">
    <cfRule type="expression" dxfId="20" priority="34">
      <formula>$BU12:BW14="Yes"</formula>
    </cfRule>
  </conditionalFormatting>
  <conditionalFormatting sqref="T19:AB19 T23:AB23 T27:AB27 T31:AB31 T35:AB35 T39:AB39 T43:AB43 T47:AB47 T51:AB51 T55:AB55 T59:AB59 T63:AB63 T67:AB67 T71:AB71 T75:AB75 T79:AB79 T83:AB83 T87:AB87 T91:AB91 T95:AB95 T99:AB99 T103:AB103 T107:AB107 T111:AB111 T115:AB115 T119:AB119 T123:AB123 T127:AB127 T131:AB131 T135:AB135 T139:AB139 T143:AB143 T147:AB147 T151:AB151 T155:AB155 T159:AB159 T163:AB163 T167:AB167 T171:AB171 T175:AB175 T179:AB179 T183:AB183 T187:AB187 T191:AB191 T195:AB195 T199:AB199 T203:AB203 T207:AB207 T211:AB211 T215:AB215 T219:AB219 T223:AB223 T227:AB227 T231:AB231 T235:AB235 T239:AB239 T243:AB243 T247:AB247 T251:AB251 T255:AB255 T259:AB259 T263:AB263 T267:AB267 T271:AB271 T275:AB275 T279:AB279 T283:AB283 T287:AB287 T291:AB291 T295:AB295 T299:AB299 T303:AB303 T307:AB307 T311:AB311 T315:AB315 T319:AB319 T323:AB323 T327:AB327 T331:AB331 T335:AB335 T339:AB339 T343:AB343 T347:AB347 T351:AB351 T355:AB355 T359:AB359 T363:AB363 T367:AB367 T371:AB371 T375:AB375 T379:AB379 T383:AB383 T387:AB387 T391:AB391 T395:AB395 T399:AB399 T403:AB403 T407:AB407 T411:AB411 T415:AB415 T419:AB419 T423:AB423 T427:AB427 T431:AB431 T435:AB435 T439:AB439 T443:AB443 T447:AB447 T451:AB451 T455:AB455 T459:AB459 T463:AB463 T467:AB467 T471:AB471 T475:AB475 T479:AB479 T483:AB483 T487:AB487 T491:AB491 T495:AB495 T499:AB499 T503:AB503 T507:AB507 T511:AB511 T515:AB515 T519:AB519 T523:AB523 T527:AB527 T531:AB531 T535:AB535 T539:AB539 T543:AB543 T547:AB547 T551:AB551 T555:AB555 T559:AB559 T563:AB563 T567:AB567 T571:AB571 T575:AB575 T579:AB579 T583:AB583 T587:AB587 T591:AB591 T595:AB595 T599:AB599 T603:AB603 T607:AB607 T611:AB611 T615:AB615 T619:AB619 T623:AB623 T627:AB627 T631:AB631 T635:AB635 T639:AB639 T643:AB643 T647:AB647 T651:AB651 T655:AB655 T659:AB659 T663:AB663 T667:AB667 T671:AB671 T675:AB675 T679:AB679 T683:AB683 T687:AB687 T691:AB691 T695:AB695 T699:AB699 T703:AB703 T707:AB707 T711:AB711 T715:AB715 T719:AB719 T723:AB723 T727:AB727 T731:AB731 T735:AB735 T739:AB739 T743:AB743 T747:AB747 T751:AB751 T755:AB755 T759:AB759 T763:AB763 T767:AB767 T771:AB771 T775:AB775 T779:AB779 T783:AB783 T787:AB787 T791:AB791 T795:AB795 T799:AB799 T803:AB803 T807:AB807 T811:AB811 T815:AB815 T819:AB819 T823:AB823 T827:AB827 T831:AB831 T835:AB835 T839:AB839 T843:AB843 T847:AB847 T851:AB851 T855:AB855 T859:AB859 T863:AB863 T867:AB867 T871:AB871 T875:AB875 T879:AB879 T883:AB883 T887:AB887 T891:AB891 T895:AB895 T899:AB899 T903:AB903 T907:AB907 T911:AB911 T915:AB915 T919:AB919 T923:AB923 T927:AB927 T931:AB931 T935:AB935 T939:AB939 T943:AB943 T947:AB947 T951:AB951 T955:AB955 T959:AB959 T963:AB963 T967:AB967 T971:AB971 T975:AB975 T979:AB979 T983:AB983 T987:AB987 T991:AB991 T995:AB995 T999:AB999 T1003:AB1003 T1007:AB1007 T1011:AB1011 T1015:AB1015 T1019:AB1019 T1023:AB1023 T1027:AB1027 T1031:AB1031 T1035:AB1035 T1039:AB1039 T1043:AB1043 T1047:AB1047 T1051:AB1051 T1055:AB1055 T1059:AB1059 T1063:AB1063 T1067:AB1067 T1071:AB1071 T1075:AB1075 T1079:AB1079 T1083:AB1083 T11:AB11 T15:AB15">
    <cfRule type="expression" dxfId="19" priority="35">
      <formula>$BU13:CB14="Yes"</formula>
    </cfRule>
  </conditionalFormatting>
  <conditionalFormatting sqref="T13:U14 T17:U18 T21:U22 T25:U26 T29:U30 T33:U34 T37:U38 T41:U42 T45:U46 T49:U50 T53:U54 T57:U58 T61:U62 T65:U66 T69:U70 T73:U74 T77:U78 T81:U82 T85:U86 T89:U90 T93:U94 T97:U98 T101:U102 T105:U106 T109:U110 T113:U114 T117:U118 T121:U122 T125:U126 T129:U130 T133:U134 T137:U138 T141:U142 T145:U146 T149:U150 T153:U154 T157:U158 T161:U162 T165:U166 T169:U170 T173:U174 T177:U178 T181:U182 T185:U186 T189:U190 T193:U194 T197:U198 T201:U202 T205:U206 T209:U210 T213:U214 T217:U218 T221:U222 T225:U226 T229:U230 T233:U234 T237:U238 T241:U242 T245:U246 T249:U250 T253:U254 T257:U258 T261:U262 T265:U266 T269:U270 T273:U274 T277:U278 T281:U282 T285:U286 T289:U290 T293:U294 T297:U298 T301:U302 T305:U306 T309:U310 T313:U314 T317:U318 T321:U322 T325:U326 T329:U330 T333:U334 T337:U338 T341:U342 T345:U346 T349:U350 T353:U354 T357:U358 T361:U362 T365:U366 T369:U370 T373:U374 T377:U378 T381:U382 T385:U386 T389:U390 T393:U394 T397:U398 T401:U402 T405:U406 T409:U410 T413:U414 T417:U418 T421:U422 T425:U426 W21:AB22 W25:AB26 W29:AB30 W33:AB34 W37:AB38 W41:AB42 W45:AB46 W49:AB50 W53:AB54 W57:AB58 W61:AB62 W65:AB66 W69:AB70 W73:AB74 W77:AB78 W81:AB82 W85:AB86 W89:AB90 W93:AB94 W97:AB98 W101:AB102 W105:AB106 W109:AB110 W113:AB114 W117:AB118 W121:AB122 W125:AB126 W129:AB130 W133:AB134 W137:AB138 W141:AB142 W145:AB146 W149:AB150 W153:AB154 W157:AB158 W161:AB162 W165:AB166 W169:AB170 W173:AB174 W177:AB178 W181:AB182 W185:AB186 W189:AB190 W193:AB194 W197:AB198 W201:AB202 W205:AB206 W209:AB210 W213:AB214 W217:AB218 W221:AB222 W225:AB226 W229:AB230 W233:AB234 W237:AB238 W241:AB242 W245:AB246 W249:AB250 W253:AB254 W257:AB258 W261:AB262 W265:AB266 W269:AB270 W273:AB274 W277:AB278 W281:AB282 W285:AB286 W289:AB290 W293:AB294 W297:AB298 W301:AB302 W305:AB306 W309:AB310 W313:AB314 W317:AB318 W321:AB322 W325:AB326 W329:AB330 W333:AB334 W337:AB338 W341:AB342 W345:AB346 W349:AB350 W353:AB354 W357:AB358 W361:AB362 W365:AB366 W369:AB370 W373:AB374 W377:AB378 W381:AB382 W385:AB386 W389:AB390 W393:AB394 W397:AB398 W401:AB402 W405:AB406 W409:AB410 W413:AB414 W417:AB418 W421:AB422 W425:AB426 T429:U430 T433:U434 T437:U438 T441:U442 T445:U446 T449:U450 T453:U454 T457:U458 T461:U462 T465:U466 T469:U470 T473:U474 T477:U478 T481:U482 T485:U486 T489:U490 T493:U494 T497:U498 T501:U502 T505:U506 T509:U510 T513:U514 T517:U518 T521:U522 T525:U526 T529:U530 T533:U534 T537:U538 T541:U542 T545:U546 T549:U550 T553:U554 T557:U558 T561:U562 T565:U566 T569:U570 T573:U574 T577:U578 T581:U582 T585:U586 T589:U590 T593:U594 T597:U598 T601:U602 T605:U606 T609:U610 T613:U614 T617:U618 T621:U622 T625:U626 T629:U630 T633:U634 T637:U638 T641:U642 T645:U646 T649:U650 T653:U654 T657:U658 T661:U662 T665:U666 T669:U670 T673:U674 T677:U678 T681:U682 T685:U686 T689:U690 T693:U694 T697:U698 T701:U702 T705:U706 T709:U710 T713:U714 T717:U718 T721:U722 T725:U726 T729:U730 T733:U734 T737:U738 T741:U742 T745:U746 T749:U750 T753:U754 T757:U758 T761:U762 T765:U766 T769:U770 T773:U774 T777:U778 T781:U782 T785:U786 T789:U790 T793:U794 T797:U798 T801:U802 T805:U806 T809:U810 T813:U814 T817:U818 T821:U822 T825:U826 T829:U830 T833:U834 T837:U838 T841:U842 T845:U846 T849:U850 T853:U854 T857:U858 T861:U862 W429:AB430 W433:AB434 W437:AB438 W441:AB442 W445:AB446 W449:AB450 W453:AB454 W457:AB458 W461:AB462 W465:AB466 W469:AB470 W473:AB474 W477:AB478 W481:AB482 W485:AB486 W489:AB490 W493:AB494 W497:AB498 W501:AB502 W505:AB506 W509:AB510 W513:AB514 W517:AB518 W521:AB522 W525:AB526 W529:AB530 W533:AB534 W537:AB538 W541:AB542 W545:AB546 W549:AB550 W553:AB554 W557:AB558 W561:AB562 W565:AB566 W569:AB570 W573:AB574 W577:AB578 W581:AB582 W585:AB586 W589:AB590 W593:AB594 W597:AB598 W601:AB602 W605:AB606 W609:AB610 W613:AB614 W617:AB618 W621:AB622 W625:AB626 W629:AB630 W633:AB634 W637:AB638 W641:AB642 W645:AB646 W649:AB650 W653:AB654 W657:AB658 W661:AB662 W665:AB666 W669:AB670 W673:AB674 W677:AB678 W681:AB682 W685:AB686 W689:AB690 W693:AB694 W697:AB698 W701:AB702 W705:AB706 W709:AB710 W713:AB714 W717:AB718 W721:AB722 W725:AB726 W729:AB730 W733:AB734 W737:AB738 W741:AB742 W745:AB746 W749:AB750 W753:AB754 W757:AB758 W761:AB762 W765:AB766 W769:AB770 W773:AB774 W777:AB778 W781:AB782 W785:AB786 W789:AB790 W793:AB794 W797:AB798 W801:AB802 W805:AB806 W809:AB810 W813:AB814 W817:AB818 W821:AB822 W825:AB826 W829:AB830 W833:AB834 W837:AB838 W841:AB842 W845:AB846 W849:AB850 W853:AB854 W857:AB858 W861:AB862 T865:U866 T869:U870 T873:U874 T877:U878 T881:U882 T885:U886 T889:U890 T893:U894 T897:U898 T901:U902 T905:U906 T909:U910 T913:U914 T917:U918 T921:U922 T925:U926 T929:U930 T933:U934 T937:U938 T941:U942 T945:U946 T949:U950 T953:U954 T957:U958 T961:U962 T965:U966 T969:U970 T973:U974 T977:U978 T981:U982 T985:U986 T989:U990 T993:U994 T997:U998 T1001:U1002 T1005:U1006 T1009:U1010 T1013:U1014 T1017:U1018 T1021:U1022 T1025:U1026 T1029:U1030 T1033:U1034 T1037:U1038 T1041:U1042 T1045:U1046 T1049:U1050 T1053:U1054 T1057:U1058 T1061:U1062 T1065:U1066 T1069:U1070 T1073:U1074 T1077:U1078 T1081:U1082 T1085:U1086 W865:AB866 W869:AB870 W873:AB874 W877:AB878 W881:AB882 W885:AB886 W889:AB890 W893:AB894 W897:AB898 W901:AB902 W905:AB906 W909:AB910 W913:AB914 W917:AB918 W921:AB922 W925:AB926 W929:AB930 W933:AB934 W937:AB938 W941:AB942 W945:AB946 W949:AB950 W953:AB954 W957:AB958 W961:AB962 W965:AB966 W969:AB970 W973:AB974 W977:AB978 W981:AB982 W985:AB986 W989:AB990 W993:AB994 W997:AB998 W1001:AB1002 W1005:AB1006 W1009:AB1010 W1013:AB1014 W1017:AB1018 W1021:AB1022 W1025:AB1026 W1029:AB1030 W1033:AB1034 W1037:AB1038 W1041:AB1042 W1045:AB1046 W1049:AB1050 W1053:AB1054 W1057:AB1058 W1061:AB1062 W1065:AB1066 W1069:AB1070 W1073:AB1074 W1077:AB1078 W1081:AB1082 W1085:AB1086 W13:AB14 W17:AB18">
    <cfRule type="expression" dxfId="18" priority="37">
      <formula>#REF!="Yes"</formula>
    </cfRule>
  </conditionalFormatting>
  <conditionalFormatting sqref="R11 R15 R19 R23 R27 R31 R35 R39 R43 R47 R51 R55 R59 R63 R67 R71 R75 R79 R83 R87 R91 R95 R99 R103 R107 R111 R115 R119 R123 R127 R131 R135 R139 R143 R147 R151 R155 R159 R163 R167 R171 R175 R179 R183 R187 R191 R195 R199 R203 R207 R211 R215 R219 R223 R227 R231 R235 R239 R243 R247 R251 R255 R259 R263 R267 R271 R275 R279 R283 R287 R291 R295 R299 R303 R307 R311 R315 R319 R323 R327 R331 R335 R339 R343 R347 R351 R355 R359 R363 R367 R371 R375 R379 R383 R387 R391 R395 R399 R403 R407 R411 R415 R419 R423 R427 R431 R435 R439 R443 R447 R451 R455 R459 R463 R467 R471 R475 R479 R483 R487 R491 R495 R499 R503 R507 R511 R515 R519 R523 R527 R531 R535 R539 R543 R547 R551 R555 R559 R563 R567 R571 R575 R579 R583 R587 R591 R595 R599 R603 R607 R611 R615 R619 R623 R627 R631 R635 R639 R643 R647 R651 R655 R659 R663 R667 R671 R675 R679 R683 R687 R691 R695 R699 R703 R707 R711 R715 R719 R723 R727 R731 R735 R739 R743 R747 R751 R755 R759 R763 R767 R771 R775 R779 R783 R787 R791 R795 R799 R803 R807 R811 R815 R819 R823 R827 R831 R835 R839 R843 R847 R851 R855 R859 R863 R867 R871 R875 R879 R883 R887 R891 R895 R899 R903 R907 R911 R915 R919 R923 R927 R931 R935 R939 R943 R947 R951 R955 R959 R963 R967 R971 R975 R979 R983 R987 R991 R995 R999 R1003 R1007 R1011 R1015 R1019 R1023 R1027 R1031 R1035 R1039 R1043 R1047 R1051 R1055 R1059 R1063 R1067 R1071 R1075 R1079 R1083">
    <cfRule type="expression" dxfId="17" priority="40">
      <formula>$BU13:CB14="Yes"</formula>
    </cfRule>
  </conditionalFormatting>
  <conditionalFormatting sqref="N13:O14 N17:O18 N21:O22 N25:O26 N29:O30 N33:O34 N37:O38 N41:O42 N45:O46 N49:O50 N53:O54 N57:O58 N61:O62 N65:O66 N69:O70 N73:O74 N77:O78 N81:O82 N85:O86 N89:O90 N93:O94 N97:O98 N101:O102 N105:O106 N109:O110 N113:O114 N117:O118 N121:O122 N125:O126 N129:O130 N133:O134 N137:O138 N141:O142 N145:O146 N149:O150 N153:O154 N157:O158 N161:O162 N165:O166 N169:O170 N173:O174 N177:O178 N181:O182 N185:O186 N189:O190 N193:O194 N197:O198 N201:O202 N205:O206 N209:O210 N213:O214 N217:O218 N221:O222 N225:O226 N229:O230 N233:O234 N237:O238 N241:O242 N245:O246 N249:O250 N253:O254 N257:O258 N261:O262 N265:O266 N269:O270 N273:O274 N277:O278 N281:O282 N285:O286 N289:O290 N293:O294 N297:O298 N301:O302 N305:O306 N309:O310 N313:O314 N317:O318 N321:O322 N325:O326 N329:O330 N333:O334 N337:O338 N341:O342 N345:O346 N349:O350 N353:O354 N357:O358 N361:O362 N365:O366 N369:O370 N373:O374 N377:O378 N381:O382 N385:O386 N389:O390 N393:O394 N397:O398 N401:O402 N405:O406 N409:O410 N413:O414 N417:O418 N421:O422 N425:O426 N429:O430 N433:O434 N437:O438 N441:O442 N445:O446 N449:O450 N453:O454 N457:O458 N461:O462 N465:O466 N469:O470 N473:O474 N477:O478 N481:O482 N485:O486 N489:O490 N493:O494 N497:O498 N501:O502 N505:O506 N509:O510 N513:O514 N517:O518 N521:O522 N525:O526 N529:O530 N533:O534 N537:O538 N541:O542 N545:O546 N549:O550 N553:O554 N557:O558 N561:O562 N565:O566 N569:O570 N573:O574 N577:O578 N581:O582 N585:O586 N589:O590 N593:O594 N597:O598 N601:O602 N605:O606 N609:O610 N613:O614 N617:O618 N621:O622 N625:O626 N629:O630 N633:O634 N637:O638 N641:O642 N645:O646 N649:O650 N653:O654 N657:O658 N661:O662 N665:O666 N669:O670 N673:O674 N677:O678 N681:O682 N685:O686 N689:O690 N693:O694 N697:O698 N701:O702 N705:O706 N709:O710 N713:O714 N717:O718 N721:O722 N725:O726 N729:O730 N733:O734 N737:O738 N741:O742 N745:O746 N749:O750 N753:O754 N757:O758 N761:O762 N765:O766 N769:O770 N773:O774 N777:O778 N781:O782 N785:O786 N789:O790 N793:O794 N797:O798 N801:O802 N805:O806 N809:O810 N813:O814 N817:O818 N821:O822 N825:O826 N829:O830 N833:O834 N837:O838 N841:O842 N845:O846 N849:O850 N853:O854 N857:O858 N861:O862 N865:O866 N869:O870 N873:O874 N877:O878 N881:O882 N885:O886 N889:O890 N893:O894 N897:O898 N901:O902 N905:O906 N909:O910 N913:O914 N917:O918 N921:O922 N925:O926 N929:O930 N933:O934 N937:O938 N941:O942 N945:O946 N949:O950 N953:O954 N957:O958 N961:O962 N965:O966 N969:O970 N973:O974 N977:O978 N981:O982 N985:O986 N989:O990 N993:O994 N997:O998 N1001:O1002 N1005:O1006 N1009:O1010 N1013:O1014 N1017:O1018 N1021:O1022 N1025:O1026 N1029:O1030 N1033:O1034 N1037:O1038 N1041:O1042 N1045:O1046 N1049:O1050 N1053:O1054 N1057:O1058 N1061:O1062 N1065:O1066 N1069:O1070 N1073:O1074 N1077:O1078 N1081:O1082 N1085:O1086">
    <cfRule type="expression" dxfId="16" priority="42">
      <formula>#REF!="Yes"</formula>
    </cfRule>
  </conditionalFormatting>
  <conditionalFormatting sqref="M11 M15 M19 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M419 M423 M427 M431 M435 M439 M443 M447 M451 M455 M459 M463 M467 M471 M475 M479 M483 M487 M491 M495 M499 M503 M507 M511 M515 M519 M523 M527 M531 M535 M539 M543 M547 M551 M555 M559 M563 M567 M571 M575 M579 M583 M587 M591 M595 M599 M603 M607 M611 M615 M619 M623 M627 M631 M635 M639 M643 M647 M651 M655 M659 M663 M667 M671 M675 M679 M683 M687 M691 M695 M699 M703 M707 M711 M715 M719 M723 M727 M731 M735 M739 M743 M747 M751 M755 M759 M763 M767 M771 M775 M779 M783 M787 M791 M795 M799 M803 M807 M811 M815 M819 M823 M827 M831 M835 M839 M843 M847 M851 M855 M859 M863 M867 M871 M875 M879 M883 M887 M891 M895 M899 M903 M907 M911 M915 M919 M923 M927 M931 M935 M939 M943 M947 M951 M955 M959 M963 M967 M971 M975 M979 M983 M987 M991 M995 M999 M1003 M1007 M1011 M1015 M1019 M1023 M1027 M1031 M1035 M1039 M1043 M1047 M1051 M1055 M1059 M1063 M1067 M1071 M1075 M1079 M1083">
    <cfRule type="expression" dxfId="15" priority="1383">
      <formula>$BU13:BZ14="Yes"</formula>
    </cfRule>
  </conditionalFormatting>
  <conditionalFormatting sqref="N11:P11 N15:P15 N19:P19 N23:P23 N27:P27 N31:P31 N35:P35 N39:P39 N43:P43 N47:P47 N51:P51 N55:P55 N59:P59 N63:P63 N67:P67 N71:P71 N75:P75 N79:P79 N83:P83 N87:P87 N91:P91 N95:P95 N99:P99 N103:P103 N107:P107 N111:P111 N115:P115 N119:P119 N123:P123 N127:P127 N131:P131 N135:P135 N139:P139 N143:P143 N147:P147 N151:P151 N155:P155 N159:P159 N163:P163 N167:P167 N171:P171 N175:P175 N179:P179 N183:P183 N187:P187 N191:P191 N195:P195 N199:P199 N203:P203 N207:P207 N211:P211 N215:P215 N219:P219 N223:P223 N227:P227 N231:P231 N235:P235 N239:P239 N243:P243 N247:P247 N251:P251 N255:P255 N259:P259 N263:P263 N267:P267 N271:P271 N275:P275 N279:P279 N283:P283 N287:P287 N291:P291 N295:P295 N299:P299 N303:P303 N307:P307 N311:P311 N315:P315 N319:P319 N323:P323 N327:P327 N331:P331 N335:P335 N339:P339 N343:P343 N347:P347 N351:P351 N355:P355 N359:P359 N363:P363 N367:P367 N371:P371 N375:P375 N379:P379 N383:P383 N387:P387 N391:P391 N395:P395 N399:P399 N403:P403 N407:P407 N411:P411 N415:P415 N419:P419 N423:P423 N427:P427 N431:P431 N435:P435 N439:P439 N443:P443 N447:P447 N451:P451 N455:P455 N459:P459 N463:P463 N467:P467 N471:P471 N475:P475 N479:P479 N483:P483 N487:P487 N491:P491 N495:P495 N499:P499 N503:P503 N507:P507 N511:P511 N515:P515 N519:P519 N523:P523 N527:P527 N531:P531 N535:P535 N539:P539 N543:P543 N547:P547 N551:P551 N555:P555 N559:P559 N563:P563 N567:P567 N571:P571 N575:P575 N579:P579 N583:P583 N587:P587 N591:P591 N595:P595 N599:P599 N603:P603 N607:P607 N611:P611 N615:P615 N619:P619 N623:P623 N627:P627 N631:P631 N635:P635 N639:P639 N643:P643 N647:P647 N651:P651 N655:P655 N659:P659 N663:P663 N667:P667 N671:P671 N675:P675 N679:P679 N683:P683 N687:P687 N691:P691 N695:P695 N699:P699 N703:P703 N707:P707 N711:P711 N715:P715 N719:P719 N723:P723 N727:P727 N731:P731 N735:P735 N739:P739 N743:P743 N747:P747 N751:P751 N755:P755 N759:P759 N763:P763 N767:P767 N771:P771 N775:P775 N779:P779 N783:P783 N787:P787 N791:P791 N795:P795 N799:P799 N803:P803 N807:P807 N811:P811 N815:P815 N819:P819 N823:P823 N827:P827 N831:P831 N835:P835 N839:P839 N843:P843 N847:P847 N851:P851 N855:P855 N859:P859 N863:P863 N867:P867 N871:P871 N875:P875 N879:P879 N883:P883 N887:P887 N891:P891 N895:P895 N899:P899 N903:P903 N907:P907 N911:P911 N915:P915 N919:P919 N923:P923 N927:P927 N931:P931 N935:P935 N939:P939 N943:P943 N947:P947 N951:P951 N955:P955 N959:P959 N963:P963 N967:P967 N971:P971 N975:P975 N979:P979 N983:P983 N987:P987 N991:P991 N995:P995 N999:P999 N1003:P1003 N1007:P1007 N1011:P1011 N1015:P1015 N1019:P1019 N1023:P1023 N1027:P1027 N1031:P1031 N1035:P1035 N1039:P1039 N1043:P1043 N1047:P1047 N1051:P1051 N1055:P1055 N1059:P1059 N1063:P1063 N1067:P1067 N1071:P1071 N1075:P1075 N1079:P1079 N1083:P1083">
    <cfRule type="expression" dxfId="14" priority="5407">
      <formula>$BU13:BZ14="Yes"</formula>
    </cfRule>
  </conditionalFormatting>
  <conditionalFormatting sqref="J12 J16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20 J424 J428 J432 J436 J440 J444 J448 J452 J456 J460 J464 J468 J472 J476 J480 J484 J488 J492 J496 J500 J504 J508 J512 J516 J520 J524 J528 J532 J536 J540 J544 J548 J552 J556 J560 J564 J568 J572 J576 J580 J584 J588 J592 J596 J600 J604 J608 J612 J616 J620 J624 J628 J632 J636 J640 J644 J648 J652 J656 J660 J664 J668 J672 J676 J680 J684 J688 J692 J696 J700 J704 J708 J712 J716 J720 J724 J728 J732 J736 J740 J744 J748 J752 J756 J760 J764 J768 J772 J776 J780 J784 J788 J792 J796 J800 J804 J808 J812 J816 J820 J824 J828 J832 J836 J840 J844 J848 J852 J856 J860 J864 J868 J872 J876 J880 J884 J888 J892 J896 J900 J904 J908 J912 J916 J920 J924 J928 J932 J936 J940 J944 J948 J952 J956 J960 J964 J968 J972 J976 J980 J984 J988 J992 J996 J1000 J1004 J1008 J1012 J1016 J1020 J1024 J1028 J1032 J1036 J1040 J1044 J1048 J1052 J1056 J1060 J1064 J1068 J1072 J1076 J1080 J1084">
    <cfRule type="expression" dxfId="13" priority="5408">
      <formula>$BU14:BX14="Yes"</formula>
    </cfRule>
  </conditionalFormatting>
  <conditionalFormatting sqref="B13:C14 B17:C18 B21:C22 B25:C26 B29:C30 B33:C34 B37:C38 B41:C42 B45:C46 B49:C50 B53:C54 B57:C58 B61:C62 B65:C66 B69:C70 B73:C74 B77:C78 B81:C82 B85:C86 B89:C90 B93:C94 B97:C98 B101:C102 B105:C106 B109:C110 B113:C114 B117:C118 B121:C122 B125:C126 B129:C130 B133:C134 B137:C138 B141:C142 B145:C146 B149:C150 B153:C154 B157:C158 B161:C162 B165:C166 B169:C170 B173:C174 B177:C178 B181:C182 B185:C186 B189:C190 B193:C194 B197:C198 B201:C202 B205:C206 B209:C210 B213:C214 B217:C218 B221:C222 B225:C226 B229:C230 B233:C234 B237:C238 B241:C242 B245:C246 B249:C250 B253:C254 B257:C258 B261:C262 B265:C266 B269:C270 B273:C274 B277:C278 B281:C282 B285:C286 B289:C290 B293:C294 B297:C298 B301:C302 B305:C306 B309:C310 B313:C314 B317:C318 B321:C322 B325:C326 B329:C330 B333:C334 B337:C338 B341:C342 B345:C346 B349:C350 B353:C354 B357:C358 B361:C362 B365:C366 B369:C370 B373:C374 B377:C378 B381:C382 B385:C386 B389:C390 B393:C394 B397:C398 B401:C402 B405:C406 B409:C410 B413:C414 B417:C418 B421:C422 B425:C426 B429:C430 B433:C434 B437:C438 B441:C442 B445:C446 B449:C450 B453:C454 B457:C458 B461:C462 B465:C466 B469:C470 B473:C474 B477:C478 B481:C482 B485:C486 B489:C490 B493:C494 B497:C498 B501:C502 B505:C506 B509:C510 B513:C514 B517:C518 B521:C522 B525:C526 B529:C530 B533:C534 B537:C538 B541:C542 B545:C546 B549:C550 B553:C554 B557:C558 B561:C562 B565:C566 B569:C570 B573:C574 B577:C578 B581:C582 B585:C586 B589:C590 B593:C594 B597:C598 B601:C602 B605:C606 B609:C610 B613:C614 B617:C618 B621:C622 B625:C626 B629:C630 B633:C634 B637:C638 B641:C642 B645:C646 B649:C650 B653:C654 B657:C658 B661:C662 B665:C666 B669:C670 B673:C674 B677:C678 B681:C682 B685:C686 B689:C690 B693:C694 B697:C698 B701:C702 B705:C706 B709:C710 B713:C714 B717:C718 B721:C722 B725:C726 B729:C730 B733:C734 B737:C738 B741:C742 B745:C746 B749:C750 B753:C754 B757:C758 B761:C762 B765:C766 B769:C770 B773:C774 B777:C778 B781:C782 B785:C786 B789:C790 B793:C794 B797:C798 B801:C802 B805:C806 B809:C810 B813:C814 B817:C818 B821:C822 B825:C826 B829:C830 B833:C834 B837:C838 B841:C842 B845:C846 B849:C850 B853:C854 B857:C858 B861:C862 B865:C866 B869:C870 B873:C874 B877:C878 B881:C882 B885:C886 B889:C890 B893:C894 B897:C898 B901:C902 B905:C906 B909:C910 B913:C914 B917:C918 B921:C922 B925:C926 B929:C930 B933:C934 B937:C938 B941:C942 B945:C946 B949:C950 B953:C954 B957:C958 B961:C962 B965:C966 B969:C970 B973:C974 B977:C978 B981:C982 B985:C986 B989:C990 B993:C994 B997:C998 B1001:C1002 B1005:C1006 B1009:C1010 B1013:C1014 B1017:C1018 B1021:C1022 B1025:C1026 B1029:C1030 B1033:C1034 B1037:C1038 B1041:C1042 B1045:C1046 B1049:C1050 B1053:C1054 B1057:C1058 B1061:C1062 B1065:C1066 B1069:C1070 B1073:C1074 B1077:C1078 B1081:C1082 B1085:C1085">
    <cfRule type="expression" dxfId="12" priority="5410">
      <formula>$BU13:BU14="Yes"</formula>
    </cfRule>
  </conditionalFormatting>
  <conditionalFormatting sqref="F13:F14 F17:F18 F21:F22 F25:F26 F29:F30 F33:F34 F37:F38 F41:F42 F45:F46 F49:F50 F53:F54 F57:F58 F61:F62 F65:F66 F69:F70 F73:F74 F77:F78 F81:F82 F85:F86 F89:F90 F93:F94 F97:F98 F101:F102 F105:F106 F109:F110 F113:F114 F117:F118 F121:F122 F125:F126 F129:F130 F133:F134 F137:F138 F141:F142 F145:F146 F149:F150 F153:F154 F157:F158 F161:F162 F165:F166 F169:F170 F173:F174 F177:F178 F181:F182 F185:F186 F189:F190 F193:F194 F197:F198 F201:F202 F205:F206 F209:F210 F213:F214 F217:F218 F221:F222 F225:F226 F229:F230 F233:F234 F237:F238 F241:F242 F245:F246 F249:F250 F253:F254 F257:F258 F261:F262 F265:F266 F269:F270 F273:F274 F277:F278 F281:F282 F285:F286 F289:F290 F293:F294 F297:F298 F301:F302 F305:F306 F309:F310 F313:F314 F317:F318 F321:F322 F325:F326 F329:F330 F333:F334 F337:F338 F341:F342 F345:F346 F349:F350 F353:F354 F357:F358 F361:F362 F365:F366 F369:F370 F373:F374 F377:F378 F381:F382 F385:F386 F389:F390 F393:F394 F397:F398 F401:F402 F405:F406 F409:F410 F413:F414 F417:F418 F421:F422 F425:F426 F429:F430 F433:F434 F437:F438 F441:F442 F445:F446 F449:F450 F453:F454 F457:F458 F461:F462 F465:F466 F469:F470 F473:F474 F477:F478 F481:F482 F485:F486 F489:F490 F493:F494 F497:F498 F501:F502 F505:F506 F509:F510 F513:F514 F517:F518 F521:F522 F525:F526 F529:F530 F533:F534 F537:F538 F541:F542 F545:F546 F549:F550 F553:F554 F557:F558 F561:F562 F565:F566 F569:F570 F573:F574 F577:F578 F581:F582 F585:F586 F589:F590 F593:F594 F597:F598 F601:F602 F605:F606 F609:F610 F613:F614 F617:F618 F621:F622 F625:F626 F629:F630 F633:F634 F637:F638 F641:F642 F645:F646 F649:F650 F653:F654 F657:F658 F661:F662 F665:F666 F669:F670 F673:F674 F677:F678 F681:F682 F685:F686 F689:F690 F693:F694 F697:F698 F701:F702 F705:F706 F709:F710 F713:F714 F717:F718 F721:F722 F725:F726 F729:F730 F733:F734 F737:F738 F741:F742 F745:F746 F749:F750 F753:F754 F757:F758 F761:F762 F765:F766 F769:F770 F773:F774 F777:F778 F781:F782 F785:F786 F789:F790 F793:F794 F797:F798 F801:F802 F805:F806 F809:F810 F813:F814 F817:F818 F821:F822 F825:F826 F829:F830 F833:F834 F837:F838 F841:F842 F845:F846 F849:F850 F853:F854 F857:F858 F861:F862 F865:F866 F869:F870 F873:F874 F877:F878 F881:F882 F885:F886 F889:F890 F893:F894 F897:F898 F901:F902 F905:F906 F909:F910 F913:F914 F917:F918 F921:F922 F925:F926 F929:F930 F933:F934 F937:F938 F941:F942 F945:F946 F949:F950 F953:F954 F957:F958 F961:F962 F965:F966 F969:F970 F973:F974 F977:F978 F981:F982 F985:F986 F989:F990 F993:F994 F997:F998 F1001:F1002 F1005:F1006 F1009:F1010 F1013:F1014 F1017:F1018 F1021:F1022 F1025:F1026 F1029:F1030 F1033:F1034 F1037:F1038 F1041:F1042 F1045:F1046 F1049:F1050 F1053:F1054 F1057:F1058 F1061:F1062 F1065:F1066 F1069:F1070 F1073:F1074 F1077:F1078 F1081:F1082 F1085">
    <cfRule type="expression" dxfId="11" priority="5412">
      <formula>$BU13:BV14="Yes"</formula>
    </cfRule>
  </conditionalFormatting>
  <conditionalFormatting sqref="G13:H14 G17:H18 G21:H22 G25:H26 G29:H30 G33:H34 G37:H38 G41:H42 G45:H46 G49:H50 G53:H54 G57:H58 G61:H62 G65:H66 G69:H70 G73:H74 G77:H78 G81:H82 G85:H86 G89:H90 G93:H94 G97:H98 G101:H102 G105:H106 G109:H110 G113:H114 G117:H118 G121:H122 G125:H126 G129:H130 G133:H134 G137:H138 G141:H142 G145:H146 G149:H150 G153:H154 G157:H158 G161:H162 G165:H166 G169:H170 G173:H174 G177:H178 G181:H182 G185:H186 G189:H190 G193:H194 G197:H198 G201:H202 G205:H206 G209:H210 G213:H214 G217:H218 G221:H222 G225:H226 G229:H230 G233:H234 G237:H238 G241:H242 G245:H246 G249:H250 G253:H254 G257:H258 G261:H262 G265:H266 G269:H270 G273:H274 G277:H278 G281:H282 G285:H286 G289:H290 G293:H294 G297:H298 G301:H302 G305:H306 G309:H310 G313:H314 G317:H318 G321:H322 G325:H326 G329:H330 G333:H334 G337:H338 G341:H342 G345:H346 G349:H350 G353:H354 G357:H358 G361:H362 G365:H366 G369:H370 G373:H374 G377:H378 G381:H382 G385:H386 G389:H390 G393:H394 G397:H398 G401:H402 G405:H406 G409:H410 G413:H414 G417:H418 G421:H422 G425:H426 G429:H430 G433:H434 G437:H438 G441:H442 G445:H446 G449:H450 G453:H454 G457:H458 G461:H462 G465:H466 G469:H470 G473:H474 G477:H478 G481:H482 G485:H486 G489:H490 G493:H494 G497:H498 G501:H502 G505:H506 G509:H510 G513:H514 G517:H518 G521:H522 G525:H526 G529:H530 G533:H534 G537:H538 G541:H542 G545:H546 G549:H550 G553:H554 G557:H558 G561:H562 G565:H566 G569:H570 G573:H574 G577:H578 G581:H582 G585:H586 G589:H590 G593:H594 G597:H598 G601:H602 G605:H606 G609:H610 G613:H614 G617:H618 G621:H622 G625:H626 G629:H630 G633:H634 G637:H638 G641:H642 G645:H646 G649:H650 G653:H654 G657:H658 G661:H662 G665:H666 G669:H670 G673:H674 G677:H678 G681:H682 G685:H686 G689:H690 G693:H694 G697:H698 G701:H702 G705:H706 G709:H710 G713:H714 G717:H718 G721:H722 G725:H726 G729:H730 G733:H734 G737:H738 G741:H742 G745:H746 G749:H750 G753:H754 G757:H758 G761:H762 G765:H766 G769:H770 G773:H774 G777:H778 G781:H782 G785:H786 G789:H790 G793:H794 G797:H798 G801:H802 G805:H806 G809:H810 G813:H814 G817:H818 G821:H822 G825:H826 G829:H830 G833:H834 G837:H838 G841:H842 G845:H846 G849:H850 G853:H854 G857:H858 G861:H862 G865:H866 G869:H870 G873:H874 G877:H878 G881:H882 G885:H886 G889:H890 G893:H894 G897:H898 G901:H902 G905:H906 G909:H910 G913:H914 G917:H918 G921:H922 G925:H926 G929:H930 G933:H934 G937:H938 G941:H942 G945:H946 G949:H950 G953:H954 G957:H958 G961:H962 G965:H966 G969:H970 G973:H974 G977:H978 G981:H982 G985:H986 G989:H990 G993:H994 G997:H998 G1001:H1002 G1005:H1006 G1009:H1010 G1013:H1014 G1017:H1018 G1021:H1022 G1025:H1026 G1029:H1030 G1033:H1034 G1037:H1038 G1041:H1042 G1045:H1046 G1049:H1050 G1053:H1054 G1057:H1058 G1061:H1062 G1065:H1066 G1069:H1070 G1073:H1074 G1077:H1078 G1081:H1082 G1085:H1085">
    <cfRule type="expression" dxfId="10" priority="5414">
      <formula>$BU13:BV14="Yes"</formula>
    </cfRule>
  </conditionalFormatting>
  <conditionalFormatting sqref="E13:E14 E17:E18 E21:E22 E25:E26 E29:E30 E33:E34 E37:E38 E41:E42 E45:E46 E49:E50 E53:E54 E57:E58 E61:E62 E65:E66 E69:E70 E73:E74 E77:E78 E81:E82 E85:E86 E89:E90 E93:E94 E97:E98 E101:E102 E105:E106 E109:E110 E113:E114 E117:E118 E121:E122 E125:E126 E129:E130 E133:E134 E137:E138 E141:E142 E145:E146 E149:E150 E153:E154 E157:E158 E161:E162 E165:E166 E169:E170 E173:E174 E177:E178 E181:E182 E185:E186 E189:E190 E193:E194 E197:E198 E201:E202 E205:E206 E209:E210 E213:E214 E217:E218 E221:E222 E225:E226 E229:E230 E233:E234 E237:E238 E241:E242 E245:E246 E249:E250 E253:E254 E257:E258 E261:E262 E265:E266 E269:E270 E273:E274 E277:E278 E281:E282 E285:E286 E289:E290 E293:E294 E297:E298 E301:E302 E305:E306 E309:E310 E313:E314 E317:E318 E321:E322 E325:E326 E329:E330 E333:E334 E337:E338 E341:E342 E345:E346 E349:E350 E353:E354 E357:E358 E361:E362 E365:E366 E369:E370 E373:E374 E377:E378 E381:E382 E385:E386 E389:E390 E393:E394 E397:E398 E401:E402 E405:E406 E409:E410 E413:E414 E417:E418 E421:E422 E425:E426 E429:E430 E433:E434 E437:E438 E441:E442 E445:E446 E449:E450 E453:E454 E457:E458 E461:E462 E465:E466 E469:E470 E473:E474 E477:E478 E481:E482 E485:E486 E489:E490 E493:E494 E497:E498 E501:E502 E505:E506 E509:E510 E513:E514 E517:E518 E521:E522 E525:E526 E529:E530 E533:E534 E537:E538 E541:E542 E545:E546 E549:E550 E553:E554 E557:E558 E561:E562 E565:E566 E569:E570 E573:E574 E577:E578 E581:E582 E585:E586 E589:E590 E593:E594 E597:E598 E601:E602 E605:E606 E609:E610 E613:E614 E617:E618 E621:E622 E625:E626 E629:E630 E633:E634 E637:E638 E641:E642 E645:E646 E649:E650 E653:E654 E657:E658 E661:E662 E665:E666 E669:E670 E673:E674 E677:E678 E681:E682 E685:E686 E689:E690 E693:E694 E697:E698 E701:E702 E705:E706 E709:E710 E713:E714 E717:E718 E721:E722 E725:E726 E729:E730 E733:E734 E737:E738 E741:E742 E745:E746 E749:E750 E753:E754 E757:E758 E761:E762 E765:E766 E769:E770 E773:E774 E777:E778 E781:E782 E785:E786 E789:E790 E793:E794 E797:E798 E801:E802 E805:E806 E809:E810 E813:E814 E817:E818 E821:E822 E825:E826 E829:E830 E833:E834 E837:E838 E841:E842 E845:E846 E849:E850 E853:E854 E857:E858 E861:E862 E865:E866 E869:E870 E873:E874 E877:E878 E881:E882 E885:E886 E889:E890 E893:E894 E897:E898 E901:E902 E905:E906 E909:E910 E913:E914 E917:E918 E921:E922 E925:E926 E929:E930 E933:E934 E937:E938 E941:E942 E945:E946 E949:E950 E953:E954 E957:E958 E961:E962 E965:E966 E969:E970 E973:E974 E977:E978 E981:E982 E985:E986 E989:E990 E993:E994 E997:E998 E1001:E1002 E1005:E1006 E1009:E1010 E1013:E1014 E1017:E1018 E1021:E1022 E1025:E1026 E1029:E1030 E1033:E1034 E1037:E1038 E1041:E1042 E1045:E1046 E1049:E1050 E1053:E1054 E1057:E1058 E1061:E1062 E1065:E1066 E1069:E1070 E1073:E1074 E1077:E1078 E1081:E1082 E1085">
    <cfRule type="expression" dxfId="9" priority="5416">
      <formula>$BU13:BV14="Yes"</formula>
    </cfRule>
  </conditionalFormatting>
  <conditionalFormatting sqref="I13:I14 I17:I18 I21:I22 I25:I26 I29:I30 I33:I34 I37:I38 I41:I42 I45:I46 I49:I50 I53:I54 I57:I58 I61:I62 I65:I66 I69:I70 I73:I74 I77:I78 I81:I82 I85:I86 I89:I90 I93:I94 I97:I98 I101:I102 I105:I106 I109:I110 I113:I114 I117:I118 I121:I122 I125:I126 I129:I130 I133:I134 I137:I138 I141:I142 I145:I146 I149:I150 I153:I154 I157:I158 I161:I162 I165:I166 I169:I170 I173:I174 I177:I178 I181:I182 I185:I186 I189:I190 I193:I194 I197:I198 I201:I202 I205:I206 I209:I210 I213:I214 I217:I218 I221:I222 I225:I226 I229:I230 I233:I234 I237:I238 I241:I242 I245:I246 I249:I250 I253:I254 I257:I258 I261:I262 I265:I266 I269:I270 I273:I274 I277:I278 I281:I282 I285:I286 I289:I290 I293:I294 I297:I298 I301:I302 I305:I306 I309:I310 I313:I314 I317:I318 I321:I322 I325:I326 I329:I330 I333:I334 I337:I338 I341:I342 I345:I346 I349:I350 I353:I354 I357:I358 I361:I362 I365:I366 I369:I370 I373:I374 I377:I378 I381:I382 I385:I386 I389:I390 I393:I394 I397:I398 I401:I402 I405:I406 I409:I410 I413:I414 I417:I418 I421:I422 I425:I426 I429:I430 I433:I434 I437:I438 I441:I442 I445:I446 I449:I450 I453:I454 I457:I458 I461:I462 I465:I466 I469:I470 I473:I474 I477:I478 I481:I482 I485:I486 I489:I490 I493:I494 I497:I498 I501:I502 I505:I506 I509:I510 I513:I514 I517:I518 I521:I522 I525:I526 I529:I530 I533:I534 I537:I538 I541:I542 I545:I546 I549:I550 I553:I554 I557:I558 I561:I562 I565:I566 I569:I570 I573:I574 I577:I578 I581:I582 I585:I586 I589:I590 I593:I594 I597:I598 I601:I602 I605:I606 I609:I610 I613:I614 I617:I618 I621:I622 I625:I626 I629:I630 I633:I634 I637:I638 I641:I642 I645:I646 I649:I650 I653:I654 I657:I658 I661:I662 I665:I666 I669:I670 I673:I674 I677:I678 I681:I682 I685:I686 I689:I690 I693:I694 I697:I698 I701:I702 I705:I706 I709:I710 I713:I714 I717:I718 I721:I722 I725:I726 I729:I730 I733:I734 I737:I738 I741:I742 I745:I746 I749:I750 I753:I754 I757:I758 I761:I762 I765:I766 I769:I770 I773:I774 I777:I778 I781:I782 I785:I786 I789:I790 I793:I794 I797:I798 I801:I802 I805:I806 I809:I810 I813:I814 I817:I818 I821:I822 I825:I826 I829:I830 I833:I834 I837:I838 I841:I842 I845:I846 I849:I850 I853:I854 I857:I858 I861:I862 I865:I866 I869:I870 I873:I874 I877:I878 I881:I882 I885:I886 I889:I890 I893:I894 I897:I898 I901:I902 I905:I906 I909:I910 I913:I914 I917:I918 I921:I922 I925:I926 I929:I930 I933:I934 I937:I938 I941:I942 I945:I946 I949:I950 I953:I954 I957:I958 I961:I962 I965:I966 I969:I970 I973:I974 I977:I978 I981:I982 I985:I986 I989:I990 I993:I994 I997:I998 I1001:I1002 I1005:I1006 I1009:I1010 I1013:I1014 I1017:I1018 I1021:I1022 I1025:I1026 I1029:I1030 I1033:I1034 I1037:I1038 I1041:I1042 I1045:I1046 I1049:I1050 I1053:I1054 I1057:I1058 I1061:I1062 I1065:I1066 I1069:I1070 I1073:I1074 I1077:I1078 I1081:I1082 I1085">
    <cfRule type="expression" dxfId="8" priority="5418">
      <formula>$BU13:BW14="Yes"</formula>
    </cfRule>
  </conditionalFormatting>
  <conditionalFormatting sqref="T12:U12 T16:U16 T20:U20 T24:U24 T28:U28 T32:U32 T36:U36 T40:U40 T44:U44 T48:U48 T52:U52 T56:U56 T60:U60 T64:U64 T68:U68 T72:U72 T76:U76 T80:U80 T84:U84 T88:U88 T92:U92 T96:U96 T100:U100 T104:U104 T108:U108 T112:U112 T116:U116 T120:U120 T124:U124 T128:U128 T132:U132 T136:U136 T140:U140 T144:U144 T148:U148 T152:U152 T156:U156 T160:U160 T164:U164 T168:U168 T172:U172 T176:U176 T180:U180 T184:U184 T188:U188 T192:U192 T196:U196 T200:U200 T204:U204 T208:U208 T212:U212 T216:U216 T220:U220 T224:U224 T228:U228 T232:U232 T236:U236 T240:U240 T244:U244 T248:U248 T252:U252 T256:U256 T260:U260 T264:U264 T268:U268 T272:U272 T276:U276 T280:U280 T284:U284 T288:U288 T292:U292 T296:U296 T300:U300 T304:U304 T308:U308 T312:U312 T316:U316 T320:U320 T324:U324 T328:U328 T332:U332 T336:U336 T340:U340 T344:U344 T348:U348 T352:U352 T356:U356 T360:U360 T364:U364 T368:U368 T372:U372 T376:U376 T380:U380 T384:U384 T388:U388 T392:U392 T396:U396 T400:U400 T404:U404 T408:U408 T412:U412 T416:U416 T420:U420 T424:U424 W20:AB20 W24:AB24 W28:AB28 W32:AB32 W36:AB36 W40:AB40 W44:AB44 W48:AB48 W52:AB52 W56:AB56 W60:AB60 W64:AB64 W68:AB68 W72:AB72 W76:AB76 W80:AB80 W84:AB84 W88:AB88 W92:AB92 W96:AB96 W100:AB100 W104:AB104 W108:AB108 W112:AB112 W116:AB116 W120:AB120 W124:AB124 W128:AB128 W132:AB132 W136:AB136 W140:AB140 W144:AB144 W148:AB148 W152:AB152 W156:AB156 W160:AB160 W164:AB164 W168:AB168 W172:AB172 W176:AB176 W180:AB180 W184:AB184 W188:AB188 W192:AB192 W196:AB196 W200:AB200 W204:AB204 W208:AB208 W212:AB212 W216:AB216 W220:AB220 W224:AB224 W228:AB228 W232:AB232 W236:AB236 W240:AB240 W244:AB244 W248:AB248 W252:AB252 W256:AB256 W260:AB260 W264:AB264 W268:AB268 W272:AB272 W276:AB276 W280:AB280 W284:AB284 W288:AB288 W292:AB292 W296:AB296 W300:AB300 W304:AB304 W308:AB308 W312:AB312 W316:AB316 W320:AB320 W324:AB324 W328:AB328 W332:AB332 W336:AB336 W340:AB340 W344:AB344 W348:AB348 W352:AB352 W356:AB356 W360:AB360 W364:AB364 W368:AB368 W372:AB372 W376:AB376 W380:AB380 W384:AB384 W388:AB388 W392:AB392 W396:AB396 W400:AB400 W404:AB404 W408:AB408 W412:AB412 W416:AB416 W420:AB420 W424:AB424 T428:U428 T432:U432 T436:U436 T440:U440 T444:U444 T448:U448 T452:U452 T456:U456 T460:U460 T464:U464 T468:U468 T472:U472 T476:U476 T480:U480 T484:U484 T488:U488 T492:U492 T496:U496 T500:U500 T504:U504 T508:U508 T512:U512 T516:U516 T520:U520 T524:U524 T528:U528 T532:U532 T536:U536 T540:U540 T544:U544 T548:U548 T552:U552 T556:U556 T560:U560 T564:U564 T568:U568 T572:U572 T576:U576 T580:U580 T584:U584 T588:U588 T592:U592 T596:U596 T600:U600 T604:U604 T608:U608 T612:U612 T616:U616 T620:U620 T624:U624 T628:U628 T632:U632 T636:U636 T640:U640 T644:U644 T648:U648 T652:U652 T656:U656 T660:U660 T664:U664 T668:U668 T672:U672 T676:U676 T680:U680 T684:U684 T688:U688 T692:U692 T696:U696 T700:U700 T704:U704 T708:U708 T712:U712 T716:U716 T720:U720 T724:U724 T728:U728 T732:U732 T736:U736 T740:U740 T744:U744 T748:U748 T752:U752 T756:U756 T760:U760 T764:U764 T768:U768 T772:U772 T776:U776 T780:U780 T784:U784 T788:U788 T792:U792 T796:U796 T800:U800 T804:U804 T808:U808 T812:U812 T816:U816 T820:U820 T824:U824 T828:U828 T832:U832 T836:U836 T840:U840 T844:U844 T848:U848 T852:U852 T856:U856 T860:U860 W428:AB428 W432:AB432 W436:AB436 W440:AB440 W444:AB444 W448:AB448 W452:AB452 W456:AB456 W460:AB460 W464:AB464 W468:AB468 W472:AB472 W476:AB476 W480:AB480 W484:AB484 W488:AB488 W492:AB492 W496:AB496 W500:AB500 W504:AB504 W508:AB508 W512:AB512 W516:AB516 W520:AB520 W524:AB524 W528:AB528 W532:AB532 W536:AB536 W540:AB540 W544:AB544 W548:AB548 W552:AB552 W556:AB556 W560:AB560 W564:AB564 W568:AB568 W572:AB572 W576:AB576 W580:AB580 W584:AB584 W588:AB588 W592:AB592 W596:AB596 W600:AB600 W604:AB604 W608:AB608 W612:AB612 W616:AB616 W620:AB620 W624:AB624 W628:AB628 W632:AB632 W636:AB636 W640:AB640 W644:AB644 W648:AB648 W652:AB652 W656:AB656 W660:AB660 W664:AB664 W668:AB668 W672:AB672 W676:AB676 W680:AB680 W684:AB684 W688:AB688 W692:AB692 W696:AB696 W700:AB700 W704:AB704 W708:AB708 W712:AB712 W716:AB716 W720:AB720 W724:AB724 W728:AB728 W732:AB732 W736:AB736 W740:AB740 W744:AB744 W748:AB748 W752:AB752 W756:AB756 W760:AB760 W764:AB764 W768:AB768 W772:AB772 W776:AB776 W780:AB780 W784:AB784 W788:AB788 W792:AB792 W796:AB796 W800:AB800 W804:AB804 W808:AB808 W812:AB812 W816:AB816 W820:AB820 W824:AB824 W828:AB828 W832:AB832 W836:AB836 W840:AB840 W844:AB844 W848:AB848 W852:AB852 W856:AB856 W860:AB860 T864:U864 T868:U868 T872:U872 T876:U876 T880:U880 T884:U884 T888:U888 T892:U892 T896:U896 T900:U900 T904:U904 T908:U908 T912:U912 T916:U916 T920:U920 T924:U924 T928:U928 T932:U932 T936:U936 T940:U940 T944:U944 T948:U948 T952:U952 T956:U956 T960:U960 T964:U964 T968:U968 T972:U972 T976:U976 T980:U980 T984:U984 T988:U988 T992:U992 T996:U996 T1000:U1000 T1004:U1004 T1008:U1008 T1012:U1012 T1016:U1016 T1020:U1020 T1024:U1024 T1028:U1028 T1032:U1032 T1036:U1036 T1040:U1040 T1044:U1044 T1048:U1048 T1052:U1052 T1056:U1056 T1060:U1060 T1064:U1064 T1068:U1068 T1072:U1072 T1076:U1076 T1080:U1080 T1084:U1084 W864:AB864 W868:AB868 W872:AB872 W876:AB876 W880:AB880 W884:AB884 W888:AB888 W892:AB892 W896:AB896 W900:AB900 W904:AB904 W908:AB908 W912:AB912 W916:AB916 W920:AB920 W924:AB924 W928:AB928 W932:AB932 W936:AB936 W940:AB940 W944:AB944 W948:AB948 W952:AB952 W956:AB956 W960:AB960 W964:AB964 W968:AB968 W972:AB972 W976:AB976 W980:AB980 W984:AB984 W988:AB988 W992:AB992 W996:AB996 W1000:AB1000 W1004:AB1004 W1008:AB1008 W1012:AB1012 W1016:AB1016 W1020:AB1020 W1024:AB1024 W1028:AB1028 W1032:AB1032 W1036:AB1036 W1040:AB1040 W1044:AB1044 W1048:AB1048 W1052:AB1052 W1056:AB1056 W1060:AB1060 W1064:AB1064 W1068:AB1068 W1072:AB1072 W1076:AB1076 W1080:AB1080 W1084:AB1084 W12:AB12 W16:AB16">
    <cfRule type="expression" dxfId="7" priority="5420">
      <formula>$BU14:CB14="Yes"</formula>
    </cfRule>
  </conditionalFormatting>
  <conditionalFormatting sqref="M12 M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20 M424 M428 M432 M436 M440 M444 M448 M452 M456 M460 M464 M468 M472 M476 M480 M484 M488 M492 M496 M500 M504 M508 M512 M516 M520 M524 M528 M532 M536 M540 M544 M548 M552 M556 M560 M564 M568 M572 M576 M580 M584 M588 M592 M596 M600 M604 M608 M612 M616 M620 M624 M628 M632 M636 M640 M644 M648 M652 M656 M660 M664 M668 M672 M676 M680 M684 M688 M692 M696 M700 M704 M708 M712 M716 M720 M724 M728 M732 M736 M740 M744 M748 M752 M756 M760 M764 M768 M772 M776 M780 M784 M788 M792 M796 M800 M804 M808 M812 M816 M820 M824 M828 M832 M836 M840 M844 M848 M852 M856 M860 M864 M868 M872 M876 M880 M884 M888 M892 M896 M900 M904 M908 M912 M916 M920 M924 M928 M932 M936 M940 M944 M948 M952 M956 M960 M964 M968 M972 M976 M980 M984 M988 M992 M996 M1000 M1004 M1008 M1012 M1016 M1020 M1024 M1028 M1032 M1036 M1040 M1044 M1048 M1052 M1056 M1060 M1064 M1068 M1072 M1076 M1080 M1084">
    <cfRule type="expression" dxfId="6" priority="5424">
      <formula>$BU14:BZ14="Yes"</formula>
    </cfRule>
  </conditionalFormatting>
  <conditionalFormatting sqref="N12:O12 N16:O16 N20:O20 N24:O24 N28:O28 N32:O32 N36:O36 N40:O40 N44:O44 N48:O48 N52:O52 N56:O56 N60:O60 N64:O64 N68:O68 N72:O72 N76:O76 N80:O80 N84:O84 N88:O88 N92:O92 N96:O96 N100:O100 N104:O104 N108:O108 N112:O112 N116:O116 N120:O120 N124:O124 N128:O128 N132:O132 N136:O136 N140:O140 N144:O144 N148:O148 N152:O152 N156:O156 N160:O160 N164:O164 N168:O168 N172:O172 N176:O176 N180:O180 N184:O184 N188:O188 N192:O192 N196:O196 N200:O200 N204:O204 N208:O208 N212:O212 N216:O216 N220:O220 N224:O224 N228:O228 N232:O232 N236:O236 N240:O240 N244:O244 N248:O248 N252:O252 N256:O256 N260:O260 N264:O264 N268:O268 N272:O272 N276:O276 N280:O280 N284:O284 N288:O288 N292:O292 N296:O296 N300:O300 N304:O304 N308:O308 N312:O312 N316:O316 N320:O320 N324:O324 N328:O328 N332:O332 N336:O336 N340:O340 N344:O344 N348:O348 N352:O352 N356:O356 N360:O360 N364:O364 N368:O368 N372:O372 N376:O376 N380:O380 N384:O384 N388:O388 N392:O392 N396:O396 N400:O400 N404:O404 N408:O408 N412:O412 N416:O416 N420:O420 N424:O424 N428:O428 N432:O432 N436:O436 N440:O440 N444:O444 N448:O448 N452:O452 N456:O456 N460:O460 N464:O464 N468:O468 N472:O472 N476:O476 N480:O480 N484:O484 N488:O488 N492:O492 N496:O496 N500:O500 N504:O504 N508:O508 N512:O512 N516:O516 N520:O520 N524:O524 N528:O528 N532:O532 N536:O536 N540:O540 N544:O544 N548:O548 N552:O552 N556:O556 N560:O560 N564:O564 N568:O568 N572:O572 N576:O576 N580:O580 N584:O584 N588:O588 N592:O592 N596:O596 N600:O600 N604:O604 N608:O608 N612:O612 N616:O616 N620:O620 N624:O624 N628:O628 N632:O632 N636:O636 N640:O640 N644:O644 N648:O648 N652:O652 N656:O656 N660:O660 N664:O664 N668:O668 N672:O672 N676:O676 N680:O680 N684:O684 N688:O688 N692:O692 N696:O696 N700:O700 N704:O704 N708:O708 N712:O712 N716:O716 N720:O720 N724:O724 N728:O728 N732:O732 N736:O736 N740:O740 N744:O744 N748:O748 N752:O752 N756:O756 N760:O760 N764:O764 N768:O768 N772:O772 N776:O776 N780:O780 N784:O784 N788:O788 N792:O792 N796:O796 N800:O800 N804:O804 N808:O808 N812:O812 N816:O816 N820:O820 N824:O824 N828:O828 N832:O832 N836:O836 N840:O840 N844:O844 N848:O848 N852:O852 N856:O856 N860:O860 N864:O864 N868:O868 N872:O872 N876:O876 N880:O880 N884:O884 N888:O888 N892:O892 N896:O896 N900:O900 N904:O904 N908:O908 N912:O912 N916:O916 N920:O920 N924:O924 N928:O928 N932:O932 N936:O936 N940:O940 N944:O944 N948:O948 N952:O952 N956:O956 N960:O960 N964:O964 N968:O968 N972:O972 N976:O976 N980:O980 N984:O984 N988:O988 N992:O992 N996:O996 N1000:O1000 N1004:O1004 N1008:O1008 N1012:O1012 N1016:O1016 N1020:O1020 N1024:O1024 N1028:O1028 N1032:O1032 N1036:O1036 N1040:O1040 N1044:O1044 N1048:O1048 N1052:O1052 N1056:O1056 N1060:O1060 N1064:O1064 N1068:O1068 N1072:O1072 N1076:O1076 N1080:O1080 N1084:O1084">
    <cfRule type="expression" dxfId="5" priority="5426">
      <formula>$BU14:BZ14="Yes"</formula>
    </cfRule>
  </conditionalFormatting>
  <conditionalFormatting sqref="B1086:C1086">
    <cfRule type="expression" dxfId="4" priority="5428">
      <formula>$BU1086:BU1086="Yes"</formula>
    </cfRule>
  </conditionalFormatting>
  <conditionalFormatting sqref="F1086">
    <cfRule type="expression" dxfId="3" priority="5430">
      <formula>$BU1086:BV1086="Yes"</formula>
    </cfRule>
  </conditionalFormatting>
  <conditionalFormatting sqref="G1086:H1086">
    <cfRule type="expression" dxfId="2" priority="5432">
      <formula>$BU1086:BV1086="Yes"</formula>
    </cfRule>
  </conditionalFormatting>
  <conditionalFormatting sqref="E1086">
    <cfRule type="expression" dxfId="1" priority="5434">
      <formula>$BU1086:BV1086="Yes"</formula>
    </cfRule>
  </conditionalFormatting>
  <conditionalFormatting sqref="I1086">
    <cfRule type="expression" dxfId="0" priority="5436">
      <formula>$BU1086:BW1086="Yes"</formula>
    </cfRule>
  </conditionalFormatting>
  <dataValidations count="12">
    <dataValidation type="list" allowBlank="1" showInputMessage="1" showErrorMessage="1" sqref="E11:F1086" xr:uid="{00000000-0002-0000-0500-000000000000}">
      <formula1>Race</formula1>
    </dataValidation>
    <dataValidation type="list" allowBlank="1" showInputMessage="1" showErrorMessage="1" sqref="G11:H1086" xr:uid="{00000000-0002-0000-0500-000001000000}">
      <formula1>Ethnicity</formula1>
    </dataValidation>
    <dataValidation type="list" allowBlank="1" showInputMessage="1" showErrorMessage="1" sqref="N11:O1086" xr:uid="{00000000-0002-0000-0500-000002000000}">
      <formula1>Gender</formula1>
    </dataValidation>
    <dataValidation type="list" allowBlank="1" showInputMessage="1" showErrorMessage="1" sqref="R11:S1086" xr:uid="{00000000-0002-0000-0500-000003000000}">
      <formula1>LGBTQ</formula1>
    </dataValidation>
    <dataValidation type="list" allowBlank="1" showInputMessage="1" showErrorMessage="1" sqref="T11:U1086" xr:uid="{00000000-0002-0000-0500-000004000000}">
      <formula1>Insurance</formula1>
    </dataValidation>
    <dataValidation type="list" allowBlank="1" showInputMessage="1" showErrorMessage="1" sqref="V11:V1086" xr:uid="{00000000-0002-0000-0500-000005000000}">
      <formula1>SED</formula1>
    </dataValidation>
    <dataValidation type="list" allowBlank="1" showInputMessage="1" showErrorMessage="1" sqref="Z11:Z1086 BW11:BW1086" xr:uid="{00000000-0002-0000-0500-000006000000}">
      <formula1>Juvenile_Justice</formula1>
    </dataValidation>
    <dataValidation type="list" allowBlank="1" showInputMessage="1" showErrorMessage="1" sqref="BR11:BR1086" xr:uid="{00000000-0002-0000-0500-000007000000}">
      <formula1>Course_Completion</formula1>
    </dataValidation>
    <dataValidation type="list" allowBlank="1" showInputMessage="1" showErrorMessage="1" sqref="BU11:BU1086" xr:uid="{00000000-0002-0000-0500-000008000000}">
      <formula1>Case_Closure</formula1>
    </dataValidation>
    <dataValidation type="list" allowBlank="1" showInputMessage="1" showErrorMessage="1" sqref="M11:M1086" xr:uid="{00000000-0002-0000-0500-000009000000}">
      <formula1>Grade</formula1>
    </dataValidation>
    <dataValidation type="list" allowBlank="1" showInputMessage="1" showErrorMessage="1" sqref="W11:Y1086 BV11:BV1086" xr:uid="{00000000-0002-0000-0500-00000A000000}">
      <formula1>Living_Arrangement</formula1>
    </dataValidation>
    <dataValidation type="list" allowBlank="1" showInputMessage="1" showErrorMessage="1" sqref="P11:Q1086" xr:uid="{00000000-0002-0000-0500-00000B000000}">
      <formula1>Pregnant</formula1>
    </dataValidation>
  </dataValidations>
  <pageMargins left="0.7" right="0.7" top="0.75" bottom="0.75" header="0.3" footer="0.3"/>
  <pageSetup scale="21" orientation="landscape" r:id="rId1"/>
  <headerFooter>
    <oddFooter>&amp;LRevised 2/28/19&amp;C&amp;A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499984740745262"/>
    <pageSetUpPr fitToPage="1"/>
  </sheetPr>
  <dimension ref="A1:BF500"/>
  <sheetViews>
    <sheetView topLeftCell="D1" zoomScale="80" zoomScaleNormal="80" workbookViewId="0">
      <pane ySplit="7" topLeftCell="A28" activePane="bottomLeft" state="frozen"/>
      <selection activeCell="D19" sqref="D19:K22"/>
      <selection pane="bottomLeft" activeCell="A42" sqref="A42:AD49"/>
    </sheetView>
  </sheetViews>
  <sheetFormatPr defaultRowHeight="15" x14ac:dyDescent="0.25"/>
  <cols>
    <col min="1" max="1" width="7.28515625" customWidth="1"/>
    <col min="2" max="3" width="6.7109375" customWidth="1"/>
    <col min="4" max="9" width="5.7109375" customWidth="1"/>
    <col min="10" max="27" width="6.28515625" customWidth="1"/>
    <col min="28" max="29" width="5.7109375" customWidth="1"/>
    <col min="30" max="30" width="62.7109375" customWidth="1"/>
    <col min="31" max="41" width="5.7109375" customWidth="1"/>
    <col min="51" max="51" width="6" customWidth="1"/>
    <col min="52" max="52" width="9.140625" hidden="1" customWidth="1"/>
    <col min="53" max="53" width="6.28515625" hidden="1" customWidth="1"/>
    <col min="54" max="54" width="9.140625" hidden="1" customWidth="1"/>
    <col min="55" max="55" width="6.85546875" hidden="1" customWidth="1"/>
    <col min="56" max="56" width="8.7109375" hidden="1" customWidth="1"/>
    <col min="57" max="57" width="9.140625" hidden="1" customWidth="1"/>
    <col min="58" max="58" width="10.85546875" hidden="1" customWidth="1"/>
    <col min="59" max="59" width="40.7109375" customWidth="1"/>
    <col min="60" max="60" width="60.7109375" customWidth="1"/>
  </cols>
  <sheetData>
    <row r="1" spans="1:30" ht="18.75" customHeight="1" x14ac:dyDescent="0.25">
      <c r="A1" s="365" t="s">
        <v>106</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177"/>
    </row>
    <row r="2" spans="1:30" x14ac:dyDescent="0.25">
      <c r="A2" s="365"/>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177"/>
    </row>
    <row r="3" spans="1:30" x14ac:dyDescent="0.25">
      <c r="A3" s="366" t="s">
        <v>107</v>
      </c>
      <c r="B3" s="367"/>
      <c r="C3" s="367"/>
      <c r="D3" s="367"/>
      <c r="E3" s="367"/>
      <c r="F3" s="368"/>
      <c r="G3" s="436" t="str">
        <f>Setup!G3</f>
        <v>Expanded School Mental Health</v>
      </c>
      <c r="H3" s="437"/>
      <c r="I3" s="437"/>
      <c r="J3" s="437"/>
      <c r="K3" s="437"/>
      <c r="L3" s="437"/>
      <c r="M3" s="437"/>
      <c r="N3" s="437"/>
      <c r="O3" s="437"/>
      <c r="P3" s="438"/>
      <c r="Q3" s="157"/>
      <c r="R3" s="366" t="s">
        <v>109</v>
      </c>
      <c r="S3" s="367"/>
      <c r="T3" s="368"/>
      <c r="U3" s="439">
        <f>Setup!U3</f>
        <v>0</v>
      </c>
      <c r="V3" s="439"/>
      <c r="W3" s="439"/>
      <c r="X3" s="439"/>
      <c r="Y3" s="439"/>
      <c r="Z3" s="439"/>
      <c r="AA3" s="439"/>
      <c r="AB3" s="439"/>
      <c r="AC3" s="439"/>
      <c r="AD3" s="177"/>
    </row>
    <row r="4" spans="1:30" x14ac:dyDescent="0.25">
      <c r="A4" s="366" t="s">
        <v>110</v>
      </c>
      <c r="B4" s="367"/>
      <c r="C4" s="367"/>
      <c r="D4" s="367"/>
      <c r="E4" s="367"/>
      <c r="F4" s="368"/>
      <c r="G4" s="440">
        <f>Setup!G4</f>
        <v>0</v>
      </c>
      <c r="H4" s="441"/>
      <c r="I4" s="441"/>
      <c r="J4" s="441"/>
      <c r="K4" s="441"/>
      <c r="L4" s="441"/>
      <c r="M4" s="441"/>
      <c r="N4" s="441"/>
      <c r="O4" s="441"/>
      <c r="P4" s="442"/>
      <c r="Q4" s="157"/>
      <c r="R4" s="366" t="s">
        <v>114</v>
      </c>
      <c r="S4" s="367"/>
      <c r="T4" s="368"/>
      <c r="U4" s="440">
        <f>Setup!U6</f>
        <v>0</v>
      </c>
      <c r="V4" s="441"/>
      <c r="W4" s="441"/>
      <c r="X4" s="441"/>
      <c r="Y4" s="441"/>
      <c r="Z4" s="441"/>
      <c r="AA4" s="441"/>
      <c r="AB4" s="441"/>
      <c r="AC4" s="442"/>
      <c r="AD4" s="177"/>
    </row>
    <row r="5" spans="1:30" ht="30" customHeight="1" x14ac:dyDescent="0.25">
      <c r="A5" s="355" t="s">
        <v>115</v>
      </c>
      <c r="B5" s="356"/>
      <c r="C5" s="356"/>
      <c r="D5" s="356"/>
      <c r="E5" s="356"/>
      <c r="F5" s="357"/>
      <c r="G5" s="420">
        <f>Setup!G7</f>
        <v>0</v>
      </c>
      <c r="H5" s="421"/>
      <c r="I5" s="421"/>
      <c r="J5" s="421"/>
      <c r="K5" s="422"/>
      <c r="L5" s="420">
        <f>Setup!L7</f>
        <v>0</v>
      </c>
      <c r="M5" s="421"/>
      <c r="N5" s="421"/>
      <c r="O5" s="421"/>
      <c r="P5" s="422"/>
      <c r="Q5" s="157"/>
      <c r="R5" s="343" t="s">
        <v>118</v>
      </c>
      <c r="S5" s="344"/>
      <c r="T5" s="345"/>
      <c r="U5" s="426">
        <f>Setup!U7</f>
        <v>0</v>
      </c>
      <c r="V5" s="427"/>
      <c r="W5" s="427"/>
      <c r="X5" s="427"/>
      <c r="Y5" s="427"/>
      <c r="Z5" s="427"/>
      <c r="AA5" s="427"/>
      <c r="AB5" s="427"/>
      <c r="AC5" s="428"/>
      <c r="AD5" s="177"/>
    </row>
    <row r="6" spans="1:30" ht="18.75" customHeight="1" x14ac:dyDescent="0.25">
      <c r="A6" s="607" t="s">
        <v>119</v>
      </c>
      <c r="B6" s="608"/>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9"/>
      <c r="AD6" s="177"/>
    </row>
    <row r="7" spans="1:30" x14ac:dyDescent="0.25">
      <c r="A7" s="627" t="s">
        <v>178</v>
      </c>
      <c r="B7" s="627"/>
      <c r="C7" s="628"/>
      <c r="D7" s="620" t="s">
        <v>511</v>
      </c>
      <c r="E7" s="621"/>
      <c r="F7" s="621"/>
      <c r="G7" s="621"/>
      <c r="H7" s="621"/>
      <c r="I7" s="621"/>
      <c r="J7" s="621"/>
      <c r="K7" s="621"/>
      <c r="L7" s="622" t="s">
        <v>512</v>
      </c>
      <c r="M7" s="622"/>
      <c r="N7" s="622"/>
      <c r="O7" s="622"/>
      <c r="P7" s="622"/>
      <c r="Q7" s="622"/>
      <c r="R7" s="622"/>
      <c r="S7" s="622"/>
      <c r="T7" s="622"/>
      <c r="U7" s="624" t="s">
        <v>513</v>
      </c>
      <c r="V7" s="625"/>
      <c r="W7" s="625"/>
      <c r="X7" s="625"/>
      <c r="Y7" s="626"/>
      <c r="Z7" s="623" t="s">
        <v>514</v>
      </c>
      <c r="AA7" s="623"/>
      <c r="AB7" s="623"/>
      <c r="AC7" s="623"/>
      <c r="AD7" s="202" t="s">
        <v>255</v>
      </c>
    </row>
    <row r="8" spans="1:30" x14ac:dyDescent="0.25">
      <c r="A8" s="443"/>
      <c r="B8" s="443"/>
      <c r="C8" s="443"/>
      <c r="D8" s="330"/>
      <c r="E8" s="330"/>
      <c r="F8" s="330"/>
      <c r="G8" s="330"/>
      <c r="H8" s="330"/>
      <c r="I8" s="330"/>
      <c r="J8" s="330"/>
      <c r="K8" s="330"/>
      <c r="L8" s="330"/>
      <c r="M8" s="330"/>
      <c r="N8" s="330"/>
      <c r="O8" s="330"/>
      <c r="P8" s="330"/>
      <c r="Q8" s="330"/>
      <c r="R8" s="330"/>
      <c r="S8" s="330"/>
      <c r="T8" s="330"/>
      <c r="U8" s="330"/>
      <c r="V8" s="330"/>
      <c r="W8" s="330"/>
      <c r="X8" s="330"/>
      <c r="Y8" s="330"/>
      <c r="Z8" s="619"/>
      <c r="AA8" s="619"/>
      <c r="AB8" s="619"/>
      <c r="AC8" s="619"/>
      <c r="AD8" s="60"/>
    </row>
    <row r="9" spans="1:30" x14ac:dyDescent="0.25">
      <c r="A9" s="443"/>
      <c r="B9" s="443"/>
      <c r="C9" s="443"/>
      <c r="D9" s="330"/>
      <c r="E9" s="330"/>
      <c r="F9" s="330"/>
      <c r="G9" s="330"/>
      <c r="H9" s="330"/>
      <c r="I9" s="330"/>
      <c r="J9" s="330"/>
      <c r="K9" s="330"/>
      <c r="L9" s="330"/>
      <c r="M9" s="330"/>
      <c r="N9" s="330"/>
      <c r="O9" s="330"/>
      <c r="P9" s="330"/>
      <c r="Q9" s="330"/>
      <c r="R9" s="330"/>
      <c r="S9" s="330"/>
      <c r="T9" s="330"/>
      <c r="U9" s="330"/>
      <c r="V9" s="330"/>
      <c r="W9" s="330"/>
      <c r="X9" s="330"/>
      <c r="Y9" s="330"/>
      <c r="Z9" s="619"/>
      <c r="AA9" s="619"/>
      <c r="AB9" s="619"/>
      <c r="AC9" s="619"/>
      <c r="AD9" s="60"/>
    </row>
    <row r="10" spans="1:30" x14ac:dyDescent="0.25">
      <c r="A10" s="443"/>
      <c r="B10" s="443"/>
      <c r="C10" s="443"/>
      <c r="D10" s="330"/>
      <c r="E10" s="330"/>
      <c r="F10" s="330"/>
      <c r="G10" s="330"/>
      <c r="H10" s="330"/>
      <c r="I10" s="330"/>
      <c r="J10" s="330"/>
      <c r="K10" s="330"/>
      <c r="L10" s="330"/>
      <c r="M10" s="330"/>
      <c r="N10" s="330"/>
      <c r="O10" s="330"/>
      <c r="P10" s="330"/>
      <c r="Q10" s="330"/>
      <c r="R10" s="330"/>
      <c r="S10" s="330"/>
      <c r="T10" s="330"/>
      <c r="U10" s="330"/>
      <c r="V10" s="330"/>
      <c r="W10" s="330"/>
      <c r="X10" s="330"/>
      <c r="Y10" s="330"/>
      <c r="Z10" s="619"/>
      <c r="AA10" s="619"/>
      <c r="AB10" s="619"/>
      <c r="AC10" s="619"/>
      <c r="AD10" s="60"/>
    </row>
    <row r="11" spans="1:30" x14ac:dyDescent="0.25">
      <c r="A11" s="443"/>
      <c r="B11" s="443"/>
      <c r="C11" s="443"/>
      <c r="D11" s="330"/>
      <c r="E11" s="330"/>
      <c r="F11" s="330"/>
      <c r="G11" s="330"/>
      <c r="H11" s="330"/>
      <c r="I11" s="330"/>
      <c r="J11" s="330"/>
      <c r="K11" s="330"/>
      <c r="L11" s="330"/>
      <c r="M11" s="330"/>
      <c r="N11" s="330"/>
      <c r="O11" s="330"/>
      <c r="P11" s="330"/>
      <c r="Q11" s="330"/>
      <c r="R11" s="330"/>
      <c r="S11" s="330"/>
      <c r="T11" s="330"/>
      <c r="U11" s="330"/>
      <c r="V11" s="330"/>
      <c r="W11" s="330"/>
      <c r="X11" s="330"/>
      <c r="Y11" s="330"/>
      <c r="Z11" s="619"/>
      <c r="AA11" s="619"/>
      <c r="AB11" s="619"/>
      <c r="AC11" s="619"/>
      <c r="AD11" s="60"/>
    </row>
    <row r="12" spans="1:30" x14ac:dyDescent="0.25">
      <c r="A12" s="443"/>
      <c r="B12" s="443"/>
      <c r="C12" s="443"/>
      <c r="D12" s="330"/>
      <c r="E12" s="330"/>
      <c r="F12" s="330"/>
      <c r="G12" s="330"/>
      <c r="H12" s="330"/>
      <c r="I12" s="330"/>
      <c r="J12" s="330"/>
      <c r="K12" s="330"/>
      <c r="L12" s="330"/>
      <c r="M12" s="330"/>
      <c r="N12" s="330"/>
      <c r="O12" s="330"/>
      <c r="P12" s="330"/>
      <c r="Q12" s="330"/>
      <c r="R12" s="330"/>
      <c r="S12" s="330"/>
      <c r="T12" s="330"/>
      <c r="U12" s="330"/>
      <c r="V12" s="330"/>
      <c r="W12" s="330"/>
      <c r="X12" s="330"/>
      <c r="Y12" s="330"/>
      <c r="Z12" s="619"/>
      <c r="AA12" s="619"/>
      <c r="AB12" s="619"/>
      <c r="AC12" s="619"/>
      <c r="AD12" s="60"/>
    </row>
    <row r="13" spans="1:30" x14ac:dyDescent="0.25">
      <c r="A13" s="443"/>
      <c r="B13" s="443"/>
      <c r="C13" s="443"/>
      <c r="D13" s="330"/>
      <c r="E13" s="330"/>
      <c r="F13" s="330"/>
      <c r="G13" s="330"/>
      <c r="H13" s="330"/>
      <c r="I13" s="330"/>
      <c r="J13" s="330"/>
      <c r="K13" s="330"/>
      <c r="L13" s="330"/>
      <c r="M13" s="330"/>
      <c r="N13" s="330"/>
      <c r="O13" s="330"/>
      <c r="P13" s="330"/>
      <c r="Q13" s="330"/>
      <c r="R13" s="330"/>
      <c r="S13" s="330"/>
      <c r="T13" s="330"/>
      <c r="U13" s="330"/>
      <c r="V13" s="330"/>
      <c r="W13" s="330"/>
      <c r="X13" s="330"/>
      <c r="Y13" s="330"/>
      <c r="Z13" s="619"/>
      <c r="AA13" s="619"/>
      <c r="AB13" s="619"/>
      <c r="AC13" s="619"/>
      <c r="AD13" s="60"/>
    </row>
    <row r="14" spans="1:30" x14ac:dyDescent="0.25">
      <c r="A14" s="443"/>
      <c r="B14" s="443"/>
      <c r="C14" s="443"/>
      <c r="D14" s="330"/>
      <c r="E14" s="330"/>
      <c r="F14" s="330"/>
      <c r="G14" s="330"/>
      <c r="H14" s="330"/>
      <c r="I14" s="330"/>
      <c r="J14" s="330"/>
      <c r="K14" s="330"/>
      <c r="L14" s="330"/>
      <c r="M14" s="330"/>
      <c r="N14" s="330"/>
      <c r="O14" s="330"/>
      <c r="P14" s="330"/>
      <c r="Q14" s="330"/>
      <c r="R14" s="330"/>
      <c r="S14" s="330"/>
      <c r="T14" s="330"/>
      <c r="U14" s="330"/>
      <c r="V14" s="330"/>
      <c r="W14" s="330"/>
      <c r="X14" s="330"/>
      <c r="Y14" s="330"/>
      <c r="Z14" s="619"/>
      <c r="AA14" s="619"/>
      <c r="AB14" s="619"/>
      <c r="AC14" s="619"/>
      <c r="AD14" s="60"/>
    </row>
    <row r="15" spans="1:30" x14ac:dyDescent="0.25">
      <c r="A15" s="443"/>
      <c r="B15" s="443"/>
      <c r="C15" s="443"/>
      <c r="D15" s="330"/>
      <c r="E15" s="330"/>
      <c r="F15" s="330"/>
      <c r="G15" s="330"/>
      <c r="H15" s="330"/>
      <c r="I15" s="330"/>
      <c r="J15" s="330"/>
      <c r="K15" s="330"/>
      <c r="L15" s="330"/>
      <c r="M15" s="330"/>
      <c r="N15" s="330"/>
      <c r="O15" s="330"/>
      <c r="P15" s="330"/>
      <c r="Q15" s="330"/>
      <c r="R15" s="330"/>
      <c r="S15" s="330"/>
      <c r="T15" s="330"/>
      <c r="U15" s="330"/>
      <c r="V15" s="330"/>
      <c r="W15" s="330"/>
      <c r="X15" s="330"/>
      <c r="Y15" s="330"/>
      <c r="Z15" s="619"/>
      <c r="AA15" s="619"/>
      <c r="AB15" s="619"/>
      <c r="AC15" s="619"/>
      <c r="AD15" s="60"/>
    </row>
    <row r="16" spans="1:30" x14ac:dyDescent="0.25">
      <c r="A16" s="443"/>
      <c r="B16" s="443"/>
      <c r="C16" s="443"/>
      <c r="D16" s="330"/>
      <c r="E16" s="330"/>
      <c r="F16" s="330"/>
      <c r="G16" s="330"/>
      <c r="H16" s="330"/>
      <c r="I16" s="330"/>
      <c r="J16" s="330"/>
      <c r="K16" s="330"/>
      <c r="L16" s="330"/>
      <c r="M16" s="330"/>
      <c r="N16" s="330"/>
      <c r="O16" s="330"/>
      <c r="P16" s="330"/>
      <c r="Q16" s="330"/>
      <c r="R16" s="330"/>
      <c r="S16" s="330"/>
      <c r="T16" s="330"/>
      <c r="U16" s="330"/>
      <c r="V16" s="330"/>
      <c r="W16" s="330"/>
      <c r="X16" s="330"/>
      <c r="Y16" s="330"/>
      <c r="Z16" s="619"/>
      <c r="AA16" s="619"/>
      <c r="AB16" s="619"/>
      <c r="AC16" s="619"/>
      <c r="AD16" s="60"/>
    </row>
    <row r="17" spans="1:30" x14ac:dyDescent="0.25">
      <c r="A17" s="443"/>
      <c r="B17" s="443"/>
      <c r="C17" s="443"/>
      <c r="D17" s="330"/>
      <c r="E17" s="330"/>
      <c r="F17" s="330"/>
      <c r="G17" s="330"/>
      <c r="H17" s="330"/>
      <c r="I17" s="330"/>
      <c r="J17" s="330"/>
      <c r="K17" s="330"/>
      <c r="L17" s="330"/>
      <c r="M17" s="330"/>
      <c r="N17" s="330"/>
      <c r="O17" s="330"/>
      <c r="P17" s="330"/>
      <c r="Q17" s="330"/>
      <c r="R17" s="330"/>
      <c r="S17" s="330"/>
      <c r="T17" s="330"/>
      <c r="U17" s="330"/>
      <c r="V17" s="330"/>
      <c r="W17" s="330"/>
      <c r="X17" s="330"/>
      <c r="Y17" s="330"/>
      <c r="Z17" s="619"/>
      <c r="AA17" s="619"/>
      <c r="AB17" s="619"/>
      <c r="AC17" s="619"/>
      <c r="AD17" s="60"/>
    </row>
    <row r="18" spans="1:30" x14ac:dyDescent="0.25">
      <c r="A18" s="443"/>
      <c r="B18" s="443"/>
      <c r="C18" s="443"/>
      <c r="D18" s="330"/>
      <c r="E18" s="330"/>
      <c r="F18" s="330"/>
      <c r="G18" s="330"/>
      <c r="H18" s="330"/>
      <c r="I18" s="330"/>
      <c r="J18" s="330"/>
      <c r="K18" s="330"/>
      <c r="L18" s="330"/>
      <c r="M18" s="330"/>
      <c r="N18" s="330"/>
      <c r="O18" s="330"/>
      <c r="P18" s="330"/>
      <c r="Q18" s="330"/>
      <c r="R18" s="330"/>
      <c r="S18" s="330"/>
      <c r="T18" s="330"/>
      <c r="U18" s="330"/>
      <c r="V18" s="330"/>
      <c r="W18" s="330"/>
      <c r="X18" s="330"/>
      <c r="Y18" s="330"/>
      <c r="Z18" s="619"/>
      <c r="AA18" s="619"/>
      <c r="AB18" s="619"/>
      <c r="AC18" s="619"/>
      <c r="AD18" s="60"/>
    </row>
    <row r="19" spans="1:30" x14ac:dyDescent="0.25">
      <c r="A19" s="443"/>
      <c r="B19" s="443"/>
      <c r="C19" s="443"/>
      <c r="D19" s="330"/>
      <c r="E19" s="330"/>
      <c r="F19" s="330"/>
      <c r="G19" s="330"/>
      <c r="H19" s="330"/>
      <c r="I19" s="330"/>
      <c r="J19" s="330"/>
      <c r="K19" s="330"/>
      <c r="L19" s="330"/>
      <c r="M19" s="330"/>
      <c r="N19" s="330"/>
      <c r="O19" s="330"/>
      <c r="P19" s="330"/>
      <c r="Q19" s="330"/>
      <c r="R19" s="330"/>
      <c r="S19" s="330"/>
      <c r="T19" s="330"/>
      <c r="U19" s="330"/>
      <c r="V19" s="330"/>
      <c r="W19" s="330"/>
      <c r="X19" s="330"/>
      <c r="Y19" s="330"/>
      <c r="Z19" s="619"/>
      <c r="AA19" s="619"/>
      <c r="AB19" s="619"/>
      <c r="AC19" s="619"/>
      <c r="AD19" s="60"/>
    </row>
    <row r="20" spans="1:30" x14ac:dyDescent="0.25">
      <c r="A20" s="443"/>
      <c r="B20" s="443"/>
      <c r="C20" s="443"/>
      <c r="D20" s="330"/>
      <c r="E20" s="330"/>
      <c r="F20" s="330"/>
      <c r="G20" s="330"/>
      <c r="H20" s="330"/>
      <c r="I20" s="330"/>
      <c r="J20" s="330"/>
      <c r="K20" s="330"/>
      <c r="L20" s="330"/>
      <c r="M20" s="330"/>
      <c r="N20" s="330"/>
      <c r="O20" s="330"/>
      <c r="P20" s="330"/>
      <c r="Q20" s="330"/>
      <c r="R20" s="330"/>
      <c r="S20" s="330"/>
      <c r="T20" s="330"/>
      <c r="U20" s="330"/>
      <c r="V20" s="330"/>
      <c r="W20" s="330"/>
      <c r="X20" s="330"/>
      <c r="Y20" s="330"/>
      <c r="Z20" s="619"/>
      <c r="AA20" s="619"/>
      <c r="AB20" s="619"/>
      <c r="AC20" s="619"/>
      <c r="AD20" s="60"/>
    </row>
    <row r="21" spans="1:30" x14ac:dyDescent="0.25">
      <c r="A21" s="443"/>
      <c r="B21" s="443"/>
      <c r="C21" s="443"/>
      <c r="D21" s="330"/>
      <c r="E21" s="330"/>
      <c r="F21" s="330"/>
      <c r="G21" s="330"/>
      <c r="H21" s="330"/>
      <c r="I21" s="330"/>
      <c r="J21" s="330"/>
      <c r="K21" s="330"/>
      <c r="L21" s="330"/>
      <c r="M21" s="330"/>
      <c r="N21" s="330"/>
      <c r="O21" s="330"/>
      <c r="P21" s="330"/>
      <c r="Q21" s="330"/>
      <c r="R21" s="330"/>
      <c r="S21" s="330"/>
      <c r="T21" s="330"/>
      <c r="U21" s="330"/>
      <c r="V21" s="330"/>
      <c r="W21" s="330"/>
      <c r="X21" s="330"/>
      <c r="Y21" s="330"/>
      <c r="Z21" s="619"/>
      <c r="AA21" s="619"/>
      <c r="AB21" s="619"/>
      <c r="AC21" s="619"/>
      <c r="AD21" s="60"/>
    </row>
    <row r="22" spans="1:30" x14ac:dyDescent="0.25">
      <c r="A22" s="443"/>
      <c r="B22" s="443"/>
      <c r="C22" s="443"/>
      <c r="D22" s="330"/>
      <c r="E22" s="330"/>
      <c r="F22" s="330"/>
      <c r="G22" s="330"/>
      <c r="H22" s="330"/>
      <c r="I22" s="330"/>
      <c r="J22" s="330"/>
      <c r="K22" s="330"/>
      <c r="L22" s="330"/>
      <c r="M22" s="330"/>
      <c r="N22" s="330"/>
      <c r="O22" s="330"/>
      <c r="P22" s="330"/>
      <c r="Q22" s="330"/>
      <c r="R22" s="330"/>
      <c r="S22" s="330"/>
      <c r="T22" s="330"/>
      <c r="U22" s="330"/>
      <c r="V22" s="330"/>
      <c r="W22" s="330"/>
      <c r="X22" s="330"/>
      <c r="Y22" s="330"/>
      <c r="Z22" s="619"/>
      <c r="AA22" s="619"/>
      <c r="AB22" s="619"/>
      <c r="AC22" s="619"/>
      <c r="AD22" s="60"/>
    </row>
    <row r="23" spans="1:30" x14ac:dyDescent="0.25">
      <c r="A23" s="443"/>
      <c r="B23" s="443"/>
      <c r="C23" s="443"/>
      <c r="D23" s="330"/>
      <c r="E23" s="330"/>
      <c r="F23" s="330"/>
      <c r="G23" s="330"/>
      <c r="H23" s="330"/>
      <c r="I23" s="330"/>
      <c r="J23" s="330"/>
      <c r="K23" s="330"/>
      <c r="L23" s="330"/>
      <c r="M23" s="330"/>
      <c r="N23" s="330"/>
      <c r="O23" s="330"/>
      <c r="P23" s="330"/>
      <c r="Q23" s="330"/>
      <c r="R23" s="330"/>
      <c r="S23" s="330"/>
      <c r="T23" s="330"/>
      <c r="U23" s="330"/>
      <c r="V23" s="330"/>
      <c r="W23" s="330"/>
      <c r="X23" s="330"/>
      <c r="Y23" s="330"/>
      <c r="Z23" s="619"/>
      <c r="AA23" s="619"/>
      <c r="AB23" s="619"/>
      <c r="AC23" s="619"/>
      <c r="AD23" s="60"/>
    </row>
    <row r="24" spans="1:30" x14ac:dyDescent="0.25">
      <c r="A24" s="443"/>
      <c r="B24" s="443"/>
      <c r="C24" s="443"/>
      <c r="D24" s="330"/>
      <c r="E24" s="330"/>
      <c r="F24" s="330"/>
      <c r="G24" s="330"/>
      <c r="H24" s="330"/>
      <c r="I24" s="330"/>
      <c r="J24" s="330"/>
      <c r="K24" s="330"/>
      <c r="L24" s="330"/>
      <c r="M24" s="330"/>
      <c r="N24" s="330"/>
      <c r="O24" s="330"/>
      <c r="P24" s="330"/>
      <c r="Q24" s="330"/>
      <c r="R24" s="330"/>
      <c r="S24" s="330"/>
      <c r="T24" s="330"/>
      <c r="U24" s="330"/>
      <c r="V24" s="330"/>
      <c r="W24" s="330"/>
      <c r="X24" s="330"/>
      <c r="Y24" s="330"/>
      <c r="Z24" s="619"/>
      <c r="AA24" s="619"/>
      <c r="AB24" s="619"/>
      <c r="AC24" s="619"/>
      <c r="AD24" s="60"/>
    </row>
    <row r="25" spans="1:30" x14ac:dyDescent="0.25">
      <c r="A25" s="443"/>
      <c r="B25" s="443"/>
      <c r="C25" s="443"/>
      <c r="D25" s="330"/>
      <c r="E25" s="330"/>
      <c r="F25" s="330"/>
      <c r="G25" s="330"/>
      <c r="H25" s="330"/>
      <c r="I25" s="330"/>
      <c r="J25" s="330"/>
      <c r="K25" s="330"/>
      <c r="L25" s="330"/>
      <c r="M25" s="330"/>
      <c r="N25" s="330"/>
      <c r="O25" s="330"/>
      <c r="P25" s="330"/>
      <c r="Q25" s="330"/>
      <c r="R25" s="330"/>
      <c r="S25" s="330"/>
      <c r="T25" s="330"/>
      <c r="U25" s="330"/>
      <c r="V25" s="330"/>
      <c r="W25" s="330"/>
      <c r="X25" s="330"/>
      <c r="Y25" s="330"/>
      <c r="Z25" s="619"/>
      <c r="AA25" s="619"/>
      <c r="AB25" s="619"/>
      <c r="AC25" s="619"/>
      <c r="AD25" s="60"/>
    </row>
    <row r="26" spans="1:30" x14ac:dyDescent="0.25">
      <c r="A26" s="443"/>
      <c r="B26" s="443"/>
      <c r="C26" s="443"/>
      <c r="D26" s="330"/>
      <c r="E26" s="330"/>
      <c r="F26" s="330"/>
      <c r="G26" s="330"/>
      <c r="H26" s="330"/>
      <c r="I26" s="330"/>
      <c r="J26" s="330"/>
      <c r="K26" s="330"/>
      <c r="L26" s="330"/>
      <c r="M26" s="330"/>
      <c r="N26" s="330"/>
      <c r="O26" s="330"/>
      <c r="P26" s="330"/>
      <c r="Q26" s="330"/>
      <c r="R26" s="330"/>
      <c r="S26" s="330"/>
      <c r="T26" s="330"/>
      <c r="U26" s="330"/>
      <c r="V26" s="330"/>
      <c r="W26" s="330"/>
      <c r="X26" s="330"/>
      <c r="Y26" s="330"/>
      <c r="Z26" s="619"/>
      <c r="AA26" s="619"/>
      <c r="AB26" s="619"/>
      <c r="AC26" s="619"/>
      <c r="AD26" s="60"/>
    </row>
    <row r="27" spans="1:30" x14ac:dyDescent="0.25">
      <c r="A27" s="443"/>
      <c r="B27" s="443"/>
      <c r="C27" s="443"/>
      <c r="D27" s="330"/>
      <c r="E27" s="330"/>
      <c r="F27" s="330"/>
      <c r="G27" s="330"/>
      <c r="H27" s="330"/>
      <c r="I27" s="330"/>
      <c r="J27" s="330"/>
      <c r="K27" s="330"/>
      <c r="L27" s="330"/>
      <c r="M27" s="330"/>
      <c r="N27" s="330"/>
      <c r="O27" s="330"/>
      <c r="P27" s="330"/>
      <c r="Q27" s="330"/>
      <c r="R27" s="330"/>
      <c r="S27" s="330"/>
      <c r="T27" s="330"/>
      <c r="U27" s="330"/>
      <c r="V27" s="330"/>
      <c r="W27" s="330"/>
      <c r="X27" s="330"/>
      <c r="Y27" s="330"/>
      <c r="Z27" s="619"/>
      <c r="AA27" s="619"/>
      <c r="AB27" s="619"/>
      <c r="AC27" s="619"/>
      <c r="AD27" s="60"/>
    </row>
    <row r="28" spans="1:30" x14ac:dyDescent="0.25">
      <c r="A28" s="443"/>
      <c r="B28" s="443"/>
      <c r="C28" s="443"/>
      <c r="D28" s="330"/>
      <c r="E28" s="330"/>
      <c r="F28" s="330"/>
      <c r="G28" s="330"/>
      <c r="H28" s="330"/>
      <c r="I28" s="330"/>
      <c r="J28" s="330"/>
      <c r="K28" s="330"/>
      <c r="L28" s="330"/>
      <c r="M28" s="330"/>
      <c r="N28" s="330"/>
      <c r="O28" s="330"/>
      <c r="P28" s="330"/>
      <c r="Q28" s="330"/>
      <c r="R28" s="330"/>
      <c r="S28" s="330"/>
      <c r="T28" s="330"/>
      <c r="U28" s="330"/>
      <c r="V28" s="330"/>
      <c r="W28" s="330"/>
      <c r="X28" s="330"/>
      <c r="Y28" s="330"/>
      <c r="Z28" s="619"/>
      <c r="AA28" s="619"/>
      <c r="AB28" s="619"/>
      <c r="AC28" s="619"/>
      <c r="AD28" s="60"/>
    </row>
    <row r="29" spans="1:30" x14ac:dyDescent="0.25">
      <c r="A29" s="443"/>
      <c r="B29" s="443"/>
      <c r="C29" s="443"/>
      <c r="D29" s="330"/>
      <c r="E29" s="330"/>
      <c r="F29" s="330"/>
      <c r="G29" s="330"/>
      <c r="H29" s="330"/>
      <c r="I29" s="330"/>
      <c r="J29" s="330"/>
      <c r="K29" s="330"/>
      <c r="L29" s="330"/>
      <c r="M29" s="330"/>
      <c r="N29" s="330"/>
      <c r="O29" s="330"/>
      <c r="P29" s="330"/>
      <c r="Q29" s="330"/>
      <c r="R29" s="330"/>
      <c r="S29" s="330"/>
      <c r="T29" s="330"/>
      <c r="U29" s="330"/>
      <c r="V29" s="330"/>
      <c r="W29" s="330"/>
      <c r="X29" s="330"/>
      <c r="Y29" s="330"/>
      <c r="Z29" s="619"/>
      <c r="AA29" s="619"/>
      <c r="AB29" s="619"/>
      <c r="AC29" s="619"/>
      <c r="AD29" s="60"/>
    </row>
    <row r="30" spans="1:30" x14ac:dyDescent="0.25">
      <c r="A30" s="443"/>
      <c r="B30" s="443"/>
      <c r="C30" s="443"/>
      <c r="D30" s="330"/>
      <c r="E30" s="330"/>
      <c r="F30" s="330"/>
      <c r="G30" s="330"/>
      <c r="H30" s="330"/>
      <c r="I30" s="330"/>
      <c r="J30" s="330"/>
      <c r="K30" s="330"/>
      <c r="L30" s="330"/>
      <c r="M30" s="330"/>
      <c r="N30" s="330"/>
      <c r="O30" s="330"/>
      <c r="P30" s="330"/>
      <c r="Q30" s="330"/>
      <c r="R30" s="330"/>
      <c r="S30" s="330"/>
      <c r="T30" s="330"/>
      <c r="U30" s="330"/>
      <c r="V30" s="330"/>
      <c r="W30" s="330"/>
      <c r="X30" s="330"/>
      <c r="Y30" s="330"/>
      <c r="Z30" s="619"/>
      <c r="AA30" s="619"/>
      <c r="AB30" s="619"/>
      <c r="AC30" s="619"/>
      <c r="AD30" s="60"/>
    </row>
    <row r="31" spans="1:30" x14ac:dyDescent="0.25">
      <c r="A31" s="443"/>
      <c r="B31" s="443"/>
      <c r="C31" s="443"/>
      <c r="D31" s="330"/>
      <c r="E31" s="330"/>
      <c r="F31" s="330"/>
      <c r="G31" s="330"/>
      <c r="H31" s="330"/>
      <c r="I31" s="330"/>
      <c r="J31" s="330"/>
      <c r="K31" s="330"/>
      <c r="L31" s="330"/>
      <c r="M31" s="330"/>
      <c r="N31" s="330"/>
      <c r="O31" s="330"/>
      <c r="P31" s="330"/>
      <c r="Q31" s="330"/>
      <c r="R31" s="330"/>
      <c r="S31" s="330"/>
      <c r="T31" s="330"/>
      <c r="U31" s="330"/>
      <c r="V31" s="330"/>
      <c r="W31" s="330"/>
      <c r="X31" s="330"/>
      <c r="Y31" s="330"/>
      <c r="Z31" s="619"/>
      <c r="AA31" s="619"/>
      <c r="AB31" s="619"/>
      <c r="AC31" s="619"/>
      <c r="AD31" s="60"/>
    </row>
    <row r="32" spans="1:30" x14ac:dyDescent="0.25">
      <c r="A32" s="443"/>
      <c r="B32" s="443"/>
      <c r="C32" s="443"/>
      <c r="D32" s="330"/>
      <c r="E32" s="330"/>
      <c r="F32" s="330"/>
      <c r="G32" s="330"/>
      <c r="H32" s="330"/>
      <c r="I32" s="330"/>
      <c r="J32" s="330"/>
      <c r="K32" s="330"/>
      <c r="L32" s="330"/>
      <c r="M32" s="330"/>
      <c r="N32" s="330"/>
      <c r="O32" s="330"/>
      <c r="P32" s="330"/>
      <c r="Q32" s="330"/>
      <c r="R32" s="330"/>
      <c r="S32" s="330"/>
      <c r="T32" s="330"/>
      <c r="U32" s="330"/>
      <c r="V32" s="330"/>
      <c r="W32" s="330"/>
      <c r="X32" s="330"/>
      <c r="Y32" s="330"/>
      <c r="Z32" s="619"/>
      <c r="AA32" s="619"/>
      <c r="AB32" s="619"/>
      <c r="AC32" s="619"/>
      <c r="AD32" s="60"/>
    </row>
    <row r="33" spans="1:30" x14ac:dyDescent="0.25">
      <c r="A33" s="443"/>
      <c r="B33" s="443"/>
      <c r="C33" s="443"/>
      <c r="D33" s="330"/>
      <c r="E33" s="330"/>
      <c r="F33" s="330"/>
      <c r="G33" s="330"/>
      <c r="H33" s="330"/>
      <c r="I33" s="330"/>
      <c r="J33" s="330"/>
      <c r="K33" s="330"/>
      <c r="L33" s="330"/>
      <c r="M33" s="330"/>
      <c r="N33" s="330"/>
      <c r="O33" s="330"/>
      <c r="P33" s="330"/>
      <c r="Q33" s="330"/>
      <c r="R33" s="330"/>
      <c r="S33" s="330"/>
      <c r="T33" s="330"/>
      <c r="U33" s="330"/>
      <c r="V33" s="330"/>
      <c r="W33" s="330"/>
      <c r="X33" s="330"/>
      <c r="Y33" s="330"/>
      <c r="Z33" s="619"/>
      <c r="AA33" s="619"/>
      <c r="AB33" s="619"/>
      <c r="AC33" s="619"/>
      <c r="AD33" s="60"/>
    </row>
    <row r="34" spans="1:30" x14ac:dyDescent="0.25">
      <c r="A34" s="443"/>
      <c r="B34" s="443"/>
      <c r="C34" s="443"/>
      <c r="D34" s="330"/>
      <c r="E34" s="330"/>
      <c r="F34" s="330"/>
      <c r="G34" s="330"/>
      <c r="H34" s="330"/>
      <c r="I34" s="330"/>
      <c r="J34" s="330"/>
      <c r="K34" s="330"/>
      <c r="L34" s="330"/>
      <c r="M34" s="330"/>
      <c r="N34" s="330"/>
      <c r="O34" s="330"/>
      <c r="P34" s="330"/>
      <c r="Q34" s="330"/>
      <c r="R34" s="330"/>
      <c r="S34" s="330"/>
      <c r="T34" s="330"/>
      <c r="U34" s="330"/>
      <c r="V34" s="330"/>
      <c r="W34" s="330"/>
      <c r="X34" s="330"/>
      <c r="Y34" s="330"/>
      <c r="Z34" s="619"/>
      <c r="AA34" s="619"/>
      <c r="AB34" s="619"/>
      <c r="AC34" s="619"/>
      <c r="AD34" s="60"/>
    </row>
    <row r="35" spans="1:30" x14ac:dyDescent="0.25">
      <c r="A35" s="443"/>
      <c r="B35" s="443"/>
      <c r="C35" s="443"/>
      <c r="D35" s="330"/>
      <c r="E35" s="330"/>
      <c r="F35" s="330"/>
      <c r="G35" s="330"/>
      <c r="H35" s="330"/>
      <c r="I35" s="330"/>
      <c r="J35" s="330"/>
      <c r="K35" s="330"/>
      <c r="L35" s="330"/>
      <c r="M35" s="330"/>
      <c r="N35" s="330"/>
      <c r="O35" s="330"/>
      <c r="P35" s="330"/>
      <c r="Q35" s="330"/>
      <c r="R35" s="330"/>
      <c r="S35" s="330"/>
      <c r="T35" s="330"/>
      <c r="U35" s="330"/>
      <c r="V35" s="330"/>
      <c r="W35" s="330"/>
      <c r="X35" s="330"/>
      <c r="Y35" s="330"/>
      <c r="Z35" s="619"/>
      <c r="AA35" s="619"/>
      <c r="AB35" s="619"/>
      <c r="AC35" s="619"/>
      <c r="AD35" s="60"/>
    </row>
    <row r="36" spans="1:30" x14ac:dyDescent="0.25">
      <c r="A36" s="443"/>
      <c r="B36" s="443"/>
      <c r="C36" s="443"/>
      <c r="D36" s="330"/>
      <c r="E36" s="330"/>
      <c r="F36" s="330"/>
      <c r="G36" s="330"/>
      <c r="H36" s="330"/>
      <c r="I36" s="330"/>
      <c r="J36" s="330"/>
      <c r="K36" s="330"/>
      <c r="L36" s="330"/>
      <c r="M36" s="330"/>
      <c r="N36" s="330"/>
      <c r="O36" s="330"/>
      <c r="P36" s="330"/>
      <c r="Q36" s="330"/>
      <c r="R36" s="330"/>
      <c r="S36" s="330"/>
      <c r="T36" s="330"/>
      <c r="U36" s="330"/>
      <c r="V36" s="330"/>
      <c r="W36" s="330"/>
      <c r="X36" s="330"/>
      <c r="Y36" s="330"/>
      <c r="Z36" s="619"/>
      <c r="AA36" s="619"/>
      <c r="AB36" s="619"/>
      <c r="AC36" s="619"/>
      <c r="AD36" s="60"/>
    </row>
    <row r="37" spans="1:30" x14ac:dyDescent="0.25">
      <c r="A37" s="443"/>
      <c r="B37" s="443"/>
      <c r="C37" s="443"/>
      <c r="D37" s="330"/>
      <c r="E37" s="330"/>
      <c r="F37" s="330"/>
      <c r="G37" s="330"/>
      <c r="H37" s="330"/>
      <c r="I37" s="330"/>
      <c r="J37" s="330"/>
      <c r="K37" s="330"/>
      <c r="L37" s="330"/>
      <c r="M37" s="330"/>
      <c r="N37" s="330"/>
      <c r="O37" s="330"/>
      <c r="P37" s="330"/>
      <c r="Q37" s="330"/>
      <c r="R37" s="330"/>
      <c r="S37" s="330"/>
      <c r="T37" s="330"/>
      <c r="U37" s="330"/>
      <c r="V37" s="330"/>
      <c r="W37" s="330"/>
      <c r="X37" s="330"/>
      <c r="Y37" s="330"/>
      <c r="Z37" s="619"/>
      <c r="AA37" s="619"/>
      <c r="AB37" s="619"/>
      <c r="AC37" s="619"/>
      <c r="AD37" s="60"/>
    </row>
    <row r="38" spans="1:30" x14ac:dyDescent="0.25">
      <c r="A38" s="443"/>
      <c r="B38" s="443"/>
      <c r="C38" s="443"/>
      <c r="D38" s="330"/>
      <c r="E38" s="330"/>
      <c r="F38" s="330"/>
      <c r="G38" s="330"/>
      <c r="H38" s="330"/>
      <c r="I38" s="330"/>
      <c r="J38" s="330"/>
      <c r="K38" s="330"/>
      <c r="L38" s="330"/>
      <c r="M38" s="330"/>
      <c r="N38" s="330"/>
      <c r="O38" s="330"/>
      <c r="P38" s="330"/>
      <c r="Q38" s="330"/>
      <c r="R38" s="330"/>
      <c r="S38" s="330"/>
      <c r="T38" s="330"/>
      <c r="U38" s="330"/>
      <c r="V38" s="330"/>
      <c r="W38" s="330"/>
      <c r="X38" s="330"/>
      <c r="Y38" s="330"/>
      <c r="Z38" s="619"/>
      <c r="AA38" s="619"/>
      <c r="AB38" s="619"/>
      <c r="AC38" s="619"/>
      <c r="AD38" s="60"/>
    </row>
    <row r="39" spans="1:30" x14ac:dyDescent="0.25">
      <c r="A39" s="443"/>
      <c r="B39" s="443"/>
      <c r="C39" s="443"/>
      <c r="D39" s="330"/>
      <c r="E39" s="330"/>
      <c r="F39" s="330"/>
      <c r="G39" s="330"/>
      <c r="H39" s="330"/>
      <c r="I39" s="330"/>
      <c r="J39" s="330"/>
      <c r="K39" s="330"/>
      <c r="L39" s="330"/>
      <c r="M39" s="330"/>
      <c r="N39" s="330"/>
      <c r="O39" s="330"/>
      <c r="P39" s="330"/>
      <c r="Q39" s="330"/>
      <c r="R39" s="330"/>
      <c r="S39" s="330"/>
      <c r="T39" s="330"/>
      <c r="U39" s="330"/>
      <c r="V39" s="330"/>
      <c r="W39" s="330"/>
      <c r="X39" s="330"/>
      <c r="Y39" s="330"/>
      <c r="Z39" s="619"/>
      <c r="AA39" s="619"/>
      <c r="AB39" s="619"/>
      <c r="AC39" s="619"/>
      <c r="AD39" s="60"/>
    </row>
    <row r="40" spans="1:30" x14ac:dyDescent="0.25">
      <c r="A40" s="443"/>
      <c r="B40" s="443"/>
      <c r="C40" s="443"/>
      <c r="D40" s="330"/>
      <c r="E40" s="330"/>
      <c r="F40" s="330"/>
      <c r="G40" s="330"/>
      <c r="H40" s="330"/>
      <c r="I40" s="330"/>
      <c r="J40" s="330"/>
      <c r="K40" s="330"/>
      <c r="L40" s="330"/>
      <c r="M40" s="330"/>
      <c r="N40" s="330"/>
      <c r="O40" s="330"/>
      <c r="P40" s="330"/>
      <c r="Q40" s="330"/>
      <c r="R40" s="330"/>
      <c r="S40" s="330"/>
      <c r="T40" s="330"/>
      <c r="U40" s="330"/>
      <c r="V40" s="330"/>
      <c r="W40" s="330"/>
      <c r="X40" s="330"/>
      <c r="Y40" s="330"/>
      <c r="Z40" s="619"/>
      <c r="AA40" s="619"/>
      <c r="AB40" s="619"/>
      <c r="AC40" s="619"/>
      <c r="AD40" s="60"/>
    </row>
    <row r="41" spans="1:30" x14ac:dyDescent="0.25">
      <c r="A41" s="443"/>
      <c r="B41" s="443"/>
      <c r="C41" s="443"/>
      <c r="D41" s="330"/>
      <c r="E41" s="330"/>
      <c r="F41" s="330"/>
      <c r="G41" s="330"/>
      <c r="H41" s="330"/>
      <c r="I41" s="330"/>
      <c r="J41" s="330"/>
      <c r="K41" s="330"/>
      <c r="L41" s="330"/>
      <c r="M41" s="330"/>
      <c r="N41" s="330"/>
      <c r="O41" s="330"/>
      <c r="P41" s="330"/>
      <c r="Q41" s="330"/>
      <c r="R41" s="330"/>
      <c r="S41" s="330"/>
      <c r="T41" s="330"/>
      <c r="U41" s="330"/>
      <c r="V41" s="330"/>
      <c r="W41" s="330"/>
      <c r="X41" s="330"/>
      <c r="Y41" s="330"/>
      <c r="Z41" s="619"/>
      <c r="AA41" s="619"/>
      <c r="AB41" s="619"/>
      <c r="AC41" s="619"/>
      <c r="AD41" s="60"/>
    </row>
    <row r="42" spans="1:30" x14ac:dyDescent="0.25">
      <c r="A42" s="443"/>
      <c r="B42" s="443"/>
      <c r="C42" s="443"/>
      <c r="D42" s="330"/>
      <c r="E42" s="330"/>
      <c r="F42" s="330"/>
      <c r="G42" s="330"/>
      <c r="H42" s="330"/>
      <c r="I42" s="330"/>
      <c r="J42" s="330"/>
      <c r="K42" s="330"/>
      <c r="L42" s="330"/>
      <c r="M42" s="330"/>
      <c r="N42" s="330"/>
      <c r="O42" s="330"/>
      <c r="P42" s="330"/>
      <c r="Q42" s="330"/>
      <c r="R42" s="330"/>
      <c r="S42" s="330"/>
      <c r="T42" s="330"/>
      <c r="U42" s="330"/>
      <c r="V42" s="330"/>
      <c r="W42" s="330"/>
      <c r="X42" s="330"/>
      <c r="Y42" s="330"/>
      <c r="Z42" s="619"/>
      <c r="AA42" s="619"/>
      <c r="AB42" s="619"/>
      <c r="AC42" s="619"/>
      <c r="AD42" s="60"/>
    </row>
    <row r="43" spans="1:30" x14ac:dyDescent="0.25">
      <c r="A43" s="443"/>
      <c r="B43" s="443"/>
      <c r="C43" s="443"/>
      <c r="D43" s="330"/>
      <c r="E43" s="330"/>
      <c r="F43" s="330"/>
      <c r="G43" s="330"/>
      <c r="H43" s="330"/>
      <c r="I43" s="330"/>
      <c r="J43" s="330"/>
      <c r="K43" s="330"/>
      <c r="L43" s="330"/>
      <c r="M43" s="330"/>
      <c r="N43" s="330"/>
      <c r="O43" s="330"/>
      <c r="P43" s="330"/>
      <c r="Q43" s="330"/>
      <c r="R43" s="330"/>
      <c r="S43" s="330"/>
      <c r="T43" s="330"/>
      <c r="U43" s="330"/>
      <c r="V43" s="330"/>
      <c r="W43" s="330"/>
      <c r="X43" s="330"/>
      <c r="Y43" s="330"/>
      <c r="Z43" s="619"/>
      <c r="AA43" s="619"/>
      <c r="AB43" s="619"/>
      <c r="AC43" s="619"/>
      <c r="AD43" s="60"/>
    </row>
    <row r="44" spans="1:30" x14ac:dyDescent="0.25">
      <c r="A44" s="443"/>
      <c r="B44" s="443"/>
      <c r="C44" s="443"/>
      <c r="D44" s="330"/>
      <c r="E44" s="330"/>
      <c r="F44" s="330"/>
      <c r="G44" s="330"/>
      <c r="H44" s="330"/>
      <c r="I44" s="330"/>
      <c r="J44" s="330"/>
      <c r="K44" s="330"/>
      <c r="L44" s="330"/>
      <c r="M44" s="330"/>
      <c r="N44" s="330"/>
      <c r="O44" s="330"/>
      <c r="P44" s="330"/>
      <c r="Q44" s="330"/>
      <c r="R44" s="330"/>
      <c r="S44" s="330"/>
      <c r="T44" s="330"/>
      <c r="U44" s="330"/>
      <c r="V44" s="330"/>
      <c r="W44" s="330"/>
      <c r="X44" s="330"/>
      <c r="Y44" s="330"/>
      <c r="Z44" s="619"/>
      <c r="AA44" s="619"/>
      <c r="AB44" s="619"/>
      <c r="AC44" s="619"/>
      <c r="AD44" s="60"/>
    </row>
    <row r="45" spans="1:30" x14ac:dyDescent="0.25">
      <c r="A45" s="443"/>
      <c r="B45" s="443"/>
      <c r="C45" s="443"/>
      <c r="D45" s="330"/>
      <c r="E45" s="330"/>
      <c r="F45" s="330"/>
      <c r="G45" s="330"/>
      <c r="H45" s="330"/>
      <c r="I45" s="330"/>
      <c r="J45" s="330"/>
      <c r="K45" s="330"/>
      <c r="L45" s="330"/>
      <c r="M45" s="330"/>
      <c r="N45" s="330"/>
      <c r="O45" s="330"/>
      <c r="P45" s="330"/>
      <c r="Q45" s="330"/>
      <c r="R45" s="330"/>
      <c r="S45" s="330"/>
      <c r="T45" s="330"/>
      <c r="U45" s="330"/>
      <c r="V45" s="330"/>
      <c r="W45" s="330"/>
      <c r="X45" s="330"/>
      <c r="Y45" s="330"/>
      <c r="Z45" s="619"/>
      <c r="AA45" s="619"/>
      <c r="AB45" s="619"/>
      <c r="AC45" s="619"/>
      <c r="AD45" s="60"/>
    </row>
    <row r="46" spans="1:30" x14ac:dyDescent="0.25">
      <c r="A46" s="443"/>
      <c r="B46" s="443"/>
      <c r="C46" s="443"/>
      <c r="D46" s="330"/>
      <c r="E46" s="330"/>
      <c r="F46" s="330"/>
      <c r="G46" s="330"/>
      <c r="H46" s="330"/>
      <c r="I46" s="330"/>
      <c r="J46" s="330"/>
      <c r="K46" s="330"/>
      <c r="L46" s="330"/>
      <c r="M46" s="330"/>
      <c r="N46" s="330"/>
      <c r="O46" s="330"/>
      <c r="P46" s="330"/>
      <c r="Q46" s="330"/>
      <c r="R46" s="330"/>
      <c r="S46" s="330"/>
      <c r="T46" s="330"/>
      <c r="U46" s="330"/>
      <c r="V46" s="330"/>
      <c r="W46" s="330"/>
      <c r="X46" s="330"/>
      <c r="Y46" s="330"/>
      <c r="Z46" s="619"/>
      <c r="AA46" s="619"/>
      <c r="AB46" s="619"/>
      <c r="AC46" s="619"/>
      <c r="AD46" s="60"/>
    </row>
    <row r="47" spans="1:30" x14ac:dyDescent="0.25">
      <c r="A47" s="443"/>
      <c r="B47" s="443"/>
      <c r="C47" s="443"/>
      <c r="D47" s="330"/>
      <c r="E47" s="330"/>
      <c r="F47" s="330"/>
      <c r="G47" s="330"/>
      <c r="H47" s="330"/>
      <c r="I47" s="330"/>
      <c r="J47" s="330"/>
      <c r="K47" s="330"/>
      <c r="L47" s="330"/>
      <c r="M47" s="330"/>
      <c r="N47" s="330"/>
      <c r="O47" s="330"/>
      <c r="P47" s="330"/>
      <c r="Q47" s="330"/>
      <c r="R47" s="330"/>
      <c r="S47" s="330"/>
      <c r="T47" s="330"/>
      <c r="U47" s="330"/>
      <c r="V47" s="330"/>
      <c r="W47" s="330"/>
      <c r="X47" s="330"/>
      <c r="Y47" s="330"/>
      <c r="Z47" s="619"/>
      <c r="AA47" s="619"/>
      <c r="AB47" s="619"/>
      <c r="AC47" s="619"/>
      <c r="AD47" s="60"/>
    </row>
    <row r="48" spans="1:30" x14ac:dyDescent="0.25">
      <c r="A48" s="443"/>
      <c r="B48" s="443"/>
      <c r="C48" s="443"/>
      <c r="D48" s="330"/>
      <c r="E48" s="330"/>
      <c r="F48" s="330"/>
      <c r="G48" s="330"/>
      <c r="H48" s="330"/>
      <c r="I48" s="330"/>
      <c r="J48" s="330"/>
      <c r="K48" s="330"/>
      <c r="L48" s="330"/>
      <c r="M48" s="330"/>
      <c r="N48" s="330"/>
      <c r="O48" s="330"/>
      <c r="P48" s="330"/>
      <c r="Q48" s="330"/>
      <c r="R48" s="330"/>
      <c r="S48" s="330"/>
      <c r="T48" s="330"/>
      <c r="U48" s="330"/>
      <c r="V48" s="330"/>
      <c r="W48" s="330"/>
      <c r="X48" s="330"/>
      <c r="Y48" s="330"/>
      <c r="Z48" s="619"/>
      <c r="AA48" s="619"/>
      <c r="AB48" s="619"/>
      <c r="AC48" s="619"/>
      <c r="AD48" s="60"/>
    </row>
    <row r="49" spans="1:30" x14ac:dyDescent="0.25">
      <c r="A49" s="443"/>
      <c r="B49" s="443"/>
      <c r="C49" s="443"/>
      <c r="D49" s="330"/>
      <c r="E49" s="330"/>
      <c r="F49" s="330"/>
      <c r="G49" s="330"/>
      <c r="H49" s="330"/>
      <c r="I49" s="330"/>
      <c r="J49" s="330"/>
      <c r="K49" s="330"/>
      <c r="L49" s="330"/>
      <c r="M49" s="330"/>
      <c r="N49" s="330"/>
      <c r="O49" s="330"/>
      <c r="P49" s="330"/>
      <c r="Q49" s="330"/>
      <c r="R49" s="330"/>
      <c r="S49" s="330"/>
      <c r="T49" s="330"/>
      <c r="U49" s="330"/>
      <c r="V49" s="330"/>
      <c r="W49" s="330"/>
      <c r="X49" s="330"/>
      <c r="Y49" s="330"/>
      <c r="Z49" s="619"/>
      <c r="AA49" s="619"/>
      <c r="AB49" s="619"/>
      <c r="AC49" s="619"/>
      <c r="AD49" s="60"/>
    </row>
    <row r="50" spans="1:30" x14ac:dyDescent="0.25">
      <c r="A50" s="443"/>
      <c r="B50" s="443"/>
      <c r="C50" s="443"/>
      <c r="D50" s="330"/>
      <c r="E50" s="330"/>
      <c r="F50" s="330"/>
      <c r="G50" s="330"/>
      <c r="H50" s="330"/>
      <c r="I50" s="330"/>
      <c r="J50" s="330"/>
      <c r="K50" s="330"/>
      <c r="L50" s="330"/>
      <c r="M50" s="330"/>
      <c r="N50" s="330"/>
      <c r="O50" s="330"/>
      <c r="P50" s="330"/>
      <c r="Q50" s="330"/>
      <c r="R50" s="330"/>
      <c r="S50" s="330"/>
      <c r="T50" s="330"/>
      <c r="U50" s="330"/>
      <c r="V50" s="330"/>
      <c r="W50" s="330"/>
      <c r="X50" s="330"/>
      <c r="Y50" s="330"/>
      <c r="Z50" s="619"/>
      <c r="AA50" s="619"/>
      <c r="AB50" s="619"/>
      <c r="AC50" s="619"/>
      <c r="AD50" s="60"/>
    </row>
    <row r="51" spans="1:30" x14ac:dyDescent="0.25">
      <c r="A51" s="443"/>
      <c r="B51" s="443"/>
      <c r="C51" s="443"/>
      <c r="D51" s="330"/>
      <c r="E51" s="330"/>
      <c r="F51" s="330"/>
      <c r="G51" s="330"/>
      <c r="H51" s="330"/>
      <c r="I51" s="330"/>
      <c r="J51" s="330"/>
      <c r="K51" s="330"/>
      <c r="L51" s="330"/>
      <c r="M51" s="330"/>
      <c r="N51" s="330"/>
      <c r="O51" s="330"/>
      <c r="P51" s="330"/>
      <c r="Q51" s="330"/>
      <c r="R51" s="330"/>
      <c r="S51" s="330"/>
      <c r="T51" s="330"/>
      <c r="U51" s="330"/>
      <c r="V51" s="330"/>
      <c r="W51" s="330"/>
      <c r="X51" s="330"/>
      <c r="Y51" s="330"/>
      <c r="Z51" s="619"/>
      <c r="AA51" s="619"/>
      <c r="AB51" s="619"/>
      <c r="AC51" s="619"/>
      <c r="AD51" s="60"/>
    </row>
    <row r="52" spans="1:30" x14ac:dyDescent="0.25">
      <c r="A52" s="443"/>
      <c r="B52" s="443"/>
      <c r="C52" s="443"/>
      <c r="D52" s="330"/>
      <c r="E52" s="330"/>
      <c r="F52" s="330"/>
      <c r="G52" s="330"/>
      <c r="H52" s="330"/>
      <c r="I52" s="330"/>
      <c r="J52" s="330"/>
      <c r="K52" s="330"/>
      <c r="L52" s="330"/>
      <c r="M52" s="330"/>
      <c r="N52" s="330"/>
      <c r="O52" s="330"/>
      <c r="P52" s="330"/>
      <c r="Q52" s="330"/>
      <c r="R52" s="330"/>
      <c r="S52" s="330"/>
      <c r="T52" s="330"/>
      <c r="U52" s="330"/>
      <c r="V52" s="330"/>
      <c r="W52" s="330"/>
      <c r="X52" s="330"/>
      <c r="Y52" s="330"/>
      <c r="Z52" s="619"/>
      <c r="AA52" s="619"/>
      <c r="AB52" s="619"/>
      <c r="AC52" s="619"/>
      <c r="AD52" s="60"/>
    </row>
    <row r="53" spans="1:30" x14ac:dyDescent="0.25">
      <c r="A53" s="443"/>
      <c r="B53" s="443"/>
      <c r="C53" s="443"/>
      <c r="D53" s="330"/>
      <c r="E53" s="330"/>
      <c r="F53" s="330"/>
      <c r="G53" s="330"/>
      <c r="H53" s="330"/>
      <c r="I53" s="330"/>
      <c r="J53" s="330"/>
      <c r="K53" s="330"/>
      <c r="L53" s="330"/>
      <c r="M53" s="330"/>
      <c r="N53" s="330"/>
      <c r="O53" s="330"/>
      <c r="P53" s="330"/>
      <c r="Q53" s="330"/>
      <c r="R53" s="330"/>
      <c r="S53" s="330"/>
      <c r="T53" s="330"/>
      <c r="U53" s="330"/>
      <c r="V53" s="330"/>
      <c r="W53" s="330"/>
      <c r="X53" s="330"/>
      <c r="Y53" s="330"/>
      <c r="Z53" s="619"/>
      <c r="AA53" s="619"/>
      <c r="AB53" s="619"/>
      <c r="AC53" s="619"/>
      <c r="AD53" s="60"/>
    </row>
    <row r="54" spans="1:30" x14ac:dyDescent="0.25">
      <c r="A54" s="443"/>
      <c r="B54" s="443"/>
      <c r="C54" s="443"/>
      <c r="D54" s="330"/>
      <c r="E54" s="330"/>
      <c r="F54" s="330"/>
      <c r="G54" s="330"/>
      <c r="H54" s="330"/>
      <c r="I54" s="330"/>
      <c r="J54" s="330"/>
      <c r="K54" s="330"/>
      <c r="L54" s="330"/>
      <c r="M54" s="330"/>
      <c r="N54" s="330"/>
      <c r="O54" s="330"/>
      <c r="P54" s="330"/>
      <c r="Q54" s="330"/>
      <c r="R54" s="330"/>
      <c r="S54" s="330"/>
      <c r="T54" s="330"/>
      <c r="U54" s="330"/>
      <c r="V54" s="330"/>
      <c r="W54" s="330"/>
      <c r="X54" s="330"/>
      <c r="Y54" s="330"/>
      <c r="Z54" s="619"/>
      <c r="AA54" s="619"/>
      <c r="AB54" s="619"/>
      <c r="AC54" s="619"/>
      <c r="AD54" s="60"/>
    </row>
    <row r="55" spans="1:30" x14ac:dyDescent="0.25">
      <c r="A55" s="443"/>
      <c r="B55" s="443"/>
      <c r="C55" s="443"/>
      <c r="D55" s="330"/>
      <c r="E55" s="330"/>
      <c r="F55" s="330"/>
      <c r="G55" s="330"/>
      <c r="H55" s="330"/>
      <c r="I55" s="330"/>
      <c r="J55" s="330"/>
      <c r="K55" s="330"/>
      <c r="L55" s="330"/>
      <c r="M55" s="330"/>
      <c r="N55" s="330"/>
      <c r="O55" s="330"/>
      <c r="P55" s="330"/>
      <c r="Q55" s="330"/>
      <c r="R55" s="330"/>
      <c r="S55" s="330"/>
      <c r="T55" s="330"/>
      <c r="U55" s="330"/>
      <c r="V55" s="330"/>
      <c r="W55" s="330"/>
      <c r="X55" s="330"/>
      <c r="Y55" s="330"/>
      <c r="Z55" s="619"/>
      <c r="AA55" s="619"/>
      <c r="AB55" s="619"/>
      <c r="AC55" s="619"/>
      <c r="AD55" s="60"/>
    </row>
    <row r="56" spans="1:30" x14ac:dyDescent="0.25">
      <c r="A56" s="443"/>
      <c r="B56" s="443"/>
      <c r="C56" s="443"/>
      <c r="D56" s="330"/>
      <c r="E56" s="330"/>
      <c r="F56" s="330"/>
      <c r="G56" s="330"/>
      <c r="H56" s="330"/>
      <c r="I56" s="330"/>
      <c r="J56" s="330"/>
      <c r="K56" s="330"/>
      <c r="L56" s="330"/>
      <c r="M56" s="330"/>
      <c r="N56" s="330"/>
      <c r="O56" s="330"/>
      <c r="P56" s="330"/>
      <c r="Q56" s="330"/>
      <c r="R56" s="330"/>
      <c r="S56" s="330"/>
      <c r="T56" s="330"/>
      <c r="U56" s="330"/>
      <c r="V56" s="330"/>
      <c r="W56" s="330"/>
      <c r="X56" s="330"/>
      <c r="Y56" s="330"/>
      <c r="Z56" s="619"/>
      <c r="AA56" s="619"/>
      <c r="AB56" s="619"/>
      <c r="AC56" s="619"/>
      <c r="AD56" s="60"/>
    </row>
    <row r="57" spans="1:30" x14ac:dyDescent="0.25">
      <c r="A57" s="443"/>
      <c r="B57" s="443"/>
      <c r="C57" s="443"/>
      <c r="D57" s="330"/>
      <c r="E57" s="330"/>
      <c r="F57" s="330"/>
      <c r="G57" s="330"/>
      <c r="H57" s="330"/>
      <c r="I57" s="330"/>
      <c r="J57" s="330"/>
      <c r="K57" s="330"/>
      <c r="L57" s="330"/>
      <c r="M57" s="330"/>
      <c r="N57" s="330"/>
      <c r="O57" s="330"/>
      <c r="P57" s="330"/>
      <c r="Q57" s="330"/>
      <c r="R57" s="330"/>
      <c r="S57" s="330"/>
      <c r="T57" s="330"/>
      <c r="U57" s="330"/>
      <c r="V57" s="330"/>
      <c r="W57" s="330"/>
      <c r="X57" s="330"/>
      <c r="Y57" s="330"/>
      <c r="Z57" s="619"/>
      <c r="AA57" s="619"/>
      <c r="AB57" s="619"/>
      <c r="AC57" s="619"/>
      <c r="AD57" s="60"/>
    </row>
    <row r="58" spans="1:30" x14ac:dyDescent="0.25">
      <c r="A58" s="443"/>
      <c r="B58" s="443"/>
      <c r="C58" s="443"/>
      <c r="D58" s="330"/>
      <c r="E58" s="330"/>
      <c r="F58" s="330"/>
      <c r="G58" s="330"/>
      <c r="H58" s="330"/>
      <c r="I58" s="330"/>
      <c r="J58" s="330"/>
      <c r="K58" s="330"/>
      <c r="L58" s="330"/>
      <c r="M58" s="330"/>
      <c r="N58" s="330"/>
      <c r="O58" s="330"/>
      <c r="P58" s="330"/>
      <c r="Q58" s="330"/>
      <c r="R58" s="330"/>
      <c r="S58" s="330"/>
      <c r="T58" s="330"/>
      <c r="U58" s="330"/>
      <c r="V58" s="330"/>
      <c r="W58" s="330"/>
      <c r="X58" s="330"/>
      <c r="Y58" s="330"/>
      <c r="Z58" s="619"/>
      <c r="AA58" s="619"/>
      <c r="AB58" s="619"/>
      <c r="AC58" s="619"/>
      <c r="AD58" s="60"/>
    </row>
    <row r="59" spans="1:30" x14ac:dyDescent="0.25">
      <c r="A59" s="443"/>
      <c r="B59" s="443"/>
      <c r="C59" s="443"/>
      <c r="D59" s="330"/>
      <c r="E59" s="330"/>
      <c r="F59" s="330"/>
      <c r="G59" s="330"/>
      <c r="H59" s="330"/>
      <c r="I59" s="330"/>
      <c r="J59" s="330"/>
      <c r="K59" s="330"/>
      <c r="L59" s="330"/>
      <c r="M59" s="330"/>
      <c r="N59" s="330"/>
      <c r="O59" s="330"/>
      <c r="P59" s="330"/>
      <c r="Q59" s="330"/>
      <c r="R59" s="330"/>
      <c r="S59" s="330"/>
      <c r="T59" s="330"/>
      <c r="U59" s="330"/>
      <c r="V59" s="330"/>
      <c r="W59" s="330"/>
      <c r="X59" s="330"/>
      <c r="Y59" s="330"/>
      <c r="Z59" s="619"/>
      <c r="AA59" s="619"/>
      <c r="AB59" s="619"/>
      <c r="AC59" s="619"/>
      <c r="AD59" s="60"/>
    </row>
    <row r="60" spans="1:30" x14ac:dyDescent="0.25">
      <c r="A60" s="443"/>
      <c r="B60" s="443"/>
      <c r="C60" s="443"/>
      <c r="D60" s="330"/>
      <c r="E60" s="330"/>
      <c r="F60" s="330"/>
      <c r="G60" s="330"/>
      <c r="H60" s="330"/>
      <c r="I60" s="330"/>
      <c r="J60" s="330"/>
      <c r="K60" s="330"/>
      <c r="L60" s="330"/>
      <c r="M60" s="330"/>
      <c r="N60" s="330"/>
      <c r="O60" s="330"/>
      <c r="P60" s="330"/>
      <c r="Q60" s="330"/>
      <c r="R60" s="330"/>
      <c r="S60" s="330"/>
      <c r="T60" s="330"/>
      <c r="U60" s="330"/>
      <c r="V60" s="330"/>
      <c r="W60" s="330"/>
      <c r="X60" s="330"/>
      <c r="Y60" s="330"/>
      <c r="Z60" s="619"/>
      <c r="AA60" s="619"/>
      <c r="AB60" s="619"/>
      <c r="AC60" s="619"/>
      <c r="AD60" s="60"/>
    </row>
    <row r="61" spans="1:30" x14ac:dyDescent="0.25">
      <c r="A61" s="443"/>
      <c r="B61" s="443"/>
      <c r="C61" s="443"/>
      <c r="D61" s="330"/>
      <c r="E61" s="330"/>
      <c r="F61" s="330"/>
      <c r="G61" s="330"/>
      <c r="H61" s="330"/>
      <c r="I61" s="330"/>
      <c r="J61" s="330"/>
      <c r="K61" s="330"/>
      <c r="L61" s="330"/>
      <c r="M61" s="330"/>
      <c r="N61" s="330"/>
      <c r="O61" s="330"/>
      <c r="P61" s="330"/>
      <c r="Q61" s="330"/>
      <c r="R61" s="330"/>
      <c r="S61" s="330"/>
      <c r="T61" s="330"/>
      <c r="U61" s="330"/>
      <c r="V61" s="330"/>
      <c r="W61" s="330"/>
      <c r="X61" s="330"/>
      <c r="Y61" s="330"/>
      <c r="Z61" s="619"/>
      <c r="AA61" s="619"/>
      <c r="AB61" s="619"/>
      <c r="AC61" s="619"/>
      <c r="AD61" s="60"/>
    </row>
    <row r="62" spans="1:30" x14ac:dyDescent="0.25">
      <c r="A62" s="443"/>
      <c r="B62" s="443"/>
      <c r="C62" s="443"/>
      <c r="D62" s="330"/>
      <c r="E62" s="330"/>
      <c r="F62" s="330"/>
      <c r="G62" s="330"/>
      <c r="H62" s="330"/>
      <c r="I62" s="330"/>
      <c r="J62" s="330"/>
      <c r="K62" s="330"/>
      <c r="L62" s="330"/>
      <c r="M62" s="330"/>
      <c r="N62" s="330"/>
      <c r="O62" s="330"/>
      <c r="P62" s="330"/>
      <c r="Q62" s="330"/>
      <c r="R62" s="330"/>
      <c r="S62" s="330"/>
      <c r="T62" s="330"/>
      <c r="U62" s="330"/>
      <c r="V62" s="330"/>
      <c r="W62" s="330"/>
      <c r="X62" s="330"/>
      <c r="Y62" s="330"/>
      <c r="Z62" s="619"/>
      <c r="AA62" s="619"/>
      <c r="AB62" s="619"/>
      <c r="AC62" s="619"/>
      <c r="AD62" s="60"/>
    </row>
    <row r="63" spans="1:30" x14ac:dyDescent="0.25">
      <c r="A63" s="443"/>
      <c r="B63" s="443"/>
      <c r="C63" s="443"/>
      <c r="D63" s="330"/>
      <c r="E63" s="330"/>
      <c r="F63" s="330"/>
      <c r="G63" s="330"/>
      <c r="H63" s="330"/>
      <c r="I63" s="330"/>
      <c r="J63" s="330"/>
      <c r="K63" s="330"/>
      <c r="L63" s="330"/>
      <c r="M63" s="330"/>
      <c r="N63" s="330"/>
      <c r="O63" s="330"/>
      <c r="P63" s="330"/>
      <c r="Q63" s="330"/>
      <c r="R63" s="330"/>
      <c r="S63" s="330"/>
      <c r="T63" s="330"/>
      <c r="U63" s="330"/>
      <c r="V63" s="330"/>
      <c r="W63" s="330"/>
      <c r="X63" s="330"/>
      <c r="Y63" s="330"/>
      <c r="Z63" s="619"/>
      <c r="AA63" s="619"/>
      <c r="AB63" s="619"/>
      <c r="AC63" s="619"/>
      <c r="AD63" s="60"/>
    </row>
    <row r="64" spans="1:30" x14ac:dyDescent="0.25">
      <c r="A64" s="443"/>
      <c r="B64" s="443"/>
      <c r="C64" s="443"/>
      <c r="D64" s="330"/>
      <c r="E64" s="330"/>
      <c r="F64" s="330"/>
      <c r="G64" s="330"/>
      <c r="H64" s="330"/>
      <c r="I64" s="330"/>
      <c r="J64" s="330"/>
      <c r="K64" s="330"/>
      <c r="L64" s="330"/>
      <c r="M64" s="330"/>
      <c r="N64" s="330"/>
      <c r="O64" s="330"/>
      <c r="P64" s="330"/>
      <c r="Q64" s="330"/>
      <c r="R64" s="330"/>
      <c r="S64" s="330"/>
      <c r="T64" s="330"/>
      <c r="U64" s="330"/>
      <c r="V64" s="330"/>
      <c r="W64" s="330"/>
      <c r="X64" s="330"/>
      <c r="Y64" s="330"/>
      <c r="Z64" s="619"/>
      <c r="AA64" s="619"/>
      <c r="AB64" s="619"/>
      <c r="AC64" s="619"/>
      <c r="AD64" s="60"/>
    </row>
    <row r="65" spans="1:30" x14ac:dyDescent="0.25">
      <c r="A65" s="443"/>
      <c r="B65" s="443"/>
      <c r="C65" s="443"/>
      <c r="D65" s="330"/>
      <c r="E65" s="330"/>
      <c r="F65" s="330"/>
      <c r="G65" s="330"/>
      <c r="H65" s="330"/>
      <c r="I65" s="330"/>
      <c r="J65" s="330"/>
      <c r="K65" s="330"/>
      <c r="L65" s="330"/>
      <c r="M65" s="330"/>
      <c r="N65" s="330"/>
      <c r="O65" s="330"/>
      <c r="P65" s="330"/>
      <c r="Q65" s="330"/>
      <c r="R65" s="330"/>
      <c r="S65" s="330"/>
      <c r="T65" s="330"/>
      <c r="U65" s="330"/>
      <c r="V65" s="330"/>
      <c r="W65" s="330"/>
      <c r="X65" s="330"/>
      <c r="Y65" s="330"/>
      <c r="Z65" s="619"/>
      <c r="AA65" s="619"/>
      <c r="AB65" s="619"/>
      <c r="AC65" s="619"/>
      <c r="AD65" s="60"/>
    </row>
    <row r="66" spans="1:30" x14ac:dyDescent="0.25">
      <c r="A66" s="443"/>
      <c r="B66" s="443"/>
      <c r="C66" s="443"/>
      <c r="D66" s="330"/>
      <c r="E66" s="330"/>
      <c r="F66" s="330"/>
      <c r="G66" s="330"/>
      <c r="H66" s="330"/>
      <c r="I66" s="330"/>
      <c r="J66" s="330"/>
      <c r="K66" s="330"/>
      <c r="L66" s="330"/>
      <c r="M66" s="330"/>
      <c r="N66" s="330"/>
      <c r="O66" s="330"/>
      <c r="P66" s="330"/>
      <c r="Q66" s="330"/>
      <c r="R66" s="330"/>
      <c r="S66" s="330"/>
      <c r="T66" s="330"/>
      <c r="U66" s="330"/>
      <c r="V66" s="330"/>
      <c r="W66" s="330"/>
      <c r="X66" s="330"/>
      <c r="Y66" s="330"/>
      <c r="Z66" s="619"/>
      <c r="AA66" s="619"/>
      <c r="AB66" s="619"/>
      <c r="AC66" s="619"/>
      <c r="AD66" s="60"/>
    </row>
    <row r="67" spans="1:30" x14ac:dyDescent="0.25">
      <c r="A67" s="443"/>
      <c r="B67" s="443"/>
      <c r="C67" s="443"/>
      <c r="D67" s="330"/>
      <c r="E67" s="330"/>
      <c r="F67" s="330"/>
      <c r="G67" s="330"/>
      <c r="H67" s="330"/>
      <c r="I67" s="330"/>
      <c r="J67" s="330"/>
      <c r="K67" s="330"/>
      <c r="L67" s="330"/>
      <c r="M67" s="330"/>
      <c r="N67" s="330"/>
      <c r="O67" s="330"/>
      <c r="P67" s="330"/>
      <c r="Q67" s="330"/>
      <c r="R67" s="330"/>
      <c r="S67" s="330"/>
      <c r="T67" s="330"/>
      <c r="U67" s="330"/>
      <c r="V67" s="330"/>
      <c r="W67" s="330"/>
      <c r="X67" s="330"/>
      <c r="Y67" s="330"/>
      <c r="Z67" s="619"/>
      <c r="AA67" s="619"/>
      <c r="AB67" s="619"/>
      <c r="AC67" s="619"/>
      <c r="AD67" s="60"/>
    </row>
    <row r="68" spans="1:30" x14ac:dyDescent="0.25">
      <c r="A68" s="443"/>
      <c r="B68" s="443"/>
      <c r="C68" s="443"/>
      <c r="D68" s="330"/>
      <c r="E68" s="330"/>
      <c r="F68" s="330"/>
      <c r="G68" s="330"/>
      <c r="H68" s="330"/>
      <c r="I68" s="330"/>
      <c r="J68" s="330"/>
      <c r="K68" s="330"/>
      <c r="L68" s="330"/>
      <c r="M68" s="330"/>
      <c r="N68" s="330"/>
      <c r="O68" s="330"/>
      <c r="P68" s="330"/>
      <c r="Q68" s="330"/>
      <c r="R68" s="330"/>
      <c r="S68" s="330"/>
      <c r="T68" s="330"/>
      <c r="U68" s="330"/>
      <c r="V68" s="330"/>
      <c r="W68" s="330"/>
      <c r="X68" s="330"/>
      <c r="Y68" s="330"/>
      <c r="Z68" s="619"/>
      <c r="AA68" s="619"/>
      <c r="AB68" s="619"/>
      <c r="AC68" s="619"/>
      <c r="AD68" s="60"/>
    </row>
    <row r="69" spans="1:30" x14ac:dyDescent="0.25">
      <c r="A69" s="443"/>
      <c r="B69" s="443"/>
      <c r="C69" s="443"/>
      <c r="D69" s="330"/>
      <c r="E69" s="330"/>
      <c r="F69" s="330"/>
      <c r="G69" s="330"/>
      <c r="H69" s="330"/>
      <c r="I69" s="330"/>
      <c r="J69" s="330"/>
      <c r="K69" s="330"/>
      <c r="L69" s="330"/>
      <c r="M69" s="330"/>
      <c r="N69" s="330"/>
      <c r="O69" s="330"/>
      <c r="P69" s="330"/>
      <c r="Q69" s="330"/>
      <c r="R69" s="330"/>
      <c r="S69" s="330"/>
      <c r="T69" s="330"/>
      <c r="U69" s="330"/>
      <c r="V69" s="330"/>
      <c r="W69" s="330"/>
      <c r="X69" s="330"/>
      <c r="Y69" s="330"/>
      <c r="Z69" s="619"/>
      <c r="AA69" s="619"/>
      <c r="AB69" s="619"/>
      <c r="AC69" s="619"/>
      <c r="AD69" s="60"/>
    </row>
    <row r="70" spans="1:30" x14ac:dyDescent="0.25">
      <c r="A70" s="443"/>
      <c r="B70" s="443"/>
      <c r="C70" s="443"/>
      <c r="D70" s="330"/>
      <c r="E70" s="330"/>
      <c r="F70" s="330"/>
      <c r="G70" s="330"/>
      <c r="H70" s="330"/>
      <c r="I70" s="330"/>
      <c r="J70" s="330"/>
      <c r="K70" s="330"/>
      <c r="L70" s="330"/>
      <c r="M70" s="330"/>
      <c r="N70" s="330"/>
      <c r="O70" s="330"/>
      <c r="P70" s="330"/>
      <c r="Q70" s="330"/>
      <c r="R70" s="330"/>
      <c r="S70" s="330"/>
      <c r="T70" s="330"/>
      <c r="U70" s="330"/>
      <c r="V70" s="330"/>
      <c r="W70" s="330"/>
      <c r="X70" s="330"/>
      <c r="Y70" s="330"/>
      <c r="Z70" s="619"/>
      <c r="AA70" s="619"/>
      <c r="AB70" s="619"/>
      <c r="AC70" s="619"/>
      <c r="AD70" s="60"/>
    </row>
    <row r="71" spans="1:30" x14ac:dyDescent="0.25">
      <c r="A71" s="443"/>
      <c r="B71" s="443"/>
      <c r="C71" s="443"/>
      <c r="D71" s="330"/>
      <c r="E71" s="330"/>
      <c r="F71" s="330"/>
      <c r="G71" s="330"/>
      <c r="H71" s="330"/>
      <c r="I71" s="330"/>
      <c r="J71" s="330"/>
      <c r="K71" s="330"/>
      <c r="L71" s="330"/>
      <c r="M71" s="330"/>
      <c r="N71" s="330"/>
      <c r="O71" s="330"/>
      <c r="P71" s="330"/>
      <c r="Q71" s="330"/>
      <c r="R71" s="330"/>
      <c r="S71" s="330"/>
      <c r="T71" s="330"/>
      <c r="U71" s="330"/>
      <c r="V71" s="330"/>
      <c r="W71" s="330"/>
      <c r="X71" s="330"/>
      <c r="Y71" s="330"/>
      <c r="Z71" s="619"/>
      <c r="AA71" s="619"/>
      <c r="AB71" s="619"/>
      <c r="AC71" s="619"/>
      <c r="AD71" s="60"/>
    </row>
    <row r="72" spans="1:30" x14ac:dyDescent="0.25">
      <c r="A72" s="443"/>
      <c r="B72" s="443"/>
      <c r="C72" s="443"/>
      <c r="D72" s="330"/>
      <c r="E72" s="330"/>
      <c r="F72" s="330"/>
      <c r="G72" s="330"/>
      <c r="H72" s="330"/>
      <c r="I72" s="330"/>
      <c r="J72" s="330"/>
      <c r="K72" s="330"/>
      <c r="L72" s="330"/>
      <c r="M72" s="330"/>
      <c r="N72" s="330"/>
      <c r="O72" s="330"/>
      <c r="P72" s="330"/>
      <c r="Q72" s="330"/>
      <c r="R72" s="330"/>
      <c r="S72" s="330"/>
      <c r="T72" s="330"/>
      <c r="U72" s="330"/>
      <c r="V72" s="330"/>
      <c r="W72" s="330"/>
      <c r="X72" s="330"/>
      <c r="Y72" s="330"/>
      <c r="Z72" s="619"/>
      <c r="AA72" s="619"/>
      <c r="AB72" s="619"/>
      <c r="AC72" s="619"/>
      <c r="AD72" s="60"/>
    </row>
    <row r="73" spans="1:30" x14ac:dyDescent="0.25">
      <c r="A73" s="443"/>
      <c r="B73" s="443"/>
      <c r="C73" s="443"/>
      <c r="D73" s="330"/>
      <c r="E73" s="330"/>
      <c r="F73" s="330"/>
      <c r="G73" s="330"/>
      <c r="H73" s="330"/>
      <c r="I73" s="330"/>
      <c r="J73" s="330"/>
      <c r="K73" s="330"/>
      <c r="L73" s="330"/>
      <c r="M73" s="330"/>
      <c r="N73" s="330"/>
      <c r="O73" s="330"/>
      <c r="P73" s="330"/>
      <c r="Q73" s="330"/>
      <c r="R73" s="330"/>
      <c r="S73" s="330"/>
      <c r="T73" s="330"/>
      <c r="U73" s="330"/>
      <c r="V73" s="330"/>
      <c r="W73" s="330"/>
      <c r="X73" s="330"/>
      <c r="Y73" s="330"/>
      <c r="Z73" s="619"/>
      <c r="AA73" s="619"/>
      <c r="AB73" s="619"/>
      <c r="AC73" s="619"/>
      <c r="AD73" s="60"/>
    </row>
    <row r="74" spans="1:30" x14ac:dyDescent="0.25">
      <c r="A74" s="443"/>
      <c r="B74" s="443"/>
      <c r="C74" s="443"/>
      <c r="D74" s="330"/>
      <c r="E74" s="330"/>
      <c r="F74" s="330"/>
      <c r="G74" s="330"/>
      <c r="H74" s="330"/>
      <c r="I74" s="330"/>
      <c r="J74" s="330"/>
      <c r="K74" s="330"/>
      <c r="L74" s="330"/>
      <c r="M74" s="330"/>
      <c r="N74" s="330"/>
      <c r="O74" s="330"/>
      <c r="P74" s="330"/>
      <c r="Q74" s="330"/>
      <c r="R74" s="330"/>
      <c r="S74" s="330"/>
      <c r="T74" s="330"/>
      <c r="U74" s="330"/>
      <c r="V74" s="330"/>
      <c r="W74" s="330"/>
      <c r="X74" s="330"/>
      <c r="Y74" s="330"/>
      <c r="Z74" s="619"/>
      <c r="AA74" s="619"/>
      <c r="AB74" s="619"/>
      <c r="AC74" s="619"/>
      <c r="AD74" s="60"/>
    </row>
    <row r="75" spans="1:30" x14ac:dyDescent="0.25">
      <c r="A75" s="443"/>
      <c r="B75" s="443"/>
      <c r="C75" s="443"/>
      <c r="D75" s="330"/>
      <c r="E75" s="330"/>
      <c r="F75" s="330"/>
      <c r="G75" s="330"/>
      <c r="H75" s="330"/>
      <c r="I75" s="330"/>
      <c r="J75" s="330"/>
      <c r="K75" s="330"/>
      <c r="L75" s="330"/>
      <c r="M75" s="330"/>
      <c r="N75" s="330"/>
      <c r="O75" s="330"/>
      <c r="P75" s="330"/>
      <c r="Q75" s="330"/>
      <c r="R75" s="330"/>
      <c r="S75" s="330"/>
      <c r="T75" s="330"/>
      <c r="U75" s="330"/>
      <c r="V75" s="330"/>
      <c r="W75" s="330"/>
      <c r="X75" s="330"/>
      <c r="Y75" s="330"/>
      <c r="Z75" s="619"/>
      <c r="AA75" s="619"/>
      <c r="AB75" s="619"/>
      <c r="AC75" s="619"/>
      <c r="AD75" s="60"/>
    </row>
    <row r="76" spans="1:30" x14ac:dyDescent="0.25">
      <c r="A76" s="443"/>
      <c r="B76" s="443"/>
      <c r="C76" s="443"/>
      <c r="D76" s="330"/>
      <c r="E76" s="330"/>
      <c r="F76" s="330"/>
      <c r="G76" s="330"/>
      <c r="H76" s="330"/>
      <c r="I76" s="330"/>
      <c r="J76" s="330"/>
      <c r="K76" s="330"/>
      <c r="L76" s="330"/>
      <c r="M76" s="330"/>
      <c r="N76" s="330"/>
      <c r="O76" s="330"/>
      <c r="P76" s="330"/>
      <c r="Q76" s="330"/>
      <c r="R76" s="330"/>
      <c r="S76" s="330"/>
      <c r="T76" s="330"/>
      <c r="U76" s="330"/>
      <c r="V76" s="330"/>
      <c r="W76" s="330"/>
      <c r="X76" s="330"/>
      <c r="Y76" s="330"/>
      <c r="Z76" s="619"/>
      <c r="AA76" s="619"/>
      <c r="AB76" s="619"/>
      <c r="AC76" s="619"/>
      <c r="AD76" s="60"/>
    </row>
    <row r="77" spans="1:30" x14ac:dyDescent="0.25">
      <c r="A77" s="443"/>
      <c r="B77" s="443"/>
      <c r="C77" s="443"/>
      <c r="D77" s="330"/>
      <c r="E77" s="330"/>
      <c r="F77" s="330"/>
      <c r="G77" s="330"/>
      <c r="H77" s="330"/>
      <c r="I77" s="330"/>
      <c r="J77" s="330"/>
      <c r="K77" s="330"/>
      <c r="L77" s="330"/>
      <c r="M77" s="330"/>
      <c r="N77" s="330"/>
      <c r="O77" s="330"/>
      <c r="P77" s="330"/>
      <c r="Q77" s="330"/>
      <c r="R77" s="330"/>
      <c r="S77" s="330"/>
      <c r="T77" s="330"/>
      <c r="U77" s="330"/>
      <c r="V77" s="330"/>
      <c r="W77" s="330"/>
      <c r="X77" s="330"/>
      <c r="Y77" s="330"/>
      <c r="Z77" s="619"/>
      <c r="AA77" s="619"/>
      <c r="AB77" s="619"/>
      <c r="AC77" s="619"/>
      <c r="AD77" s="60"/>
    </row>
    <row r="78" spans="1:30" x14ac:dyDescent="0.25">
      <c r="A78" s="443"/>
      <c r="B78" s="443"/>
      <c r="C78" s="443"/>
      <c r="D78" s="330"/>
      <c r="E78" s="330"/>
      <c r="F78" s="330"/>
      <c r="G78" s="330"/>
      <c r="H78" s="330"/>
      <c r="I78" s="330"/>
      <c r="J78" s="330"/>
      <c r="K78" s="330"/>
      <c r="L78" s="330"/>
      <c r="M78" s="330"/>
      <c r="N78" s="330"/>
      <c r="O78" s="330"/>
      <c r="P78" s="330"/>
      <c r="Q78" s="330"/>
      <c r="R78" s="330"/>
      <c r="S78" s="330"/>
      <c r="T78" s="330"/>
      <c r="U78" s="330"/>
      <c r="V78" s="330"/>
      <c r="W78" s="330"/>
      <c r="X78" s="330"/>
      <c r="Y78" s="330"/>
      <c r="Z78" s="619"/>
      <c r="AA78" s="619"/>
      <c r="AB78" s="619"/>
      <c r="AC78" s="619"/>
      <c r="AD78" s="60"/>
    </row>
    <row r="79" spans="1:30" x14ac:dyDescent="0.25">
      <c r="A79" s="443"/>
      <c r="B79" s="443"/>
      <c r="C79" s="443"/>
      <c r="D79" s="330"/>
      <c r="E79" s="330"/>
      <c r="F79" s="330"/>
      <c r="G79" s="330"/>
      <c r="H79" s="330"/>
      <c r="I79" s="330"/>
      <c r="J79" s="330"/>
      <c r="K79" s="330"/>
      <c r="L79" s="330"/>
      <c r="M79" s="330"/>
      <c r="N79" s="330"/>
      <c r="O79" s="330"/>
      <c r="P79" s="330"/>
      <c r="Q79" s="330"/>
      <c r="R79" s="330"/>
      <c r="S79" s="330"/>
      <c r="T79" s="330"/>
      <c r="U79" s="330"/>
      <c r="V79" s="330"/>
      <c r="W79" s="330"/>
      <c r="X79" s="330"/>
      <c r="Y79" s="330"/>
      <c r="Z79" s="619"/>
      <c r="AA79" s="619"/>
      <c r="AB79" s="619"/>
      <c r="AC79" s="619"/>
      <c r="AD79" s="60"/>
    </row>
    <row r="80" spans="1:30" x14ac:dyDescent="0.25">
      <c r="A80" s="443"/>
      <c r="B80" s="443"/>
      <c r="C80" s="443"/>
      <c r="D80" s="330"/>
      <c r="E80" s="330"/>
      <c r="F80" s="330"/>
      <c r="G80" s="330"/>
      <c r="H80" s="330"/>
      <c r="I80" s="330"/>
      <c r="J80" s="330"/>
      <c r="K80" s="330"/>
      <c r="L80" s="330"/>
      <c r="M80" s="330"/>
      <c r="N80" s="330"/>
      <c r="O80" s="330"/>
      <c r="P80" s="330"/>
      <c r="Q80" s="330"/>
      <c r="R80" s="330"/>
      <c r="S80" s="330"/>
      <c r="T80" s="330"/>
      <c r="U80" s="330"/>
      <c r="V80" s="330"/>
      <c r="W80" s="330"/>
      <c r="X80" s="330"/>
      <c r="Y80" s="330"/>
      <c r="Z80" s="619"/>
      <c r="AA80" s="619"/>
      <c r="AB80" s="619"/>
      <c r="AC80" s="619"/>
      <c r="AD80" s="60"/>
    </row>
    <row r="81" spans="1:30" x14ac:dyDescent="0.25">
      <c r="A81" s="443"/>
      <c r="B81" s="443"/>
      <c r="C81" s="443"/>
      <c r="D81" s="330"/>
      <c r="E81" s="330"/>
      <c r="F81" s="330"/>
      <c r="G81" s="330"/>
      <c r="H81" s="330"/>
      <c r="I81" s="330"/>
      <c r="J81" s="330"/>
      <c r="K81" s="330"/>
      <c r="L81" s="330"/>
      <c r="M81" s="330"/>
      <c r="N81" s="330"/>
      <c r="O81" s="330"/>
      <c r="P81" s="330"/>
      <c r="Q81" s="330"/>
      <c r="R81" s="330"/>
      <c r="S81" s="330"/>
      <c r="T81" s="330"/>
      <c r="U81" s="330"/>
      <c r="V81" s="330"/>
      <c r="W81" s="330"/>
      <c r="X81" s="330"/>
      <c r="Y81" s="330"/>
      <c r="Z81" s="619"/>
      <c r="AA81" s="619"/>
      <c r="AB81" s="619"/>
      <c r="AC81" s="619"/>
      <c r="AD81" s="60"/>
    </row>
    <row r="82" spans="1:30" x14ac:dyDescent="0.25">
      <c r="A82" s="443"/>
      <c r="B82" s="443"/>
      <c r="C82" s="443"/>
      <c r="D82" s="330"/>
      <c r="E82" s="330"/>
      <c r="F82" s="330"/>
      <c r="G82" s="330"/>
      <c r="H82" s="330"/>
      <c r="I82" s="330"/>
      <c r="J82" s="330"/>
      <c r="K82" s="330"/>
      <c r="L82" s="330"/>
      <c r="M82" s="330"/>
      <c r="N82" s="330"/>
      <c r="O82" s="330"/>
      <c r="P82" s="330"/>
      <c r="Q82" s="330"/>
      <c r="R82" s="330"/>
      <c r="S82" s="330"/>
      <c r="T82" s="330"/>
      <c r="U82" s="330"/>
      <c r="V82" s="330"/>
      <c r="W82" s="330"/>
      <c r="X82" s="330"/>
      <c r="Y82" s="330"/>
      <c r="Z82" s="619"/>
      <c r="AA82" s="619"/>
      <c r="AB82" s="619"/>
      <c r="AC82" s="619"/>
      <c r="AD82" s="60"/>
    </row>
    <row r="83" spans="1:30" x14ac:dyDescent="0.25">
      <c r="A83" s="443"/>
      <c r="B83" s="443"/>
      <c r="C83" s="443"/>
      <c r="D83" s="330"/>
      <c r="E83" s="330"/>
      <c r="F83" s="330"/>
      <c r="G83" s="330"/>
      <c r="H83" s="330"/>
      <c r="I83" s="330"/>
      <c r="J83" s="330"/>
      <c r="K83" s="330"/>
      <c r="L83" s="330"/>
      <c r="M83" s="330"/>
      <c r="N83" s="330"/>
      <c r="O83" s="330"/>
      <c r="P83" s="330"/>
      <c r="Q83" s="330"/>
      <c r="R83" s="330"/>
      <c r="S83" s="330"/>
      <c r="T83" s="330"/>
      <c r="U83" s="330"/>
      <c r="V83" s="330"/>
      <c r="W83" s="330"/>
      <c r="X83" s="330"/>
      <c r="Y83" s="330"/>
      <c r="Z83" s="619"/>
      <c r="AA83" s="619"/>
      <c r="AB83" s="619"/>
      <c r="AC83" s="619"/>
      <c r="AD83" s="60"/>
    </row>
    <row r="84" spans="1:30" x14ac:dyDescent="0.25">
      <c r="A84" s="443"/>
      <c r="B84" s="443"/>
      <c r="C84" s="443"/>
      <c r="D84" s="330"/>
      <c r="E84" s="330"/>
      <c r="F84" s="330"/>
      <c r="G84" s="330"/>
      <c r="H84" s="330"/>
      <c r="I84" s="330"/>
      <c r="J84" s="330"/>
      <c r="K84" s="330"/>
      <c r="L84" s="330"/>
      <c r="M84" s="330"/>
      <c r="N84" s="330"/>
      <c r="O84" s="330"/>
      <c r="P84" s="330"/>
      <c r="Q84" s="330"/>
      <c r="R84" s="330"/>
      <c r="S84" s="330"/>
      <c r="T84" s="330"/>
      <c r="U84" s="330"/>
      <c r="V84" s="330"/>
      <c r="W84" s="330"/>
      <c r="X84" s="330"/>
      <c r="Y84" s="330"/>
      <c r="Z84" s="619"/>
      <c r="AA84" s="619"/>
      <c r="AB84" s="619"/>
      <c r="AC84" s="619"/>
      <c r="AD84" s="60"/>
    </row>
    <row r="85" spans="1:30" x14ac:dyDescent="0.25">
      <c r="A85" s="443"/>
      <c r="B85" s="443"/>
      <c r="C85" s="443"/>
      <c r="D85" s="330"/>
      <c r="E85" s="330"/>
      <c r="F85" s="330"/>
      <c r="G85" s="330"/>
      <c r="H85" s="330"/>
      <c r="I85" s="330"/>
      <c r="J85" s="330"/>
      <c r="K85" s="330"/>
      <c r="L85" s="330"/>
      <c r="M85" s="330"/>
      <c r="N85" s="330"/>
      <c r="O85" s="330"/>
      <c r="P85" s="330"/>
      <c r="Q85" s="330"/>
      <c r="R85" s="330"/>
      <c r="S85" s="330"/>
      <c r="T85" s="330"/>
      <c r="U85" s="330"/>
      <c r="V85" s="330"/>
      <c r="W85" s="330"/>
      <c r="X85" s="330"/>
      <c r="Y85" s="330"/>
      <c r="Z85" s="619"/>
      <c r="AA85" s="619"/>
      <c r="AB85" s="619"/>
      <c r="AC85" s="619"/>
      <c r="AD85" s="60"/>
    </row>
    <row r="86" spans="1:30" x14ac:dyDescent="0.25">
      <c r="A86" s="443"/>
      <c r="B86" s="443"/>
      <c r="C86" s="443"/>
      <c r="D86" s="330"/>
      <c r="E86" s="330"/>
      <c r="F86" s="330"/>
      <c r="G86" s="330"/>
      <c r="H86" s="330"/>
      <c r="I86" s="330"/>
      <c r="J86" s="330"/>
      <c r="K86" s="330"/>
      <c r="L86" s="330"/>
      <c r="M86" s="330"/>
      <c r="N86" s="330"/>
      <c r="O86" s="330"/>
      <c r="P86" s="330"/>
      <c r="Q86" s="330"/>
      <c r="R86" s="330"/>
      <c r="S86" s="330"/>
      <c r="T86" s="330"/>
      <c r="U86" s="330"/>
      <c r="V86" s="330"/>
      <c r="W86" s="330"/>
      <c r="X86" s="330"/>
      <c r="Y86" s="330"/>
      <c r="Z86" s="619"/>
      <c r="AA86" s="619"/>
      <c r="AB86" s="619"/>
      <c r="AC86" s="619"/>
      <c r="AD86" s="60"/>
    </row>
    <row r="87" spans="1:30" x14ac:dyDescent="0.25">
      <c r="A87" s="443"/>
      <c r="B87" s="443"/>
      <c r="C87" s="443"/>
      <c r="D87" s="330"/>
      <c r="E87" s="330"/>
      <c r="F87" s="330"/>
      <c r="G87" s="330"/>
      <c r="H87" s="330"/>
      <c r="I87" s="330"/>
      <c r="J87" s="330"/>
      <c r="K87" s="330"/>
      <c r="L87" s="330"/>
      <c r="M87" s="330"/>
      <c r="N87" s="330"/>
      <c r="O87" s="330"/>
      <c r="P87" s="330"/>
      <c r="Q87" s="330"/>
      <c r="R87" s="330"/>
      <c r="S87" s="330"/>
      <c r="T87" s="330"/>
      <c r="U87" s="330"/>
      <c r="V87" s="330"/>
      <c r="W87" s="330"/>
      <c r="X87" s="330"/>
      <c r="Y87" s="330"/>
      <c r="Z87" s="619"/>
      <c r="AA87" s="619"/>
      <c r="AB87" s="619"/>
      <c r="AC87" s="619"/>
      <c r="AD87" s="60"/>
    </row>
    <row r="88" spans="1:30" x14ac:dyDescent="0.25">
      <c r="A88" s="443"/>
      <c r="B88" s="443"/>
      <c r="C88" s="443"/>
      <c r="D88" s="330"/>
      <c r="E88" s="330"/>
      <c r="F88" s="330"/>
      <c r="G88" s="330"/>
      <c r="H88" s="330"/>
      <c r="I88" s="330"/>
      <c r="J88" s="330"/>
      <c r="K88" s="330"/>
      <c r="L88" s="330"/>
      <c r="M88" s="330"/>
      <c r="N88" s="330"/>
      <c r="O88" s="330"/>
      <c r="P88" s="330"/>
      <c r="Q88" s="330"/>
      <c r="R88" s="330"/>
      <c r="S88" s="330"/>
      <c r="T88" s="330"/>
      <c r="U88" s="330"/>
      <c r="V88" s="330"/>
      <c r="W88" s="330"/>
      <c r="X88" s="330"/>
      <c r="Y88" s="330"/>
      <c r="Z88" s="619"/>
      <c r="AA88" s="619"/>
      <c r="AB88" s="619"/>
      <c r="AC88" s="619"/>
      <c r="AD88" s="60"/>
    </row>
    <row r="89" spans="1:30" x14ac:dyDescent="0.25">
      <c r="A89" s="443"/>
      <c r="B89" s="443"/>
      <c r="C89" s="443"/>
      <c r="D89" s="330"/>
      <c r="E89" s="330"/>
      <c r="F89" s="330"/>
      <c r="G89" s="330"/>
      <c r="H89" s="330"/>
      <c r="I89" s="330"/>
      <c r="J89" s="330"/>
      <c r="K89" s="330"/>
      <c r="L89" s="330"/>
      <c r="M89" s="330"/>
      <c r="N89" s="330"/>
      <c r="O89" s="330"/>
      <c r="P89" s="330"/>
      <c r="Q89" s="330"/>
      <c r="R89" s="330"/>
      <c r="S89" s="330"/>
      <c r="T89" s="330"/>
      <c r="U89" s="330"/>
      <c r="V89" s="330"/>
      <c r="W89" s="330"/>
      <c r="X89" s="330"/>
      <c r="Y89" s="330"/>
      <c r="Z89" s="619"/>
      <c r="AA89" s="619"/>
      <c r="AB89" s="619"/>
      <c r="AC89" s="619"/>
      <c r="AD89" s="60"/>
    </row>
    <row r="90" spans="1:30" x14ac:dyDescent="0.25">
      <c r="A90" s="443"/>
      <c r="B90" s="443"/>
      <c r="C90" s="443"/>
      <c r="D90" s="330"/>
      <c r="E90" s="330"/>
      <c r="F90" s="330"/>
      <c r="G90" s="330"/>
      <c r="H90" s="330"/>
      <c r="I90" s="330"/>
      <c r="J90" s="330"/>
      <c r="K90" s="330"/>
      <c r="L90" s="330"/>
      <c r="M90" s="330"/>
      <c r="N90" s="330"/>
      <c r="O90" s="330"/>
      <c r="P90" s="330"/>
      <c r="Q90" s="330"/>
      <c r="R90" s="330"/>
      <c r="S90" s="330"/>
      <c r="T90" s="330"/>
      <c r="U90" s="330"/>
      <c r="V90" s="330"/>
      <c r="W90" s="330"/>
      <c r="X90" s="330"/>
      <c r="Y90" s="330"/>
      <c r="Z90" s="619"/>
      <c r="AA90" s="619"/>
      <c r="AB90" s="619"/>
      <c r="AC90" s="619"/>
      <c r="AD90" s="60"/>
    </row>
    <row r="91" spans="1:30" x14ac:dyDescent="0.25">
      <c r="A91" s="443"/>
      <c r="B91" s="443"/>
      <c r="C91" s="443"/>
      <c r="D91" s="330"/>
      <c r="E91" s="330"/>
      <c r="F91" s="330"/>
      <c r="G91" s="330"/>
      <c r="H91" s="330"/>
      <c r="I91" s="330"/>
      <c r="J91" s="330"/>
      <c r="K91" s="330"/>
      <c r="L91" s="330"/>
      <c r="M91" s="330"/>
      <c r="N91" s="330"/>
      <c r="O91" s="330"/>
      <c r="P91" s="330"/>
      <c r="Q91" s="330"/>
      <c r="R91" s="330"/>
      <c r="S91" s="330"/>
      <c r="T91" s="330"/>
      <c r="U91" s="330"/>
      <c r="V91" s="330"/>
      <c r="W91" s="330"/>
      <c r="X91" s="330"/>
      <c r="Y91" s="330"/>
      <c r="Z91" s="619"/>
      <c r="AA91" s="619"/>
      <c r="AB91" s="619"/>
      <c r="AC91" s="619"/>
      <c r="AD91" s="60"/>
    </row>
    <row r="92" spans="1:30" x14ac:dyDescent="0.25">
      <c r="A92" s="443"/>
      <c r="B92" s="443"/>
      <c r="C92" s="443"/>
      <c r="D92" s="330"/>
      <c r="E92" s="330"/>
      <c r="F92" s="330"/>
      <c r="G92" s="330"/>
      <c r="H92" s="330"/>
      <c r="I92" s="330"/>
      <c r="J92" s="330"/>
      <c r="K92" s="330"/>
      <c r="L92" s="330"/>
      <c r="M92" s="330"/>
      <c r="N92" s="330"/>
      <c r="O92" s="330"/>
      <c r="P92" s="330"/>
      <c r="Q92" s="330"/>
      <c r="R92" s="330"/>
      <c r="S92" s="330"/>
      <c r="T92" s="330"/>
      <c r="U92" s="330"/>
      <c r="V92" s="330"/>
      <c r="W92" s="330"/>
      <c r="X92" s="330"/>
      <c r="Y92" s="330"/>
      <c r="Z92" s="619"/>
      <c r="AA92" s="619"/>
      <c r="AB92" s="619"/>
      <c r="AC92" s="619"/>
      <c r="AD92" s="60"/>
    </row>
    <row r="93" spans="1:30" x14ac:dyDescent="0.25">
      <c r="A93" s="443"/>
      <c r="B93" s="443"/>
      <c r="C93" s="443"/>
      <c r="D93" s="330"/>
      <c r="E93" s="330"/>
      <c r="F93" s="330"/>
      <c r="G93" s="330"/>
      <c r="H93" s="330"/>
      <c r="I93" s="330"/>
      <c r="J93" s="330"/>
      <c r="K93" s="330"/>
      <c r="L93" s="330"/>
      <c r="M93" s="330"/>
      <c r="N93" s="330"/>
      <c r="O93" s="330"/>
      <c r="P93" s="330"/>
      <c r="Q93" s="330"/>
      <c r="R93" s="330"/>
      <c r="S93" s="330"/>
      <c r="T93" s="330"/>
      <c r="U93" s="330"/>
      <c r="V93" s="330"/>
      <c r="W93" s="330"/>
      <c r="X93" s="330"/>
      <c r="Y93" s="330"/>
      <c r="Z93" s="619"/>
      <c r="AA93" s="619"/>
      <c r="AB93" s="619"/>
      <c r="AC93" s="619"/>
      <c r="AD93" s="60"/>
    </row>
    <row r="94" spans="1:30" x14ac:dyDescent="0.25">
      <c r="A94" s="443"/>
      <c r="B94" s="443"/>
      <c r="C94" s="443"/>
      <c r="D94" s="330"/>
      <c r="E94" s="330"/>
      <c r="F94" s="330"/>
      <c r="G94" s="330"/>
      <c r="H94" s="330"/>
      <c r="I94" s="330"/>
      <c r="J94" s="330"/>
      <c r="K94" s="330"/>
      <c r="L94" s="330"/>
      <c r="M94" s="330"/>
      <c r="N94" s="330"/>
      <c r="O94" s="330"/>
      <c r="P94" s="330"/>
      <c r="Q94" s="330"/>
      <c r="R94" s="330"/>
      <c r="S94" s="330"/>
      <c r="T94" s="330"/>
      <c r="U94" s="330"/>
      <c r="V94" s="330"/>
      <c r="W94" s="330"/>
      <c r="X94" s="330"/>
      <c r="Y94" s="330"/>
      <c r="Z94" s="619"/>
      <c r="AA94" s="619"/>
      <c r="AB94" s="619"/>
      <c r="AC94" s="619"/>
      <c r="AD94" s="60"/>
    </row>
    <row r="95" spans="1:30" x14ac:dyDescent="0.25">
      <c r="A95" s="443"/>
      <c r="B95" s="443"/>
      <c r="C95" s="443"/>
      <c r="D95" s="330"/>
      <c r="E95" s="330"/>
      <c r="F95" s="330"/>
      <c r="G95" s="330"/>
      <c r="H95" s="330"/>
      <c r="I95" s="330"/>
      <c r="J95" s="330"/>
      <c r="K95" s="330"/>
      <c r="L95" s="330"/>
      <c r="M95" s="330"/>
      <c r="N95" s="330"/>
      <c r="O95" s="330"/>
      <c r="P95" s="330"/>
      <c r="Q95" s="330"/>
      <c r="R95" s="330"/>
      <c r="S95" s="330"/>
      <c r="T95" s="330"/>
      <c r="U95" s="330"/>
      <c r="V95" s="330"/>
      <c r="W95" s="330"/>
      <c r="X95" s="330"/>
      <c r="Y95" s="330"/>
      <c r="Z95" s="619"/>
      <c r="AA95" s="619"/>
      <c r="AB95" s="619"/>
      <c r="AC95" s="619"/>
      <c r="AD95" s="60"/>
    </row>
    <row r="96" spans="1:30" x14ac:dyDescent="0.25">
      <c r="A96" s="443"/>
      <c r="B96" s="443"/>
      <c r="C96" s="443"/>
      <c r="D96" s="330"/>
      <c r="E96" s="330"/>
      <c r="F96" s="330"/>
      <c r="G96" s="330"/>
      <c r="H96" s="330"/>
      <c r="I96" s="330"/>
      <c r="J96" s="330"/>
      <c r="K96" s="330"/>
      <c r="L96" s="330"/>
      <c r="M96" s="330"/>
      <c r="N96" s="330"/>
      <c r="O96" s="330"/>
      <c r="P96" s="330"/>
      <c r="Q96" s="330"/>
      <c r="R96" s="330"/>
      <c r="S96" s="330"/>
      <c r="T96" s="330"/>
      <c r="U96" s="330"/>
      <c r="V96" s="330"/>
      <c r="W96" s="330"/>
      <c r="X96" s="330"/>
      <c r="Y96" s="330"/>
      <c r="Z96" s="619"/>
      <c r="AA96" s="619"/>
      <c r="AB96" s="619"/>
      <c r="AC96" s="619"/>
      <c r="AD96" s="60"/>
    </row>
    <row r="97" spans="1:30" x14ac:dyDescent="0.25">
      <c r="A97" s="443"/>
      <c r="B97" s="443"/>
      <c r="C97" s="443"/>
      <c r="D97" s="330"/>
      <c r="E97" s="330"/>
      <c r="F97" s="330"/>
      <c r="G97" s="330"/>
      <c r="H97" s="330"/>
      <c r="I97" s="330"/>
      <c r="J97" s="330"/>
      <c r="K97" s="330"/>
      <c r="L97" s="330"/>
      <c r="M97" s="330"/>
      <c r="N97" s="330"/>
      <c r="O97" s="330"/>
      <c r="P97" s="330"/>
      <c r="Q97" s="330"/>
      <c r="R97" s="330"/>
      <c r="S97" s="330"/>
      <c r="T97" s="330"/>
      <c r="U97" s="330"/>
      <c r="V97" s="330"/>
      <c r="W97" s="330"/>
      <c r="X97" s="330"/>
      <c r="Y97" s="330"/>
      <c r="Z97" s="619"/>
      <c r="AA97" s="619"/>
      <c r="AB97" s="619"/>
      <c r="AC97" s="619"/>
      <c r="AD97" s="60"/>
    </row>
    <row r="98" spans="1:30" x14ac:dyDescent="0.25">
      <c r="A98" s="443"/>
      <c r="B98" s="443"/>
      <c r="C98" s="443"/>
      <c r="D98" s="330"/>
      <c r="E98" s="330"/>
      <c r="F98" s="330"/>
      <c r="G98" s="330"/>
      <c r="H98" s="330"/>
      <c r="I98" s="330"/>
      <c r="J98" s="330"/>
      <c r="K98" s="330"/>
      <c r="L98" s="330"/>
      <c r="M98" s="330"/>
      <c r="N98" s="330"/>
      <c r="O98" s="330"/>
      <c r="P98" s="330"/>
      <c r="Q98" s="330"/>
      <c r="R98" s="330"/>
      <c r="S98" s="330"/>
      <c r="T98" s="330"/>
      <c r="U98" s="330"/>
      <c r="V98" s="330"/>
      <c r="W98" s="330"/>
      <c r="X98" s="330"/>
      <c r="Y98" s="330"/>
      <c r="Z98" s="619"/>
      <c r="AA98" s="619"/>
      <c r="AB98" s="619"/>
      <c r="AC98" s="619"/>
      <c r="AD98" s="60"/>
    </row>
    <row r="99" spans="1:30" x14ac:dyDescent="0.25">
      <c r="A99" s="443"/>
      <c r="B99" s="443"/>
      <c r="C99" s="443"/>
      <c r="D99" s="330"/>
      <c r="E99" s="330"/>
      <c r="F99" s="330"/>
      <c r="G99" s="330"/>
      <c r="H99" s="330"/>
      <c r="I99" s="330"/>
      <c r="J99" s="330"/>
      <c r="K99" s="330"/>
      <c r="L99" s="330"/>
      <c r="M99" s="330"/>
      <c r="N99" s="330"/>
      <c r="O99" s="330"/>
      <c r="P99" s="330"/>
      <c r="Q99" s="330"/>
      <c r="R99" s="330"/>
      <c r="S99" s="330"/>
      <c r="T99" s="330"/>
      <c r="U99" s="330"/>
      <c r="V99" s="330"/>
      <c r="W99" s="330"/>
      <c r="X99" s="330"/>
      <c r="Y99" s="330"/>
      <c r="Z99" s="619"/>
      <c r="AA99" s="619"/>
      <c r="AB99" s="619"/>
      <c r="AC99" s="619"/>
      <c r="AD99" s="60"/>
    </row>
    <row r="100" spans="1:30" x14ac:dyDescent="0.25">
      <c r="A100" s="443"/>
      <c r="B100" s="443"/>
      <c r="C100" s="443"/>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619"/>
      <c r="AA100" s="619"/>
      <c r="AB100" s="619"/>
      <c r="AC100" s="619"/>
      <c r="AD100" s="60"/>
    </row>
    <row r="101" spans="1:30" x14ac:dyDescent="0.25">
      <c r="A101" s="443"/>
      <c r="B101" s="443"/>
      <c r="C101" s="443"/>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619"/>
      <c r="AA101" s="619"/>
      <c r="AB101" s="619"/>
      <c r="AC101" s="619"/>
      <c r="AD101" s="60"/>
    </row>
    <row r="102" spans="1:30" x14ac:dyDescent="0.25">
      <c r="A102" s="443"/>
      <c r="B102" s="443"/>
      <c r="C102" s="443"/>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619"/>
      <c r="AA102" s="619"/>
      <c r="AB102" s="619"/>
      <c r="AC102" s="619"/>
      <c r="AD102" s="60"/>
    </row>
    <row r="103" spans="1:30" x14ac:dyDescent="0.25">
      <c r="A103" s="443"/>
      <c r="B103" s="443"/>
      <c r="C103" s="443"/>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619"/>
      <c r="AA103" s="619"/>
      <c r="AB103" s="619"/>
      <c r="AC103" s="619"/>
      <c r="AD103" s="60"/>
    </row>
    <row r="104" spans="1:30" x14ac:dyDescent="0.25">
      <c r="A104" s="443"/>
      <c r="B104" s="443"/>
      <c r="C104" s="443"/>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619"/>
      <c r="AA104" s="619"/>
      <c r="AB104" s="619"/>
      <c r="AC104" s="619"/>
      <c r="AD104" s="60"/>
    </row>
    <row r="105" spans="1:30" x14ac:dyDescent="0.25">
      <c r="A105" s="443"/>
      <c r="B105" s="443"/>
      <c r="C105" s="443"/>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619"/>
      <c r="AA105" s="619"/>
      <c r="AB105" s="619"/>
      <c r="AC105" s="619"/>
      <c r="AD105" s="60"/>
    </row>
    <row r="106" spans="1:30" x14ac:dyDescent="0.25">
      <c r="A106" s="443"/>
      <c r="B106" s="443"/>
      <c r="C106" s="443"/>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619"/>
      <c r="AA106" s="619"/>
      <c r="AB106" s="619"/>
      <c r="AC106" s="619"/>
      <c r="AD106" s="60"/>
    </row>
    <row r="107" spans="1:30" x14ac:dyDescent="0.25">
      <c r="A107" s="443"/>
      <c r="B107" s="443"/>
      <c r="C107" s="443"/>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619"/>
      <c r="AA107" s="619"/>
      <c r="AB107" s="619"/>
      <c r="AC107" s="619"/>
      <c r="AD107" s="60"/>
    </row>
    <row r="108" spans="1:30" x14ac:dyDescent="0.25">
      <c r="A108" s="443"/>
      <c r="B108" s="443"/>
      <c r="C108" s="443"/>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619"/>
      <c r="AA108" s="619"/>
      <c r="AB108" s="619"/>
      <c r="AC108" s="619"/>
      <c r="AD108" s="60"/>
    </row>
    <row r="109" spans="1:30" x14ac:dyDescent="0.25">
      <c r="A109" s="443"/>
      <c r="B109" s="443"/>
      <c r="C109" s="443"/>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619"/>
      <c r="AA109" s="619"/>
      <c r="AB109" s="619"/>
      <c r="AC109" s="619"/>
      <c r="AD109" s="60"/>
    </row>
    <row r="110" spans="1:30" x14ac:dyDescent="0.25">
      <c r="A110" s="443"/>
      <c r="B110" s="443"/>
      <c r="C110" s="443"/>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619"/>
      <c r="AA110" s="619"/>
      <c r="AB110" s="619"/>
      <c r="AC110" s="619"/>
      <c r="AD110" s="60"/>
    </row>
    <row r="111" spans="1:30" x14ac:dyDescent="0.25">
      <c r="A111" s="443"/>
      <c r="B111" s="443"/>
      <c r="C111" s="443"/>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619"/>
      <c r="AA111" s="619"/>
      <c r="AB111" s="619"/>
      <c r="AC111" s="619"/>
      <c r="AD111" s="60"/>
    </row>
    <row r="112" spans="1:30" x14ac:dyDescent="0.25">
      <c r="A112" s="443"/>
      <c r="B112" s="443"/>
      <c r="C112" s="443"/>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619"/>
      <c r="AA112" s="619"/>
      <c r="AB112" s="619"/>
      <c r="AC112" s="619"/>
      <c r="AD112" s="60"/>
    </row>
    <row r="113" spans="1:30" x14ac:dyDescent="0.25">
      <c r="A113" s="443"/>
      <c r="B113" s="443"/>
      <c r="C113" s="443"/>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619"/>
      <c r="AA113" s="619"/>
      <c r="AB113" s="619"/>
      <c r="AC113" s="619"/>
      <c r="AD113" s="60"/>
    </row>
    <row r="114" spans="1:30" x14ac:dyDescent="0.25">
      <c r="A114" s="443"/>
      <c r="B114" s="443"/>
      <c r="C114" s="443"/>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619"/>
      <c r="AA114" s="619"/>
      <c r="AB114" s="619"/>
      <c r="AC114" s="619"/>
      <c r="AD114" s="60"/>
    </row>
    <row r="115" spans="1:30" x14ac:dyDescent="0.25">
      <c r="A115" s="443"/>
      <c r="B115" s="443"/>
      <c r="C115" s="443"/>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619"/>
      <c r="AA115" s="619"/>
      <c r="AB115" s="619"/>
      <c r="AC115" s="619"/>
      <c r="AD115" s="60"/>
    </row>
    <row r="116" spans="1:30" x14ac:dyDescent="0.25">
      <c r="A116" s="443"/>
      <c r="B116" s="443"/>
      <c r="C116" s="443"/>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619"/>
      <c r="AA116" s="619"/>
      <c r="AB116" s="619"/>
      <c r="AC116" s="619"/>
      <c r="AD116" s="60"/>
    </row>
    <row r="117" spans="1:30" x14ac:dyDescent="0.25">
      <c r="A117" s="443"/>
      <c r="B117" s="443"/>
      <c r="C117" s="443"/>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619"/>
      <c r="AA117" s="619"/>
      <c r="AB117" s="619"/>
      <c r="AC117" s="619"/>
      <c r="AD117" s="60"/>
    </row>
    <row r="118" spans="1:30" x14ac:dyDescent="0.25">
      <c r="A118" s="443"/>
      <c r="B118" s="443"/>
      <c r="C118" s="443"/>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619"/>
      <c r="AA118" s="619"/>
      <c r="AB118" s="619"/>
      <c r="AC118" s="619"/>
      <c r="AD118" s="60"/>
    </row>
    <row r="119" spans="1:30" x14ac:dyDescent="0.25">
      <c r="A119" s="443"/>
      <c r="B119" s="443"/>
      <c r="C119" s="443"/>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619"/>
      <c r="AA119" s="619"/>
      <c r="AB119" s="619"/>
      <c r="AC119" s="619"/>
      <c r="AD119" s="60"/>
    </row>
    <row r="120" spans="1:30" x14ac:dyDescent="0.25">
      <c r="A120" s="443"/>
      <c r="B120" s="443"/>
      <c r="C120" s="443"/>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619"/>
      <c r="AA120" s="619"/>
      <c r="AB120" s="619"/>
      <c r="AC120" s="619"/>
      <c r="AD120" s="60"/>
    </row>
    <row r="121" spans="1:30" x14ac:dyDescent="0.25">
      <c r="A121" s="443"/>
      <c r="B121" s="443"/>
      <c r="C121" s="443"/>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619"/>
      <c r="AA121" s="619"/>
      <c r="AB121" s="619"/>
      <c r="AC121" s="619"/>
      <c r="AD121" s="60"/>
    </row>
    <row r="122" spans="1:30" x14ac:dyDescent="0.25">
      <c r="A122" s="443"/>
      <c r="B122" s="443"/>
      <c r="C122" s="443"/>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619"/>
      <c r="AA122" s="619"/>
      <c r="AB122" s="619"/>
      <c r="AC122" s="619"/>
      <c r="AD122" s="60"/>
    </row>
    <row r="123" spans="1:30" x14ac:dyDescent="0.25">
      <c r="A123" s="443"/>
      <c r="B123" s="443"/>
      <c r="C123" s="443"/>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619"/>
      <c r="AA123" s="619"/>
      <c r="AB123" s="619"/>
      <c r="AC123" s="619"/>
      <c r="AD123" s="60"/>
    </row>
    <row r="124" spans="1:30" x14ac:dyDescent="0.25">
      <c r="A124" s="443"/>
      <c r="B124" s="443"/>
      <c r="C124" s="443"/>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619"/>
      <c r="AA124" s="619"/>
      <c r="AB124" s="619"/>
      <c r="AC124" s="619"/>
      <c r="AD124" s="60"/>
    </row>
    <row r="125" spans="1:30" x14ac:dyDescent="0.25">
      <c r="A125" s="443"/>
      <c r="B125" s="443"/>
      <c r="C125" s="443"/>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619"/>
      <c r="AA125" s="619"/>
      <c r="AB125" s="619"/>
      <c r="AC125" s="619"/>
      <c r="AD125" s="60"/>
    </row>
    <row r="126" spans="1:30" x14ac:dyDescent="0.25">
      <c r="A126" s="443"/>
      <c r="B126" s="443"/>
      <c r="C126" s="443"/>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619"/>
      <c r="AA126" s="619"/>
      <c r="AB126" s="619"/>
      <c r="AC126" s="619"/>
      <c r="AD126" s="60"/>
    </row>
    <row r="127" spans="1:30" x14ac:dyDescent="0.25">
      <c r="A127" s="443"/>
      <c r="B127" s="443"/>
      <c r="C127" s="443"/>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619"/>
      <c r="AA127" s="619"/>
      <c r="AB127" s="619"/>
      <c r="AC127" s="619"/>
      <c r="AD127" s="60"/>
    </row>
    <row r="128" spans="1:30" x14ac:dyDescent="0.25">
      <c r="A128" s="443"/>
      <c r="B128" s="443"/>
      <c r="C128" s="443"/>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619"/>
      <c r="AA128" s="619"/>
      <c r="AB128" s="619"/>
      <c r="AC128" s="619"/>
      <c r="AD128" s="60"/>
    </row>
    <row r="129" spans="1:30" x14ac:dyDescent="0.25">
      <c r="A129" s="443"/>
      <c r="B129" s="443"/>
      <c r="C129" s="443"/>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619"/>
      <c r="AA129" s="619"/>
      <c r="AB129" s="619"/>
      <c r="AC129" s="619"/>
      <c r="AD129" s="60"/>
    </row>
    <row r="130" spans="1:30" x14ac:dyDescent="0.25">
      <c r="A130" s="443"/>
      <c r="B130" s="443"/>
      <c r="C130" s="443"/>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619"/>
      <c r="AA130" s="619"/>
      <c r="AB130" s="619"/>
      <c r="AC130" s="619"/>
      <c r="AD130" s="60"/>
    </row>
    <row r="131" spans="1:30" x14ac:dyDescent="0.25">
      <c r="A131" s="443"/>
      <c r="B131" s="443"/>
      <c r="C131" s="443"/>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619"/>
      <c r="AA131" s="619"/>
      <c r="AB131" s="619"/>
      <c r="AC131" s="619"/>
      <c r="AD131" s="60"/>
    </row>
    <row r="132" spans="1:30" x14ac:dyDescent="0.25">
      <c r="A132" s="443"/>
      <c r="B132" s="443"/>
      <c r="C132" s="443"/>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619"/>
      <c r="AA132" s="619"/>
      <c r="AB132" s="619"/>
      <c r="AC132" s="619"/>
      <c r="AD132" s="60"/>
    </row>
    <row r="133" spans="1:30" x14ac:dyDescent="0.25">
      <c r="A133" s="443"/>
      <c r="B133" s="443"/>
      <c r="C133" s="443"/>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619"/>
      <c r="AA133" s="619"/>
      <c r="AB133" s="619"/>
      <c r="AC133" s="619"/>
      <c r="AD133" s="60"/>
    </row>
    <row r="134" spans="1:30" x14ac:dyDescent="0.25">
      <c r="A134" s="443"/>
      <c r="B134" s="443"/>
      <c r="C134" s="443"/>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619"/>
      <c r="AA134" s="619"/>
      <c r="AB134" s="619"/>
      <c r="AC134" s="619"/>
      <c r="AD134" s="60"/>
    </row>
    <row r="135" spans="1:30" x14ac:dyDescent="0.25">
      <c r="A135" s="443"/>
      <c r="B135" s="443"/>
      <c r="C135" s="443"/>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619"/>
      <c r="AA135" s="619"/>
      <c r="AB135" s="619"/>
      <c r="AC135" s="619"/>
      <c r="AD135" s="60"/>
    </row>
    <row r="136" spans="1:30" x14ac:dyDescent="0.25">
      <c r="A136" s="443"/>
      <c r="B136" s="443"/>
      <c r="C136" s="443"/>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619"/>
      <c r="AA136" s="619"/>
      <c r="AB136" s="619"/>
      <c r="AC136" s="619"/>
      <c r="AD136" s="60"/>
    </row>
    <row r="137" spans="1:30" x14ac:dyDescent="0.25">
      <c r="A137" s="443"/>
      <c r="B137" s="443"/>
      <c r="C137" s="443"/>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619"/>
      <c r="AA137" s="619"/>
      <c r="AB137" s="619"/>
      <c r="AC137" s="619"/>
      <c r="AD137" s="60"/>
    </row>
    <row r="138" spans="1:30" x14ac:dyDescent="0.25">
      <c r="A138" s="443"/>
      <c r="B138" s="443"/>
      <c r="C138" s="443"/>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619"/>
      <c r="AA138" s="619"/>
      <c r="AB138" s="619"/>
      <c r="AC138" s="619"/>
      <c r="AD138" s="60"/>
    </row>
    <row r="139" spans="1:30" x14ac:dyDescent="0.25">
      <c r="A139" s="443"/>
      <c r="B139" s="443"/>
      <c r="C139" s="443"/>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619"/>
      <c r="AA139" s="619"/>
      <c r="AB139" s="619"/>
      <c r="AC139" s="619"/>
      <c r="AD139" s="60"/>
    </row>
    <row r="140" spans="1:30" x14ac:dyDescent="0.25">
      <c r="A140" s="443"/>
      <c r="B140" s="443"/>
      <c r="C140" s="443"/>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619"/>
      <c r="AA140" s="619"/>
      <c r="AB140" s="619"/>
      <c r="AC140" s="619"/>
      <c r="AD140" s="60"/>
    </row>
    <row r="141" spans="1:30" x14ac:dyDescent="0.25">
      <c r="A141" s="443"/>
      <c r="B141" s="443"/>
      <c r="C141" s="443"/>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619"/>
      <c r="AA141" s="619"/>
      <c r="AB141" s="619"/>
      <c r="AC141" s="619"/>
      <c r="AD141" s="60"/>
    </row>
    <row r="142" spans="1:30" x14ac:dyDescent="0.25">
      <c r="A142" s="443"/>
      <c r="B142" s="443"/>
      <c r="C142" s="443"/>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619"/>
      <c r="AA142" s="619"/>
      <c r="AB142" s="619"/>
      <c r="AC142" s="619"/>
      <c r="AD142" s="60"/>
    </row>
    <row r="143" spans="1:30" x14ac:dyDescent="0.25">
      <c r="A143" s="443"/>
      <c r="B143" s="443"/>
      <c r="C143" s="443"/>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619"/>
      <c r="AA143" s="619"/>
      <c r="AB143" s="619"/>
      <c r="AC143" s="619"/>
      <c r="AD143" s="60"/>
    </row>
    <row r="144" spans="1:30" x14ac:dyDescent="0.25">
      <c r="A144" s="443"/>
      <c r="B144" s="443"/>
      <c r="C144" s="443"/>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619"/>
      <c r="AA144" s="619"/>
      <c r="AB144" s="619"/>
      <c r="AC144" s="619"/>
      <c r="AD144" s="60"/>
    </row>
    <row r="145" spans="1:30" x14ac:dyDescent="0.25">
      <c r="A145" s="443"/>
      <c r="B145" s="443"/>
      <c r="C145" s="443"/>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619"/>
      <c r="AA145" s="619"/>
      <c r="AB145" s="619"/>
      <c r="AC145" s="619"/>
      <c r="AD145" s="60"/>
    </row>
    <row r="146" spans="1:30" x14ac:dyDescent="0.25">
      <c r="A146" s="443"/>
      <c r="B146" s="443"/>
      <c r="C146" s="443"/>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619"/>
      <c r="AA146" s="619"/>
      <c r="AB146" s="619"/>
      <c r="AC146" s="619"/>
      <c r="AD146" s="60"/>
    </row>
    <row r="147" spans="1:30" x14ac:dyDescent="0.25">
      <c r="A147" s="443"/>
      <c r="B147" s="443"/>
      <c r="C147" s="443"/>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619"/>
      <c r="AA147" s="619"/>
      <c r="AB147" s="619"/>
      <c r="AC147" s="619"/>
      <c r="AD147" s="60"/>
    </row>
    <row r="148" spans="1:30" x14ac:dyDescent="0.25">
      <c r="A148" s="443"/>
      <c r="B148" s="443"/>
      <c r="C148" s="443"/>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619"/>
      <c r="AA148" s="619"/>
      <c r="AB148" s="619"/>
      <c r="AC148" s="619"/>
      <c r="AD148" s="60"/>
    </row>
    <row r="149" spans="1:30" x14ac:dyDescent="0.25">
      <c r="A149" s="443"/>
      <c r="B149" s="443"/>
      <c r="C149" s="443"/>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619"/>
      <c r="AA149" s="619"/>
      <c r="AB149" s="619"/>
      <c r="AC149" s="619"/>
      <c r="AD149" s="60"/>
    </row>
    <row r="150" spans="1:30" x14ac:dyDescent="0.25">
      <c r="A150" s="443"/>
      <c r="B150" s="443"/>
      <c r="C150" s="443"/>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619"/>
      <c r="AA150" s="619"/>
      <c r="AB150" s="619"/>
      <c r="AC150" s="619"/>
      <c r="AD150" s="60"/>
    </row>
    <row r="151" spans="1:30" x14ac:dyDescent="0.25">
      <c r="A151" s="443"/>
      <c r="B151" s="443"/>
      <c r="C151" s="443"/>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619"/>
      <c r="AA151" s="619"/>
      <c r="AB151" s="619"/>
      <c r="AC151" s="619"/>
      <c r="AD151" s="60"/>
    </row>
    <row r="152" spans="1:30" x14ac:dyDescent="0.25">
      <c r="A152" s="443"/>
      <c r="B152" s="443"/>
      <c r="C152" s="443"/>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619"/>
      <c r="AA152" s="619"/>
      <c r="AB152" s="619"/>
      <c r="AC152" s="619"/>
      <c r="AD152" s="60"/>
    </row>
    <row r="153" spans="1:30" x14ac:dyDescent="0.25">
      <c r="A153" s="443"/>
      <c r="B153" s="443"/>
      <c r="C153" s="443"/>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619"/>
      <c r="AA153" s="619"/>
      <c r="AB153" s="619"/>
      <c r="AC153" s="619"/>
      <c r="AD153" s="60"/>
    </row>
    <row r="154" spans="1:30" x14ac:dyDescent="0.25">
      <c r="A154" s="443"/>
      <c r="B154" s="443"/>
      <c r="C154" s="443"/>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619"/>
      <c r="AA154" s="619"/>
      <c r="AB154" s="619"/>
      <c r="AC154" s="619"/>
      <c r="AD154" s="60"/>
    </row>
    <row r="155" spans="1:30" x14ac:dyDescent="0.25">
      <c r="A155" s="443"/>
      <c r="B155" s="443"/>
      <c r="C155" s="443"/>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619"/>
      <c r="AA155" s="619"/>
      <c r="AB155" s="619"/>
      <c r="AC155" s="619"/>
      <c r="AD155" s="60"/>
    </row>
    <row r="156" spans="1:30" x14ac:dyDescent="0.25">
      <c r="A156" s="443"/>
      <c r="B156" s="443"/>
      <c r="C156" s="443"/>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619"/>
      <c r="AA156" s="619"/>
      <c r="AB156" s="619"/>
      <c r="AC156" s="619"/>
      <c r="AD156" s="60"/>
    </row>
    <row r="157" spans="1:30" x14ac:dyDescent="0.25">
      <c r="A157" s="443"/>
      <c r="B157" s="443"/>
      <c r="C157" s="443"/>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619"/>
      <c r="AA157" s="619"/>
      <c r="AB157" s="619"/>
      <c r="AC157" s="619"/>
      <c r="AD157" s="60"/>
    </row>
    <row r="158" spans="1:30" x14ac:dyDescent="0.25">
      <c r="A158" s="443"/>
      <c r="B158" s="443"/>
      <c r="C158" s="443"/>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619"/>
      <c r="AA158" s="619"/>
      <c r="AB158" s="619"/>
      <c r="AC158" s="619"/>
      <c r="AD158" s="60"/>
    </row>
    <row r="159" spans="1:30" x14ac:dyDescent="0.25">
      <c r="A159" s="443"/>
      <c r="B159" s="443"/>
      <c r="C159" s="443"/>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619"/>
      <c r="AA159" s="619"/>
      <c r="AB159" s="619"/>
      <c r="AC159" s="619"/>
      <c r="AD159" s="60"/>
    </row>
    <row r="160" spans="1:30" x14ac:dyDescent="0.25">
      <c r="A160" s="443"/>
      <c r="B160" s="443"/>
      <c r="C160" s="443"/>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619"/>
      <c r="AA160" s="619"/>
      <c r="AB160" s="619"/>
      <c r="AC160" s="619"/>
      <c r="AD160" s="60"/>
    </row>
    <row r="161" spans="1:30" x14ac:dyDescent="0.25">
      <c r="A161" s="443"/>
      <c r="B161" s="443"/>
      <c r="C161" s="443"/>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619"/>
      <c r="AA161" s="619"/>
      <c r="AB161" s="619"/>
      <c r="AC161" s="619"/>
      <c r="AD161" s="60"/>
    </row>
    <row r="162" spans="1:30" x14ac:dyDescent="0.25">
      <c r="A162" s="443"/>
      <c r="B162" s="443"/>
      <c r="C162" s="443"/>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619"/>
      <c r="AA162" s="619"/>
      <c r="AB162" s="619"/>
      <c r="AC162" s="619"/>
      <c r="AD162" s="60"/>
    </row>
    <row r="163" spans="1:30" x14ac:dyDescent="0.25">
      <c r="A163" s="443"/>
      <c r="B163" s="443"/>
      <c r="C163" s="443"/>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619"/>
      <c r="AA163" s="619"/>
      <c r="AB163" s="619"/>
      <c r="AC163" s="619"/>
      <c r="AD163" s="60"/>
    </row>
    <row r="164" spans="1:30" x14ac:dyDescent="0.25">
      <c r="A164" s="443"/>
      <c r="B164" s="443"/>
      <c r="C164" s="443"/>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619"/>
      <c r="AA164" s="619"/>
      <c r="AB164" s="619"/>
      <c r="AC164" s="619"/>
      <c r="AD164" s="60"/>
    </row>
    <row r="165" spans="1:30" x14ac:dyDescent="0.25">
      <c r="A165" s="443"/>
      <c r="B165" s="443"/>
      <c r="C165" s="443"/>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619"/>
      <c r="AA165" s="619"/>
      <c r="AB165" s="619"/>
      <c r="AC165" s="619"/>
      <c r="AD165" s="60"/>
    </row>
    <row r="166" spans="1:30" x14ac:dyDescent="0.25">
      <c r="A166" s="443"/>
      <c r="B166" s="443"/>
      <c r="C166" s="443"/>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619"/>
      <c r="AA166" s="619"/>
      <c r="AB166" s="619"/>
      <c r="AC166" s="619"/>
      <c r="AD166" s="60"/>
    </row>
    <row r="167" spans="1:30" x14ac:dyDescent="0.25">
      <c r="A167" s="443"/>
      <c r="B167" s="443"/>
      <c r="C167" s="443"/>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619"/>
      <c r="AA167" s="619"/>
      <c r="AB167" s="619"/>
      <c r="AC167" s="619"/>
      <c r="AD167" s="60"/>
    </row>
    <row r="168" spans="1:30" x14ac:dyDescent="0.25">
      <c r="A168" s="443"/>
      <c r="B168" s="443"/>
      <c r="C168" s="443"/>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619"/>
      <c r="AA168" s="619"/>
      <c r="AB168" s="619"/>
      <c r="AC168" s="619"/>
      <c r="AD168" s="60"/>
    </row>
    <row r="169" spans="1:30" x14ac:dyDescent="0.25">
      <c r="A169" s="443"/>
      <c r="B169" s="443"/>
      <c r="C169" s="443"/>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619"/>
      <c r="AA169" s="619"/>
      <c r="AB169" s="619"/>
      <c r="AC169" s="619"/>
      <c r="AD169" s="60"/>
    </row>
    <row r="170" spans="1:30" x14ac:dyDescent="0.25">
      <c r="A170" s="443"/>
      <c r="B170" s="443"/>
      <c r="C170" s="443"/>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619"/>
      <c r="AA170" s="619"/>
      <c r="AB170" s="619"/>
      <c r="AC170" s="619"/>
      <c r="AD170" s="60"/>
    </row>
    <row r="171" spans="1:30" x14ac:dyDescent="0.25">
      <c r="A171" s="443"/>
      <c r="B171" s="443"/>
      <c r="C171" s="443"/>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619"/>
      <c r="AA171" s="619"/>
      <c r="AB171" s="619"/>
      <c r="AC171" s="619"/>
      <c r="AD171" s="60"/>
    </row>
    <row r="172" spans="1:30" x14ac:dyDescent="0.25">
      <c r="A172" s="443"/>
      <c r="B172" s="443"/>
      <c r="C172" s="443"/>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619"/>
      <c r="AA172" s="619"/>
      <c r="AB172" s="619"/>
      <c r="AC172" s="619"/>
      <c r="AD172" s="60"/>
    </row>
    <row r="173" spans="1:30" x14ac:dyDescent="0.25">
      <c r="A173" s="443"/>
      <c r="B173" s="443"/>
      <c r="C173" s="443"/>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619"/>
      <c r="AA173" s="619"/>
      <c r="AB173" s="619"/>
      <c r="AC173" s="619"/>
      <c r="AD173" s="60"/>
    </row>
    <row r="174" spans="1:30" x14ac:dyDescent="0.25">
      <c r="A174" s="443"/>
      <c r="B174" s="443"/>
      <c r="C174" s="443"/>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619"/>
      <c r="AA174" s="619"/>
      <c r="AB174" s="619"/>
      <c r="AC174" s="619"/>
      <c r="AD174" s="60"/>
    </row>
    <row r="175" spans="1:30" x14ac:dyDescent="0.25">
      <c r="A175" s="443"/>
      <c r="B175" s="443"/>
      <c r="C175" s="443"/>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619"/>
      <c r="AA175" s="619"/>
      <c r="AB175" s="619"/>
      <c r="AC175" s="619"/>
      <c r="AD175" s="60"/>
    </row>
    <row r="176" spans="1:30" x14ac:dyDescent="0.25">
      <c r="A176" s="443"/>
      <c r="B176" s="443"/>
      <c r="C176" s="443"/>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619"/>
      <c r="AA176" s="619"/>
      <c r="AB176" s="619"/>
      <c r="AC176" s="619"/>
      <c r="AD176" s="60"/>
    </row>
    <row r="177" spans="1:30" x14ac:dyDescent="0.25">
      <c r="A177" s="443"/>
      <c r="B177" s="443"/>
      <c r="C177" s="443"/>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619"/>
      <c r="AA177" s="619"/>
      <c r="AB177" s="619"/>
      <c r="AC177" s="619"/>
      <c r="AD177" s="60"/>
    </row>
    <row r="178" spans="1:30" x14ac:dyDescent="0.25">
      <c r="A178" s="443"/>
      <c r="B178" s="443"/>
      <c r="C178" s="443"/>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619"/>
      <c r="AA178" s="619"/>
      <c r="AB178" s="619"/>
      <c r="AC178" s="619"/>
      <c r="AD178" s="60"/>
    </row>
    <row r="179" spans="1:30" x14ac:dyDescent="0.25">
      <c r="A179" s="443"/>
      <c r="B179" s="443"/>
      <c r="C179" s="443"/>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619"/>
      <c r="AA179" s="619"/>
      <c r="AB179" s="619"/>
      <c r="AC179" s="619"/>
      <c r="AD179" s="60"/>
    </row>
    <row r="180" spans="1:30" x14ac:dyDescent="0.25">
      <c r="A180" s="443"/>
      <c r="B180" s="443"/>
      <c r="C180" s="443"/>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619"/>
      <c r="AA180" s="619"/>
      <c r="AB180" s="619"/>
      <c r="AC180" s="619"/>
      <c r="AD180" s="60"/>
    </row>
    <row r="181" spans="1:30" x14ac:dyDescent="0.25">
      <c r="A181" s="443"/>
      <c r="B181" s="443"/>
      <c r="C181" s="443"/>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619"/>
      <c r="AA181" s="619"/>
      <c r="AB181" s="619"/>
      <c r="AC181" s="619"/>
      <c r="AD181" s="60"/>
    </row>
    <row r="182" spans="1:30" x14ac:dyDescent="0.25">
      <c r="A182" s="443"/>
      <c r="B182" s="443"/>
      <c r="C182" s="443"/>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619"/>
      <c r="AA182" s="619"/>
      <c r="AB182" s="619"/>
      <c r="AC182" s="619"/>
      <c r="AD182" s="60"/>
    </row>
    <row r="183" spans="1:30" x14ac:dyDescent="0.25">
      <c r="A183" s="443"/>
      <c r="B183" s="443"/>
      <c r="C183" s="443"/>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619"/>
      <c r="AA183" s="619"/>
      <c r="AB183" s="619"/>
      <c r="AC183" s="619"/>
      <c r="AD183" s="60"/>
    </row>
    <row r="184" spans="1:30" x14ac:dyDescent="0.25">
      <c r="A184" s="443"/>
      <c r="B184" s="443"/>
      <c r="C184" s="443"/>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619"/>
      <c r="AA184" s="619"/>
      <c r="AB184" s="619"/>
      <c r="AC184" s="619"/>
      <c r="AD184" s="60"/>
    </row>
    <row r="185" spans="1:30" x14ac:dyDescent="0.25">
      <c r="A185" s="443"/>
      <c r="B185" s="443"/>
      <c r="C185" s="443"/>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619"/>
      <c r="AA185" s="619"/>
      <c r="AB185" s="619"/>
      <c r="AC185" s="619"/>
      <c r="AD185" s="60"/>
    </row>
    <row r="186" spans="1:30" x14ac:dyDescent="0.25">
      <c r="A186" s="443"/>
      <c r="B186" s="443"/>
      <c r="C186" s="443"/>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619"/>
      <c r="AA186" s="619"/>
      <c r="AB186" s="619"/>
      <c r="AC186" s="619"/>
      <c r="AD186" s="60"/>
    </row>
    <row r="187" spans="1:30" x14ac:dyDescent="0.25">
      <c r="A187" s="443"/>
      <c r="B187" s="443"/>
      <c r="C187" s="443"/>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619"/>
      <c r="AA187" s="619"/>
      <c r="AB187" s="619"/>
      <c r="AC187" s="619"/>
      <c r="AD187" s="60"/>
    </row>
    <row r="188" spans="1:30" x14ac:dyDescent="0.25">
      <c r="A188" s="443"/>
      <c r="B188" s="443"/>
      <c r="C188" s="443"/>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619"/>
      <c r="AA188" s="619"/>
      <c r="AB188" s="619"/>
      <c r="AC188" s="619"/>
      <c r="AD188" s="60"/>
    </row>
    <row r="189" spans="1:30" x14ac:dyDescent="0.25">
      <c r="A189" s="443"/>
      <c r="B189" s="443"/>
      <c r="C189" s="443"/>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619"/>
      <c r="AA189" s="619"/>
      <c r="AB189" s="619"/>
      <c r="AC189" s="619"/>
      <c r="AD189" s="60"/>
    </row>
    <row r="190" spans="1:30" x14ac:dyDescent="0.25">
      <c r="A190" s="443"/>
      <c r="B190" s="443"/>
      <c r="C190" s="443"/>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619"/>
      <c r="AA190" s="619"/>
      <c r="AB190" s="619"/>
      <c r="AC190" s="619"/>
      <c r="AD190" s="60"/>
    </row>
    <row r="191" spans="1:30" x14ac:dyDescent="0.25">
      <c r="A191" s="443"/>
      <c r="B191" s="443"/>
      <c r="C191" s="443"/>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619"/>
      <c r="AA191" s="619"/>
      <c r="AB191" s="619"/>
      <c r="AC191" s="619"/>
      <c r="AD191" s="60"/>
    </row>
    <row r="192" spans="1:30" x14ac:dyDescent="0.25">
      <c r="A192" s="443"/>
      <c r="B192" s="443"/>
      <c r="C192" s="443"/>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619"/>
      <c r="AA192" s="619"/>
      <c r="AB192" s="619"/>
      <c r="AC192" s="619"/>
      <c r="AD192" s="60"/>
    </row>
    <row r="193" spans="1:30" x14ac:dyDescent="0.25">
      <c r="A193" s="443"/>
      <c r="B193" s="443"/>
      <c r="C193" s="443"/>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619"/>
      <c r="AA193" s="619"/>
      <c r="AB193" s="619"/>
      <c r="AC193" s="619"/>
      <c r="AD193" s="60"/>
    </row>
    <row r="194" spans="1:30" x14ac:dyDescent="0.25">
      <c r="A194" s="443"/>
      <c r="B194" s="443"/>
      <c r="C194" s="443"/>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619"/>
      <c r="AA194" s="619"/>
      <c r="AB194" s="619"/>
      <c r="AC194" s="619"/>
      <c r="AD194" s="60"/>
    </row>
    <row r="195" spans="1:30" x14ac:dyDescent="0.25">
      <c r="A195" s="443"/>
      <c r="B195" s="443"/>
      <c r="C195" s="443"/>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619"/>
      <c r="AA195" s="619"/>
      <c r="AB195" s="619"/>
      <c r="AC195" s="619"/>
      <c r="AD195" s="60"/>
    </row>
    <row r="196" spans="1:30" x14ac:dyDescent="0.25">
      <c r="A196" s="443"/>
      <c r="B196" s="443"/>
      <c r="C196" s="443"/>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619"/>
      <c r="AA196" s="619"/>
      <c r="AB196" s="619"/>
      <c r="AC196" s="619"/>
      <c r="AD196" s="60"/>
    </row>
    <row r="197" spans="1:30" x14ac:dyDescent="0.25">
      <c r="A197" s="443"/>
      <c r="B197" s="443"/>
      <c r="C197" s="443"/>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619"/>
      <c r="AA197" s="619"/>
      <c r="AB197" s="619"/>
      <c r="AC197" s="619"/>
      <c r="AD197" s="60"/>
    </row>
    <row r="198" spans="1:30" x14ac:dyDescent="0.25">
      <c r="A198" s="443"/>
      <c r="B198" s="443"/>
      <c r="C198" s="443"/>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619"/>
      <c r="AA198" s="619"/>
      <c r="AB198" s="619"/>
      <c r="AC198" s="619"/>
      <c r="AD198" s="60"/>
    </row>
    <row r="199" spans="1:30" x14ac:dyDescent="0.25">
      <c r="A199" s="443"/>
      <c r="B199" s="443"/>
      <c r="C199" s="443"/>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619"/>
      <c r="AA199" s="619"/>
      <c r="AB199" s="619"/>
      <c r="AC199" s="619"/>
      <c r="AD199" s="60"/>
    </row>
    <row r="200" spans="1:30" x14ac:dyDescent="0.25">
      <c r="A200" s="443"/>
      <c r="B200" s="443"/>
      <c r="C200" s="443"/>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619"/>
      <c r="AA200" s="619"/>
      <c r="AB200" s="619"/>
      <c r="AC200" s="619"/>
      <c r="AD200" s="60"/>
    </row>
    <row r="201" spans="1:30" x14ac:dyDescent="0.25">
      <c r="A201" s="443"/>
      <c r="B201" s="443"/>
      <c r="C201" s="443"/>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619"/>
      <c r="AA201" s="619"/>
      <c r="AB201" s="619"/>
      <c r="AC201" s="619"/>
      <c r="AD201" s="60"/>
    </row>
    <row r="202" spans="1:30" x14ac:dyDescent="0.25">
      <c r="A202" s="443"/>
      <c r="B202" s="443"/>
      <c r="C202" s="443"/>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619"/>
      <c r="AA202" s="619"/>
      <c r="AB202" s="619"/>
      <c r="AC202" s="619"/>
      <c r="AD202" s="60"/>
    </row>
    <row r="203" spans="1:30" x14ac:dyDescent="0.25">
      <c r="A203" s="443"/>
      <c r="B203" s="443"/>
      <c r="C203" s="443"/>
      <c r="D203" s="330"/>
      <c r="E203" s="330"/>
      <c r="F203" s="330"/>
      <c r="G203" s="330"/>
      <c r="H203" s="330"/>
      <c r="I203" s="330"/>
      <c r="J203" s="330"/>
      <c r="K203" s="330"/>
      <c r="L203" s="330"/>
      <c r="M203" s="330"/>
      <c r="N203" s="330"/>
      <c r="O203" s="330"/>
      <c r="P203" s="330"/>
      <c r="Q203" s="330"/>
      <c r="R203" s="330"/>
      <c r="S203" s="330"/>
      <c r="T203" s="330"/>
      <c r="U203" s="330"/>
      <c r="V203" s="330"/>
      <c r="W203" s="330"/>
      <c r="X203" s="330"/>
      <c r="Y203" s="330"/>
      <c r="Z203" s="619"/>
      <c r="AA203" s="619"/>
      <c r="AB203" s="619"/>
      <c r="AC203" s="619"/>
      <c r="AD203" s="60"/>
    </row>
    <row r="204" spans="1:30" x14ac:dyDescent="0.25">
      <c r="A204" s="443"/>
      <c r="B204" s="443"/>
      <c r="C204" s="443"/>
      <c r="D204" s="330"/>
      <c r="E204" s="330"/>
      <c r="F204" s="330"/>
      <c r="G204" s="330"/>
      <c r="H204" s="330"/>
      <c r="I204" s="330"/>
      <c r="J204" s="330"/>
      <c r="K204" s="330"/>
      <c r="L204" s="330"/>
      <c r="M204" s="330"/>
      <c r="N204" s="330"/>
      <c r="O204" s="330"/>
      <c r="P204" s="330"/>
      <c r="Q204" s="330"/>
      <c r="R204" s="330"/>
      <c r="S204" s="330"/>
      <c r="T204" s="330"/>
      <c r="U204" s="330"/>
      <c r="V204" s="330"/>
      <c r="W204" s="330"/>
      <c r="X204" s="330"/>
      <c r="Y204" s="330"/>
      <c r="Z204" s="619"/>
      <c r="AA204" s="619"/>
      <c r="AB204" s="619"/>
      <c r="AC204" s="619"/>
      <c r="AD204" s="60"/>
    </row>
    <row r="205" spans="1:30" x14ac:dyDescent="0.25">
      <c r="A205" s="443"/>
      <c r="B205" s="443"/>
      <c r="C205" s="443"/>
      <c r="D205" s="330"/>
      <c r="E205" s="330"/>
      <c r="F205" s="330"/>
      <c r="G205" s="330"/>
      <c r="H205" s="330"/>
      <c r="I205" s="330"/>
      <c r="J205" s="330"/>
      <c r="K205" s="330"/>
      <c r="L205" s="330"/>
      <c r="M205" s="330"/>
      <c r="N205" s="330"/>
      <c r="O205" s="330"/>
      <c r="P205" s="330"/>
      <c r="Q205" s="330"/>
      <c r="R205" s="330"/>
      <c r="S205" s="330"/>
      <c r="T205" s="330"/>
      <c r="U205" s="330"/>
      <c r="V205" s="330"/>
      <c r="W205" s="330"/>
      <c r="X205" s="330"/>
      <c r="Y205" s="330"/>
      <c r="Z205" s="619"/>
      <c r="AA205" s="619"/>
      <c r="AB205" s="619"/>
      <c r="AC205" s="619"/>
      <c r="AD205" s="60"/>
    </row>
    <row r="206" spans="1:30" x14ac:dyDescent="0.25">
      <c r="A206" s="443"/>
      <c r="B206" s="443"/>
      <c r="C206" s="443"/>
      <c r="D206" s="330"/>
      <c r="E206" s="330"/>
      <c r="F206" s="330"/>
      <c r="G206" s="330"/>
      <c r="H206" s="330"/>
      <c r="I206" s="330"/>
      <c r="J206" s="330"/>
      <c r="K206" s="330"/>
      <c r="L206" s="330"/>
      <c r="M206" s="330"/>
      <c r="N206" s="330"/>
      <c r="O206" s="330"/>
      <c r="P206" s="330"/>
      <c r="Q206" s="330"/>
      <c r="R206" s="330"/>
      <c r="S206" s="330"/>
      <c r="T206" s="330"/>
      <c r="U206" s="330"/>
      <c r="V206" s="330"/>
      <c r="W206" s="330"/>
      <c r="X206" s="330"/>
      <c r="Y206" s="330"/>
      <c r="Z206" s="619"/>
      <c r="AA206" s="619"/>
      <c r="AB206" s="619"/>
      <c r="AC206" s="619"/>
      <c r="AD206" s="60"/>
    </row>
    <row r="207" spans="1:30" x14ac:dyDescent="0.25">
      <c r="A207" s="443"/>
      <c r="B207" s="443"/>
      <c r="C207" s="443"/>
      <c r="D207" s="330"/>
      <c r="E207" s="330"/>
      <c r="F207" s="330"/>
      <c r="G207" s="330"/>
      <c r="H207" s="330"/>
      <c r="I207" s="330"/>
      <c r="J207" s="330"/>
      <c r="K207" s="330"/>
      <c r="L207" s="330"/>
      <c r="M207" s="330"/>
      <c r="N207" s="330"/>
      <c r="O207" s="330"/>
      <c r="P207" s="330"/>
      <c r="Q207" s="330"/>
      <c r="R207" s="330"/>
      <c r="S207" s="330"/>
      <c r="T207" s="330"/>
      <c r="U207" s="330"/>
      <c r="V207" s="330"/>
      <c r="W207" s="330"/>
      <c r="X207" s="330"/>
      <c r="Y207" s="330"/>
      <c r="Z207" s="619"/>
      <c r="AA207" s="619"/>
      <c r="AB207" s="619"/>
      <c r="AC207" s="619"/>
      <c r="AD207" s="60"/>
    </row>
    <row r="208" spans="1:30" x14ac:dyDescent="0.25">
      <c r="A208" s="443"/>
      <c r="B208" s="443"/>
      <c r="C208" s="443"/>
      <c r="D208" s="330"/>
      <c r="E208" s="330"/>
      <c r="F208" s="330"/>
      <c r="G208" s="330"/>
      <c r="H208" s="330"/>
      <c r="I208" s="330"/>
      <c r="J208" s="330"/>
      <c r="K208" s="330"/>
      <c r="L208" s="330"/>
      <c r="M208" s="330"/>
      <c r="N208" s="330"/>
      <c r="O208" s="330"/>
      <c r="P208" s="330"/>
      <c r="Q208" s="330"/>
      <c r="R208" s="330"/>
      <c r="S208" s="330"/>
      <c r="T208" s="330"/>
      <c r="U208" s="330"/>
      <c r="V208" s="330"/>
      <c r="W208" s="330"/>
      <c r="X208" s="330"/>
      <c r="Y208" s="330"/>
      <c r="Z208" s="619"/>
      <c r="AA208" s="619"/>
      <c r="AB208" s="619"/>
      <c r="AC208" s="619"/>
      <c r="AD208" s="60"/>
    </row>
    <row r="209" spans="1:30" x14ac:dyDescent="0.25">
      <c r="A209" s="443"/>
      <c r="B209" s="443"/>
      <c r="C209" s="443"/>
      <c r="D209" s="330"/>
      <c r="E209" s="330"/>
      <c r="F209" s="330"/>
      <c r="G209" s="330"/>
      <c r="H209" s="330"/>
      <c r="I209" s="330"/>
      <c r="J209" s="330"/>
      <c r="K209" s="330"/>
      <c r="L209" s="330"/>
      <c r="M209" s="330"/>
      <c r="N209" s="330"/>
      <c r="O209" s="330"/>
      <c r="P209" s="330"/>
      <c r="Q209" s="330"/>
      <c r="R209" s="330"/>
      <c r="S209" s="330"/>
      <c r="T209" s="330"/>
      <c r="U209" s="330"/>
      <c r="V209" s="330"/>
      <c r="W209" s="330"/>
      <c r="X209" s="330"/>
      <c r="Y209" s="330"/>
      <c r="Z209" s="619"/>
      <c r="AA209" s="619"/>
      <c r="AB209" s="619"/>
      <c r="AC209" s="619"/>
      <c r="AD209" s="60"/>
    </row>
    <row r="210" spans="1:30" x14ac:dyDescent="0.25">
      <c r="A210" s="443"/>
      <c r="B210" s="443"/>
      <c r="C210" s="443"/>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619"/>
      <c r="AA210" s="619"/>
      <c r="AB210" s="619"/>
      <c r="AC210" s="619"/>
      <c r="AD210" s="60"/>
    </row>
    <row r="211" spans="1:30" x14ac:dyDescent="0.25">
      <c r="A211" s="443"/>
      <c r="B211" s="443"/>
      <c r="C211" s="443"/>
      <c r="D211" s="330"/>
      <c r="E211" s="330"/>
      <c r="F211" s="330"/>
      <c r="G211" s="330"/>
      <c r="H211" s="330"/>
      <c r="I211" s="330"/>
      <c r="J211" s="330"/>
      <c r="K211" s="330"/>
      <c r="L211" s="330"/>
      <c r="M211" s="330"/>
      <c r="N211" s="330"/>
      <c r="O211" s="330"/>
      <c r="P211" s="330"/>
      <c r="Q211" s="330"/>
      <c r="R211" s="330"/>
      <c r="S211" s="330"/>
      <c r="T211" s="330"/>
      <c r="U211" s="330"/>
      <c r="V211" s="330"/>
      <c r="W211" s="330"/>
      <c r="X211" s="330"/>
      <c r="Y211" s="330"/>
      <c r="Z211" s="619"/>
      <c r="AA211" s="619"/>
      <c r="AB211" s="619"/>
      <c r="AC211" s="619"/>
      <c r="AD211" s="60"/>
    </row>
    <row r="212" spans="1:30" x14ac:dyDescent="0.25">
      <c r="A212" s="443"/>
      <c r="B212" s="443"/>
      <c r="C212" s="443"/>
      <c r="D212" s="330"/>
      <c r="E212" s="330"/>
      <c r="F212" s="330"/>
      <c r="G212" s="330"/>
      <c r="H212" s="330"/>
      <c r="I212" s="330"/>
      <c r="J212" s="330"/>
      <c r="K212" s="330"/>
      <c r="L212" s="330"/>
      <c r="M212" s="330"/>
      <c r="N212" s="330"/>
      <c r="O212" s="330"/>
      <c r="P212" s="330"/>
      <c r="Q212" s="330"/>
      <c r="R212" s="330"/>
      <c r="S212" s="330"/>
      <c r="T212" s="330"/>
      <c r="U212" s="330"/>
      <c r="V212" s="330"/>
      <c r="W212" s="330"/>
      <c r="X212" s="330"/>
      <c r="Y212" s="330"/>
      <c r="Z212" s="619"/>
      <c r="AA212" s="619"/>
      <c r="AB212" s="619"/>
      <c r="AC212" s="619"/>
      <c r="AD212" s="60"/>
    </row>
    <row r="213" spans="1:30" x14ac:dyDescent="0.25">
      <c r="A213" s="443"/>
      <c r="B213" s="443"/>
      <c r="C213" s="443"/>
      <c r="D213" s="330"/>
      <c r="E213" s="330"/>
      <c r="F213" s="330"/>
      <c r="G213" s="330"/>
      <c r="H213" s="330"/>
      <c r="I213" s="330"/>
      <c r="J213" s="330"/>
      <c r="K213" s="330"/>
      <c r="L213" s="330"/>
      <c r="M213" s="330"/>
      <c r="N213" s="330"/>
      <c r="O213" s="330"/>
      <c r="P213" s="330"/>
      <c r="Q213" s="330"/>
      <c r="R213" s="330"/>
      <c r="S213" s="330"/>
      <c r="T213" s="330"/>
      <c r="U213" s="330"/>
      <c r="V213" s="330"/>
      <c r="W213" s="330"/>
      <c r="X213" s="330"/>
      <c r="Y213" s="330"/>
      <c r="Z213" s="619"/>
      <c r="AA213" s="619"/>
      <c r="AB213" s="619"/>
      <c r="AC213" s="619"/>
      <c r="AD213" s="60"/>
    </row>
    <row r="214" spans="1:30" x14ac:dyDescent="0.25">
      <c r="A214" s="443"/>
      <c r="B214" s="443"/>
      <c r="C214" s="443"/>
      <c r="D214" s="330"/>
      <c r="E214" s="330"/>
      <c r="F214" s="330"/>
      <c r="G214" s="330"/>
      <c r="H214" s="330"/>
      <c r="I214" s="330"/>
      <c r="J214" s="330"/>
      <c r="K214" s="330"/>
      <c r="L214" s="330"/>
      <c r="M214" s="330"/>
      <c r="N214" s="330"/>
      <c r="O214" s="330"/>
      <c r="P214" s="330"/>
      <c r="Q214" s="330"/>
      <c r="R214" s="330"/>
      <c r="S214" s="330"/>
      <c r="T214" s="330"/>
      <c r="U214" s="330"/>
      <c r="V214" s="330"/>
      <c r="W214" s="330"/>
      <c r="X214" s="330"/>
      <c r="Y214" s="330"/>
      <c r="Z214" s="619"/>
      <c r="AA214" s="619"/>
      <c r="AB214" s="619"/>
      <c r="AC214" s="619"/>
      <c r="AD214" s="60"/>
    </row>
    <row r="215" spans="1:30" x14ac:dyDescent="0.25">
      <c r="A215" s="443"/>
      <c r="B215" s="443"/>
      <c r="C215" s="443"/>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619"/>
      <c r="AA215" s="619"/>
      <c r="AB215" s="619"/>
      <c r="AC215" s="619"/>
      <c r="AD215" s="60"/>
    </row>
    <row r="216" spans="1:30" x14ac:dyDescent="0.25">
      <c r="A216" s="443"/>
      <c r="B216" s="443"/>
      <c r="C216" s="443"/>
      <c r="D216" s="330"/>
      <c r="E216" s="330"/>
      <c r="F216" s="330"/>
      <c r="G216" s="330"/>
      <c r="H216" s="330"/>
      <c r="I216" s="330"/>
      <c r="J216" s="330"/>
      <c r="K216" s="330"/>
      <c r="L216" s="330"/>
      <c r="M216" s="330"/>
      <c r="N216" s="330"/>
      <c r="O216" s="330"/>
      <c r="P216" s="330"/>
      <c r="Q216" s="330"/>
      <c r="R216" s="330"/>
      <c r="S216" s="330"/>
      <c r="T216" s="330"/>
      <c r="U216" s="330"/>
      <c r="V216" s="330"/>
      <c r="W216" s="330"/>
      <c r="X216" s="330"/>
      <c r="Y216" s="330"/>
      <c r="Z216" s="619"/>
      <c r="AA216" s="619"/>
      <c r="AB216" s="619"/>
      <c r="AC216" s="619"/>
      <c r="AD216" s="60"/>
    </row>
    <row r="217" spans="1:30" x14ac:dyDescent="0.25">
      <c r="A217" s="443"/>
      <c r="B217" s="443"/>
      <c r="C217" s="443"/>
      <c r="D217" s="330"/>
      <c r="E217" s="330"/>
      <c r="F217" s="330"/>
      <c r="G217" s="330"/>
      <c r="H217" s="330"/>
      <c r="I217" s="330"/>
      <c r="J217" s="330"/>
      <c r="K217" s="330"/>
      <c r="L217" s="330"/>
      <c r="M217" s="330"/>
      <c r="N217" s="330"/>
      <c r="O217" s="330"/>
      <c r="P217" s="330"/>
      <c r="Q217" s="330"/>
      <c r="R217" s="330"/>
      <c r="S217" s="330"/>
      <c r="T217" s="330"/>
      <c r="U217" s="330"/>
      <c r="V217" s="330"/>
      <c r="W217" s="330"/>
      <c r="X217" s="330"/>
      <c r="Y217" s="330"/>
      <c r="Z217" s="619"/>
      <c r="AA217" s="619"/>
      <c r="AB217" s="619"/>
      <c r="AC217" s="619"/>
      <c r="AD217" s="60"/>
    </row>
    <row r="218" spans="1:30" x14ac:dyDescent="0.25">
      <c r="A218" s="443"/>
      <c r="B218" s="443"/>
      <c r="C218" s="443"/>
      <c r="D218" s="330"/>
      <c r="E218" s="330"/>
      <c r="F218" s="330"/>
      <c r="G218" s="330"/>
      <c r="H218" s="330"/>
      <c r="I218" s="330"/>
      <c r="J218" s="330"/>
      <c r="K218" s="330"/>
      <c r="L218" s="330"/>
      <c r="M218" s="330"/>
      <c r="N218" s="330"/>
      <c r="O218" s="330"/>
      <c r="P218" s="330"/>
      <c r="Q218" s="330"/>
      <c r="R218" s="330"/>
      <c r="S218" s="330"/>
      <c r="T218" s="330"/>
      <c r="U218" s="330"/>
      <c r="V218" s="330"/>
      <c r="W218" s="330"/>
      <c r="X218" s="330"/>
      <c r="Y218" s="330"/>
      <c r="Z218" s="619"/>
      <c r="AA218" s="619"/>
      <c r="AB218" s="619"/>
      <c r="AC218" s="619"/>
      <c r="AD218" s="60"/>
    </row>
    <row r="219" spans="1:30" x14ac:dyDescent="0.25">
      <c r="A219" s="443"/>
      <c r="B219" s="443"/>
      <c r="C219" s="443"/>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619"/>
      <c r="AA219" s="619"/>
      <c r="AB219" s="619"/>
      <c r="AC219" s="619"/>
      <c r="AD219" s="60"/>
    </row>
    <row r="220" spans="1:30" x14ac:dyDescent="0.25">
      <c r="A220" s="443"/>
      <c r="B220" s="443"/>
      <c r="C220" s="443"/>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619"/>
      <c r="AA220" s="619"/>
      <c r="AB220" s="619"/>
      <c r="AC220" s="619"/>
      <c r="AD220" s="60"/>
    </row>
    <row r="221" spans="1:30" x14ac:dyDescent="0.25">
      <c r="A221" s="443"/>
      <c r="B221" s="443"/>
      <c r="C221" s="443"/>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619"/>
      <c r="AA221" s="619"/>
      <c r="AB221" s="619"/>
      <c r="AC221" s="619"/>
      <c r="AD221" s="60"/>
    </row>
    <row r="222" spans="1:30" x14ac:dyDescent="0.25">
      <c r="A222" s="443"/>
      <c r="B222" s="443"/>
      <c r="C222" s="443"/>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619"/>
      <c r="AA222" s="619"/>
      <c r="AB222" s="619"/>
      <c r="AC222" s="619"/>
      <c r="AD222" s="60"/>
    </row>
    <row r="223" spans="1:30" x14ac:dyDescent="0.25">
      <c r="A223" s="443"/>
      <c r="B223" s="443"/>
      <c r="C223" s="443"/>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619"/>
      <c r="AA223" s="619"/>
      <c r="AB223" s="619"/>
      <c r="AC223" s="619"/>
      <c r="AD223" s="60"/>
    </row>
    <row r="224" spans="1:30" x14ac:dyDescent="0.25">
      <c r="A224" s="443"/>
      <c r="B224" s="443"/>
      <c r="C224" s="443"/>
      <c r="D224" s="330"/>
      <c r="E224" s="330"/>
      <c r="F224" s="330"/>
      <c r="G224" s="330"/>
      <c r="H224" s="330"/>
      <c r="I224" s="330"/>
      <c r="J224" s="330"/>
      <c r="K224" s="330"/>
      <c r="L224" s="330"/>
      <c r="M224" s="330"/>
      <c r="N224" s="330"/>
      <c r="O224" s="330"/>
      <c r="P224" s="330"/>
      <c r="Q224" s="330"/>
      <c r="R224" s="330"/>
      <c r="S224" s="330"/>
      <c r="T224" s="330"/>
      <c r="U224" s="330"/>
      <c r="V224" s="330"/>
      <c r="W224" s="330"/>
      <c r="X224" s="330"/>
      <c r="Y224" s="330"/>
      <c r="Z224" s="619"/>
      <c r="AA224" s="619"/>
      <c r="AB224" s="619"/>
      <c r="AC224" s="619"/>
      <c r="AD224" s="60"/>
    </row>
    <row r="225" spans="1:30" x14ac:dyDescent="0.25">
      <c r="A225" s="443"/>
      <c r="B225" s="443"/>
      <c r="C225" s="443"/>
      <c r="D225" s="330"/>
      <c r="E225" s="330"/>
      <c r="F225" s="330"/>
      <c r="G225" s="330"/>
      <c r="H225" s="330"/>
      <c r="I225" s="330"/>
      <c r="J225" s="330"/>
      <c r="K225" s="330"/>
      <c r="L225" s="330"/>
      <c r="M225" s="330"/>
      <c r="N225" s="330"/>
      <c r="O225" s="330"/>
      <c r="P225" s="330"/>
      <c r="Q225" s="330"/>
      <c r="R225" s="330"/>
      <c r="S225" s="330"/>
      <c r="T225" s="330"/>
      <c r="U225" s="330"/>
      <c r="V225" s="330"/>
      <c r="W225" s="330"/>
      <c r="X225" s="330"/>
      <c r="Y225" s="330"/>
      <c r="Z225" s="619"/>
      <c r="AA225" s="619"/>
      <c r="AB225" s="619"/>
      <c r="AC225" s="619"/>
      <c r="AD225" s="60"/>
    </row>
    <row r="226" spans="1:30" x14ac:dyDescent="0.25">
      <c r="A226" s="443"/>
      <c r="B226" s="443"/>
      <c r="C226" s="443"/>
      <c r="D226" s="330"/>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619"/>
      <c r="AA226" s="619"/>
      <c r="AB226" s="619"/>
      <c r="AC226" s="619"/>
      <c r="AD226" s="60"/>
    </row>
    <row r="227" spans="1:30" x14ac:dyDescent="0.25">
      <c r="A227" s="443"/>
      <c r="B227" s="443"/>
      <c r="C227" s="443"/>
      <c r="D227" s="33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619"/>
      <c r="AA227" s="619"/>
      <c r="AB227" s="619"/>
      <c r="AC227" s="619"/>
      <c r="AD227" s="60"/>
    </row>
    <row r="228" spans="1:30" x14ac:dyDescent="0.25">
      <c r="A228" s="443"/>
      <c r="B228" s="443"/>
      <c r="C228" s="443"/>
      <c r="D228" s="330"/>
      <c r="E228" s="330"/>
      <c r="F228" s="330"/>
      <c r="G228" s="330"/>
      <c r="H228" s="330"/>
      <c r="I228" s="330"/>
      <c r="J228" s="330"/>
      <c r="K228" s="330"/>
      <c r="L228" s="330"/>
      <c r="M228" s="330"/>
      <c r="N228" s="330"/>
      <c r="O228" s="330"/>
      <c r="P228" s="330"/>
      <c r="Q228" s="330"/>
      <c r="R228" s="330"/>
      <c r="S228" s="330"/>
      <c r="T228" s="330"/>
      <c r="U228" s="330"/>
      <c r="V228" s="330"/>
      <c r="W228" s="330"/>
      <c r="X228" s="330"/>
      <c r="Y228" s="330"/>
      <c r="Z228" s="619"/>
      <c r="AA228" s="619"/>
      <c r="AB228" s="619"/>
      <c r="AC228" s="619"/>
      <c r="AD228" s="60"/>
    </row>
    <row r="229" spans="1:30" x14ac:dyDescent="0.25">
      <c r="A229" s="443"/>
      <c r="B229" s="443"/>
      <c r="C229" s="443"/>
      <c r="D229" s="330"/>
      <c r="E229" s="330"/>
      <c r="F229" s="330"/>
      <c r="G229" s="330"/>
      <c r="H229" s="330"/>
      <c r="I229" s="330"/>
      <c r="J229" s="330"/>
      <c r="K229" s="330"/>
      <c r="L229" s="330"/>
      <c r="M229" s="330"/>
      <c r="N229" s="330"/>
      <c r="O229" s="330"/>
      <c r="P229" s="330"/>
      <c r="Q229" s="330"/>
      <c r="R229" s="330"/>
      <c r="S229" s="330"/>
      <c r="T229" s="330"/>
      <c r="U229" s="330"/>
      <c r="V229" s="330"/>
      <c r="W229" s="330"/>
      <c r="X229" s="330"/>
      <c r="Y229" s="330"/>
      <c r="Z229" s="619"/>
      <c r="AA229" s="619"/>
      <c r="AB229" s="619"/>
      <c r="AC229" s="619"/>
      <c r="AD229" s="60"/>
    </row>
    <row r="230" spans="1:30" x14ac:dyDescent="0.25">
      <c r="A230" s="443"/>
      <c r="B230" s="443"/>
      <c r="C230" s="443"/>
      <c r="D230" s="330"/>
      <c r="E230" s="330"/>
      <c r="F230" s="330"/>
      <c r="G230" s="330"/>
      <c r="H230" s="330"/>
      <c r="I230" s="330"/>
      <c r="J230" s="330"/>
      <c r="K230" s="330"/>
      <c r="L230" s="330"/>
      <c r="M230" s="330"/>
      <c r="N230" s="330"/>
      <c r="O230" s="330"/>
      <c r="P230" s="330"/>
      <c r="Q230" s="330"/>
      <c r="R230" s="330"/>
      <c r="S230" s="330"/>
      <c r="T230" s="330"/>
      <c r="U230" s="330"/>
      <c r="V230" s="330"/>
      <c r="W230" s="330"/>
      <c r="X230" s="330"/>
      <c r="Y230" s="330"/>
      <c r="Z230" s="619"/>
      <c r="AA230" s="619"/>
      <c r="AB230" s="619"/>
      <c r="AC230" s="619"/>
      <c r="AD230" s="60"/>
    </row>
    <row r="231" spans="1:30" x14ac:dyDescent="0.25">
      <c r="A231" s="443"/>
      <c r="B231" s="443"/>
      <c r="C231" s="443"/>
      <c r="D231" s="330"/>
      <c r="E231" s="330"/>
      <c r="F231" s="330"/>
      <c r="G231" s="330"/>
      <c r="H231" s="330"/>
      <c r="I231" s="330"/>
      <c r="J231" s="330"/>
      <c r="K231" s="330"/>
      <c r="L231" s="330"/>
      <c r="M231" s="330"/>
      <c r="N231" s="330"/>
      <c r="O231" s="330"/>
      <c r="P231" s="330"/>
      <c r="Q231" s="330"/>
      <c r="R231" s="330"/>
      <c r="S231" s="330"/>
      <c r="T231" s="330"/>
      <c r="U231" s="330"/>
      <c r="V231" s="330"/>
      <c r="W231" s="330"/>
      <c r="X231" s="330"/>
      <c r="Y231" s="330"/>
      <c r="Z231" s="619"/>
      <c r="AA231" s="619"/>
      <c r="AB231" s="619"/>
      <c r="AC231" s="619"/>
      <c r="AD231" s="60"/>
    </row>
    <row r="232" spans="1:30" x14ac:dyDescent="0.25">
      <c r="A232" s="443"/>
      <c r="B232" s="443"/>
      <c r="C232" s="443"/>
      <c r="D232" s="330"/>
      <c r="E232" s="330"/>
      <c r="F232" s="330"/>
      <c r="G232" s="330"/>
      <c r="H232" s="330"/>
      <c r="I232" s="330"/>
      <c r="J232" s="330"/>
      <c r="K232" s="330"/>
      <c r="L232" s="330"/>
      <c r="M232" s="330"/>
      <c r="N232" s="330"/>
      <c r="O232" s="330"/>
      <c r="P232" s="330"/>
      <c r="Q232" s="330"/>
      <c r="R232" s="330"/>
      <c r="S232" s="330"/>
      <c r="T232" s="330"/>
      <c r="U232" s="330"/>
      <c r="V232" s="330"/>
      <c r="W232" s="330"/>
      <c r="X232" s="330"/>
      <c r="Y232" s="330"/>
      <c r="Z232" s="619"/>
      <c r="AA232" s="619"/>
      <c r="AB232" s="619"/>
      <c r="AC232" s="619"/>
      <c r="AD232" s="60"/>
    </row>
    <row r="233" spans="1:30" x14ac:dyDescent="0.25">
      <c r="A233" s="443"/>
      <c r="B233" s="443"/>
      <c r="C233" s="443"/>
      <c r="D233" s="330"/>
      <c r="E233" s="330"/>
      <c r="F233" s="330"/>
      <c r="G233" s="330"/>
      <c r="H233" s="330"/>
      <c r="I233" s="330"/>
      <c r="J233" s="330"/>
      <c r="K233" s="330"/>
      <c r="L233" s="330"/>
      <c r="M233" s="330"/>
      <c r="N233" s="330"/>
      <c r="O233" s="330"/>
      <c r="P233" s="330"/>
      <c r="Q233" s="330"/>
      <c r="R233" s="330"/>
      <c r="S233" s="330"/>
      <c r="T233" s="330"/>
      <c r="U233" s="330"/>
      <c r="V233" s="330"/>
      <c r="W233" s="330"/>
      <c r="X233" s="330"/>
      <c r="Y233" s="330"/>
      <c r="Z233" s="619"/>
      <c r="AA233" s="619"/>
      <c r="AB233" s="619"/>
      <c r="AC233" s="619"/>
      <c r="AD233" s="60"/>
    </row>
    <row r="234" spans="1:30" x14ac:dyDescent="0.25">
      <c r="A234" s="443"/>
      <c r="B234" s="443"/>
      <c r="C234" s="443"/>
      <c r="D234" s="330"/>
      <c r="E234" s="330"/>
      <c r="F234" s="330"/>
      <c r="G234" s="330"/>
      <c r="H234" s="330"/>
      <c r="I234" s="330"/>
      <c r="J234" s="330"/>
      <c r="K234" s="330"/>
      <c r="L234" s="330"/>
      <c r="M234" s="330"/>
      <c r="N234" s="330"/>
      <c r="O234" s="330"/>
      <c r="P234" s="330"/>
      <c r="Q234" s="330"/>
      <c r="R234" s="330"/>
      <c r="S234" s="330"/>
      <c r="T234" s="330"/>
      <c r="U234" s="330"/>
      <c r="V234" s="330"/>
      <c r="W234" s="330"/>
      <c r="X234" s="330"/>
      <c r="Y234" s="330"/>
      <c r="Z234" s="619"/>
      <c r="AA234" s="619"/>
      <c r="AB234" s="619"/>
      <c r="AC234" s="619"/>
      <c r="AD234" s="60"/>
    </row>
    <row r="235" spans="1:30" x14ac:dyDescent="0.25">
      <c r="A235" s="443"/>
      <c r="B235" s="443"/>
      <c r="C235" s="443"/>
      <c r="D235" s="330"/>
      <c r="E235" s="330"/>
      <c r="F235" s="330"/>
      <c r="G235" s="330"/>
      <c r="H235" s="330"/>
      <c r="I235" s="330"/>
      <c r="J235" s="330"/>
      <c r="K235" s="330"/>
      <c r="L235" s="330"/>
      <c r="M235" s="330"/>
      <c r="N235" s="330"/>
      <c r="O235" s="330"/>
      <c r="P235" s="330"/>
      <c r="Q235" s="330"/>
      <c r="R235" s="330"/>
      <c r="S235" s="330"/>
      <c r="T235" s="330"/>
      <c r="U235" s="330"/>
      <c r="V235" s="330"/>
      <c r="W235" s="330"/>
      <c r="X235" s="330"/>
      <c r="Y235" s="330"/>
      <c r="Z235" s="619"/>
      <c r="AA235" s="619"/>
      <c r="AB235" s="619"/>
      <c r="AC235" s="619"/>
      <c r="AD235" s="60"/>
    </row>
    <row r="236" spans="1:30" x14ac:dyDescent="0.25">
      <c r="A236" s="443"/>
      <c r="B236" s="443"/>
      <c r="C236" s="443"/>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619"/>
      <c r="AA236" s="619"/>
      <c r="AB236" s="619"/>
      <c r="AC236" s="619"/>
      <c r="AD236" s="60"/>
    </row>
    <row r="237" spans="1:30" x14ac:dyDescent="0.25">
      <c r="A237" s="443"/>
      <c r="B237" s="443"/>
      <c r="C237" s="443"/>
      <c r="D237" s="330"/>
      <c r="E237" s="330"/>
      <c r="F237" s="330"/>
      <c r="G237" s="330"/>
      <c r="H237" s="330"/>
      <c r="I237" s="330"/>
      <c r="J237" s="330"/>
      <c r="K237" s="330"/>
      <c r="L237" s="330"/>
      <c r="M237" s="330"/>
      <c r="N237" s="330"/>
      <c r="O237" s="330"/>
      <c r="P237" s="330"/>
      <c r="Q237" s="330"/>
      <c r="R237" s="330"/>
      <c r="S237" s="330"/>
      <c r="T237" s="330"/>
      <c r="U237" s="330"/>
      <c r="V237" s="330"/>
      <c r="W237" s="330"/>
      <c r="X237" s="330"/>
      <c r="Y237" s="330"/>
      <c r="Z237" s="619"/>
      <c r="AA237" s="619"/>
      <c r="AB237" s="619"/>
      <c r="AC237" s="619"/>
      <c r="AD237" s="60"/>
    </row>
    <row r="238" spans="1:30" x14ac:dyDescent="0.25">
      <c r="A238" s="443"/>
      <c r="B238" s="443"/>
      <c r="C238" s="443"/>
      <c r="D238" s="330"/>
      <c r="E238" s="330"/>
      <c r="F238" s="330"/>
      <c r="G238" s="330"/>
      <c r="H238" s="330"/>
      <c r="I238" s="330"/>
      <c r="J238" s="330"/>
      <c r="K238" s="330"/>
      <c r="L238" s="330"/>
      <c r="M238" s="330"/>
      <c r="N238" s="330"/>
      <c r="O238" s="330"/>
      <c r="P238" s="330"/>
      <c r="Q238" s="330"/>
      <c r="R238" s="330"/>
      <c r="S238" s="330"/>
      <c r="T238" s="330"/>
      <c r="U238" s="330"/>
      <c r="V238" s="330"/>
      <c r="W238" s="330"/>
      <c r="X238" s="330"/>
      <c r="Y238" s="330"/>
      <c r="Z238" s="619"/>
      <c r="AA238" s="619"/>
      <c r="AB238" s="619"/>
      <c r="AC238" s="619"/>
      <c r="AD238" s="60"/>
    </row>
    <row r="239" spans="1:30" x14ac:dyDescent="0.25">
      <c r="A239" s="443"/>
      <c r="B239" s="443"/>
      <c r="C239" s="443"/>
      <c r="D239" s="330"/>
      <c r="E239" s="330"/>
      <c r="F239" s="330"/>
      <c r="G239" s="330"/>
      <c r="H239" s="330"/>
      <c r="I239" s="330"/>
      <c r="J239" s="330"/>
      <c r="K239" s="330"/>
      <c r="L239" s="330"/>
      <c r="M239" s="330"/>
      <c r="N239" s="330"/>
      <c r="O239" s="330"/>
      <c r="P239" s="330"/>
      <c r="Q239" s="330"/>
      <c r="R239" s="330"/>
      <c r="S239" s="330"/>
      <c r="T239" s="330"/>
      <c r="U239" s="330"/>
      <c r="V239" s="330"/>
      <c r="W239" s="330"/>
      <c r="X239" s="330"/>
      <c r="Y239" s="330"/>
      <c r="Z239" s="619"/>
      <c r="AA239" s="619"/>
      <c r="AB239" s="619"/>
      <c r="AC239" s="619"/>
      <c r="AD239" s="60"/>
    </row>
    <row r="240" spans="1:30" x14ac:dyDescent="0.25">
      <c r="A240" s="443"/>
      <c r="B240" s="443"/>
      <c r="C240" s="443"/>
      <c r="D240" s="330"/>
      <c r="E240" s="330"/>
      <c r="F240" s="330"/>
      <c r="G240" s="330"/>
      <c r="H240" s="330"/>
      <c r="I240" s="330"/>
      <c r="J240" s="330"/>
      <c r="K240" s="330"/>
      <c r="L240" s="330"/>
      <c r="M240" s="330"/>
      <c r="N240" s="330"/>
      <c r="O240" s="330"/>
      <c r="P240" s="330"/>
      <c r="Q240" s="330"/>
      <c r="R240" s="330"/>
      <c r="S240" s="330"/>
      <c r="T240" s="330"/>
      <c r="U240" s="330"/>
      <c r="V240" s="330"/>
      <c r="W240" s="330"/>
      <c r="X240" s="330"/>
      <c r="Y240" s="330"/>
      <c r="Z240" s="619"/>
      <c r="AA240" s="619"/>
      <c r="AB240" s="619"/>
      <c r="AC240" s="619"/>
      <c r="AD240" s="60"/>
    </row>
    <row r="241" spans="1:30" x14ac:dyDescent="0.25">
      <c r="A241" s="443"/>
      <c r="B241" s="443"/>
      <c r="C241" s="443"/>
      <c r="D241" s="330"/>
      <c r="E241" s="330"/>
      <c r="F241" s="330"/>
      <c r="G241" s="330"/>
      <c r="H241" s="330"/>
      <c r="I241" s="330"/>
      <c r="J241" s="330"/>
      <c r="K241" s="330"/>
      <c r="L241" s="330"/>
      <c r="M241" s="330"/>
      <c r="N241" s="330"/>
      <c r="O241" s="330"/>
      <c r="P241" s="330"/>
      <c r="Q241" s="330"/>
      <c r="R241" s="330"/>
      <c r="S241" s="330"/>
      <c r="T241" s="330"/>
      <c r="U241" s="330"/>
      <c r="V241" s="330"/>
      <c r="W241" s="330"/>
      <c r="X241" s="330"/>
      <c r="Y241" s="330"/>
      <c r="Z241" s="619"/>
      <c r="AA241" s="619"/>
      <c r="AB241" s="619"/>
      <c r="AC241" s="619"/>
      <c r="AD241" s="60"/>
    </row>
    <row r="242" spans="1:30" x14ac:dyDescent="0.25">
      <c r="A242" s="443"/>
      <c r="B242" s="443"/>
      <c r="C242" s="443"/>
      <c r="D242" s="330"/>
      <c r="E242" s="330"/>
      <c r="F242" s="330"/>
      <c r="G242" s="330"/>
      <c r="H242" s="330"/>
      <c r="I242" s="330"/>
      <c r="J242" s="330"/>
      <c r="K242" s="330"/>
      <c r="L242" s="330"/>
      <c r="M242" s="330"/>
      <c r="N242" s="330"/>
      <c r="O242" s="330"/>
      <c r="P242" s="330"/>
      <c r="Q242" s="330"/>
      <c r="R242" s="330"/>
      <c r="S242" s="330"/>
      <c r="T242" s="330"/>
      <c r="U242" s="330"/>
      <c r="V242" s="330"/>
      <c r="W242" s="330"/>
      <c r="X242" s="330"/>
      <c r="Y242" s="330"/>
      <c r="Z242" s="619"/>
      <c r="AA242" s="619"/>
      <c r="AB242" s="619"/>
      <c r="AC242" s="619"/>
      <c r="AD242" s="60"/>
    </row>
    <row r="243" spans="1:30" x14ac:dyDescent="0.25">
      <c r="A243" s="443"/>
      <c r="B243" s="443"/>
      <c r="C243" s="443"/>
      <c r="D243" s="330"/>
      <c r="E243" s="330"/>
      <c r="F243" s="330"/>
      <c r="G243" s="330"/>
      <c r="H243" s="330"/>
      <c r="I243" s="330"/>
      <c r="J243" s="330"/>
      <c r="K243" s="330"/>
      <c r="L243" s="330"/>
      <c r="M243" s="330"/>
      <c r="N243" s="330"/>
      <c r="O243" s="330"/>
      <c r="P243" s="330"/>
      <c r="Q243" s="330"/>
      <c r="R243" s="330"/>
      <c r="S243" s="330"/>
      <c r="T243" s="330"/>
      <c r="U243" s="330"/>
      <c r="V243" s="330"/>
      <c r="W243" s="330"/>
      <c r="X243" s="330"/>
      <c r="Y243" s="330"/>
      <c r="Z243" s="619"/>
      <c r="AA243" s="619"/>
      <c r="AB243" s="619"/>
      <c r="AC243" s="619"/>
      <c r="AD243" s="60"/>
    </row>
    <row r="244" spans="1:30" x14ac:dyDescent="0.25">
      <c r="A244" s="443"/>
      <c r="B244" s="443"/>
      <c r="C244" s="443"/>
      <c r="D244" s="330"/>
      <c r="E244" s="330"/>
      <c r="F244" s="330"/>
      <c r="G244" s="330"/>
      <c r="H244" s="330"/>
      <c r="I244" s="330"/>
      <c r="J244" s="330"/>
      <c r="K244" s="330"/>
      <c r="L244" s="330"/>
      <c r="M244" s="330"/>
      <c r="N244" s="330"/>
      <c r="O244" s="330"/>
      <c r="P244" s="330"/>
      <c r="Q244" s="330"/>
      <c r="R244" s="330"/>
      <c r="S244" s="330"/>
      <c r="T244" s="330"/>
      <c r="U244" s="330"/>
      <c r="V244" s="330"/>
      <c r="W244" s="330"/>
      <c r="X244" s="330"/>
      <c r="Y244" s="330"/>
      <c r="Z244" s="619"/>
      <c r="AA244" s="619"/>
      <c r="AB244" s="619"/>
      <c r="AC244" s="619"/>
      <c r="AD244" s="60"/>
    </row>
    <row r="245" spans="1:30" x14ac:dyDescent="0.25">
      <c r="A245" s="443"/>
      <c r="B245" s="443"/>
      <c r="C245" s="443"/>
      <c r="D245" s="330"/>
      <c r="E245" s="330"/>
      <c r="F245" s="330"/>
      <c r="G245" s="330"/>
      <c r="H245" s="330"/>
      <c r="I245" s="330"/>
      <c r="J245" s="330"/>
      <c r="K245" s="330"/>
      <c r="L245" s="330"/>
      <c r="M245" s="330"/>
      <c r="N245" s="330"/>
      <c r="O245" s="330"/>
      <c r="P245" s="330"/>
      <c r="Q245" s="330"/>
      <c r="R245" s="330"/>
      <c r="S245" s="330"/>
      <c r="T245" s="330"/>
      <c r="U245" s="330"/>
      <c r="V245" s="330"/>
      <c r="W245" s="330"/>
      <c r="X245" s="330"/>
      <c r="Y245" s="330"/>
      <c r="Z245" s="619"/>
      <c r="AA245" s="619"/>
      <c r="AB245" s="619"/>
      <c r="AC245" s="619"/>
      <c r="AD245" s="60"/>
    </row>
    <row r="246" spans="1:30" x14ac:dyDescent="0.25">
      <c r="A246" s="443"/>
      <c r="B246" s="443"/>
      <c r="C246" s="443"/>
      <c r="D246" s="330"/>
      <c r="E246" s="330"/>
      <c r="F246" s="330"/>
      <c r="G246" s="330"/>
      <c r="H246" s="330"/>
      <c r="I246" s="330"/>
      <c r="J246" s="330"/>
      <c r="K246" s="330"/>
      <c r="L246" s="330"/>
      <c r="M246" s="330"/>
      <c r="N246" s="330"/>
      <c r="O246" s="330"/>
      <c r="P246" s="330"/>
      <c r="Q246" s="330"/>
      <c r="R246" s="330"/>
      <c r="S246" s="330"/>
      <c r="T246" s="330"/>
      <c r="U246" s="330"/>
      <c r="V246" s="330"/>
      <c r="W246" s="330"/>
      <c r="X246" s="330"/>
      <c r="Y246" s="330"/>
      <c r="Z246" s="619"/>
      <c r="AA246" s="619"/>
      <c r="AB246" s="619"/>
      <c r="AC246" s="619"/>
      <c r="AD246" s="60"/>
    </row>
    <row r="247" spans="1:30" x14ac:dyDescent="0.25">
      <c r="A247" s="443"/>
      <c r="B247" s="443"/>
      <c r="C247" s="443"/>
      <c r="D247" s="330"/>
      <c r="E247" s="330"/>
      <c r="F247" s="330"/>
      <c r="G247" s="330"/>
      <c r="H247" s="330"/>
      <c r="I247" s="330"/>
      <c r="J247" s="330"/>
      <c r="K247" s="330"/>
      <c r="L247" s="330"/>
      <c r="M247" s="330"/>
      <c r="N247" s="330"/>
      <c r="O247" s="330"/>
      <c r="P247" s="330"/>
      <c r="Q247" s="330"/>
      <c r="R247" s="330"/>
      <c r="S247" s="330"/>
      <c r="T247" s="330"/>
      <c r="U247" s="330"/>
      <c r="V247" s="330"/>
      <c r="W247" s="330"/>
      <c r="X247" s="330"/>
      <c r="Y247" s="330"/>
      <c r="Z247" s="619"/>
      <c r="AA247" s="619"/>
      <c r="AB247" s="619"/>
      <c r="AC247" s="619"/>
      <c r="AD247" s="60"/>
    </row>
    <row r="248" spans="1:30" x14ac:dyDescent="0.25">
      <c r="A248" s="443"/>
      <c r="B248" s="443"/>
      <c r="C248" s="443"/>
      <c r="D248" s="330"/>
      <c r="E248" s="330"/>
      <c r="F248" s="330"/>
      <c r="G248" s="330"/>
      <c r="H248" s="330"/>
      <c r="I248" s="330"/>
      <c r="J248" s="330"/>
      <c r="K248" s="330"/>
      <c r="L248" s="330"/>
      <c r="M248" s="330"/>
      <c r="N248" s="330"/>
      <c r="O248" s="330"/>
      <c r="P248" s="330"/>
      <c r="Q248" s="330"/>
      <c r="R248" s="330"/>
      <c r="S248" s="330"/>
      <c r="T248" s="330"/>
      <c r="U248" s="330"/>
      <c r="V248" s="330"/>
      <c r="W248" s="330"/>
      <c r="X248" s="330"/>
      <c r="Y248" s="330"/>
      <c r="Z248" s="619"/>
      <c r="AA248" s="619"/>
      <c r="AB248" s="619"/>
      <c r="AC248" s="619"/>
      <c r="AD248" s="60"/>
    </row>
    <row r="249" spans="1:30" x14ac:dyDescent="0.25">
      <c r="A249" s="443"/>
      <c r="B249" s="443"/>
      <c r="C249" s="443"/>
      <c r="D249" s="330"/>
      <c r="E249" s="330"/>
      <c r="F249" s="330"/>
      <c r="G249" s="330"/>
      <c r="H249" s="330"/>
      <c r="I249" s="330"/>
      <c r="J249" s="330"/>
      <c r="K249" s="330"/>
      <c r="L249" s="330"/>
      <c r="M249" s="330"/>
      <c r="N249" s="330"/>
      <c r="O249" s="330"/>
      <c r="P249" s="330"/>
      <c r="Q249" s="330"/>
      <c r="R249" s="330"/>
      <c r="S249" s="330"/>
      <c r="T249" s="330"/>
      <c r="U249" s="330"/>
      <c r="V249" s="330"/>
      <c r="W249" s="330"/>
      <c r="X249" s="330"/>
      <c r="Y249" s="330"/>
      <c r="Z249" s="619"/>
      <c r="AA249" s="619"/>
      <c r="AB249" s="619"/>
      <c r="AC249" s="619"/>
      <c r="AD249" s="60"/>
    </row>
    <row r="250" spans="1:30" x14ac:dyDescent="0.25">
      <c r="A250" s="443"/>
      <c r="B250" s="443"/>
      <c r="C250" s="443"/>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619"/>
      <c r="AA250" s="619"/>
      <c r="AB250" s="619"/>
      <c r="AC250" s="619"/>
      <c r="AD250" s="60"/>
    </row>
    <row r="251" spans="1:30" x14ac:dyDescent="0.25">
      <c r="A251" s="443"/>
      <c r="B251" s="443"/>
      <c r="C251" s="443"/>
      <c r="D251" s="330"/>
      <c r="E251" s="330"/>
      <c r="F251" s="330"/>
      <c r="G251" s="330"/>
      <c r="H251" s="330"/>
      <c r="I251" s="330"/>
      <c r="J251" s="330"/>
      <c r="K251" s="330"/>
      <c r="L251" s="330"/>
      <c r="M251" s="330"/>
      <c r="N251" s="330"/>
      <c r="O251" s="330"/>
      <c r="P251" s="330"/>
      <c r="Q251" s="330"/>
      <c r="R251" s="330"/>
      <c r="S251" s="330"/>
      <c r="T251" s="330"/>
      <c r="U251" s="330"/>
      <c r="V251" s="330"/>
      <c r="W251" s="330"/>
      <c r="X251" s="330"/>
      <c r="Y251" s="330"/>
      <c r="Z251" s="619"/>
      <c r="AA251" s="619"/>
      <c r="AB251" s="619"/>
      <c r="AC251" s="619"/>
      <c r="AD251" s="60"/>
    </row>
    <row r="252" spans="1:30" x14ac:dyDescent="0.25">
      <c r="A252" s="443"/>
      <c r="B252" s="443"/>
      <c r="C252" s="443"/>
      <c r="D252" s="330"/>
      <c r="E252" s="330"/>
      <c r="F252" s="330"/>
      <c r="G252" s="330"/>
      <c r="H252" s="330"/>
      <c r="I252" s="330"/>
      <c r="J252" s="330"/>
      <c r="K252" s="330"/>
      <c r="L252" s="330"/>
      <c r="M252" s="330"/>
      <c r="N252" s="330"/>
      <c r="O252" s="330"/>
      <c r="P252" s="330"/>
      <c r="Q252" s="330"/>
      <c r="R252" s="330"/>
      <c r="S252" s="330"/>
      <c r="T252" s="330"/>
      <c r="U252" s="330"/>
      <c r="V252" s="330"/>
      <c r="W252" s="330"/>
      <c r="X252" s="330"/>
      <c r="Y252" s="330"/>
      <c r="Z252" s="619"/>
      <c r="AA252" s="619"/>
      <c r="AB252" s="619"/>
      <c r="AC252" s="619"/>
      <c r="AD252" s="60"/>
    </row>
    <row r="253" spans="1:30" x14ac:dyDescent="0.25">
      <c r="A253" s="443"/>
      <c r="B253" s="443"/>
      <c r="C253" s="443"/>
      <c r="D253" s="330"/>
      <c r="E253" s="330"/>
      <c r="F253" s="330"/>
      <c r="G253" s="330"/>
      <c r="H253" s="330"/>
      <c r="I253" s="330"/>
      <c r="J253" s="330"/>
      <c r="K253" s="330"/>
      <c r="L253" s="330"/>
      <c r="M253" s="330"/>
      <c r="N253" s="330"/>
      <c r="O253" s="330"/>
      <c r="P253" s="330"/>
      <c r="Q253" s="330"/>
      <c r="R253" s="330"/>
      <c r="S253" s="330"/>
      <c r="T253" s="330"/>
      <c r="U253" s="330"/>
      <c r="V253" s="330"/>
      <c r="W253" s="330"/>
      <c r="X253" s="330"/>
      <c r="Y253" s="330"/>
      <c r="Z253" s="619"/>
      <c r="AA253" s="619"/>
      <c r="AB253" s="619"/>
      <c r="AC253" s="619"/>
      <c r="AD253" s="60"/>
    </row>
    <row r="254" spans="1:30" x14ac:dyDescent="0.25">
      <c r="A254" s="443"/>
      <c r="B254" s="443"/>
      <c r="C254" s="443"/>
      <c r="D254" s="330"/>
      <c r="E254" s="330"/>
      <c r="F254" s="330"/>
      <c r="G254" s="330"/>
      <c r="H254" s="330"/>
      <c r="I254" s="330"/>
      <c r="J254" s="330"/>
      <c r="K254" s="330"/>
      <c r="L254" s="330"/>
      <c r="M254" s="330"/>
      <c r="N254" s="330"/>
      <c r="O254" s="330"/>
      <c r="P254" s="330"/>
      <c r="Q254" s="330"/>
      <c r="R254" s="330"/>
      <c r="S254" s="330"/>
      <c r="T254" s="330"/>
      <c r="U254" s="330"/>
      <c r="V254" s="330"/>
      <c r="W254" s="330"/>
      <c r="X254" s="330"/>
      <c r="Y254" s="330"/>
      <c r="Z254" s="619"/>
      <c r="AA254" s="619"/>
      <c r="AB254" s="619"/>
      <c r="AC254" s="619"/>
      <c r="AD254" s="60"/>
    </row>
    <row r="255" spans="1:30" x14ac:dyDescent="0.25">
      <c r="A255" s="443"/>
      <c r="B255" s="443"/>
      <c r="C255" s="443"/>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619"/>
      <c r="AA255" s="619"/>
      <c r="AB255" s="619"/>
      <c r="AC255" s="619"/>
      <c r="AD255" s="60"/>
    </row>
    <row r="256" spans="1:30" x14ac:dyDescent="0.25">
      <c r="A256" s="443"/>
      <c r="B256" s="443"/>
      <c r="C256" s="443"/>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c r="Z256" s="619"/>
      <c r="AA256" s="619"/>
      <c r="AB256" s="619"/>
      <c r="AC256" s="619"/>
      <c r="AD256" s="60"/>
    </row>
    <row r="257" spans="1:30" x14ac:dyDescent="0.25">
      <c r="A257" s="443"/>
      <c r="B257" s="443"/>
      <c r="C257" s="443"/>
      <c r="D257" s="330"/>
      <c r="E257" s="330"/>
      <c r="F257" s="330"/>
      <c r="G257" s="330"/>
      <c r="H257" s="330"/>
      <c r="I257" s="330"/>
      <c r="J257" s="330"/>
      <c r="K257" s="330"/>
      <c r="L257" s="330"/>
      <c r="M257" s="330"/>
      <c r="N257" s="330"/>
      <c r="O257" s="330"/>
      <c r="P257" s="330"/>
      <c r="Q257" s="330"/>
      <c r="R257" s="330"/>
      <c r="S257" s="330"/>
      <c r="T257" s="330"/>
      <c r="U257" s="330"/>
      <c r="V257" s="330"/>
      <c r="W257" s="330"/>
      <c r="X257" s="330"/>
      <c r="Y257" s="330"/>
      <c r="Z257" s="619"/>
      <c r="AA257" s="619"/>
      <c r="AB257" s="619"/>
      <c r="AC257" s="619"/>
      <c r="AD257" s="60"/>
    </row>
    <row r="258" spans="1:30" x14ac:dyDescent="0.25">
      <c r="A258" s="443"/>
      <c r="B258" s="443"/>
      <c r="C258" s="443"/>
      <c r="D258" s="330"/>
      <c r="E258" s="330"/>
      <c r="F258" s="330"/>
      <c r="G258" s="330"/>
      <c r="H258" s="330"/>
      <c r="I258" s="330"/>
      <c r="J258" s="330"/>
      <c r="K258" s="330"/>
      <c r="L258" s="330"/>
      <c r="M258" s="330"/>
      <c r="N258" s="330"/>
      <c r="O258" s="330"/>
      <c r="P258" s="330"/>
      <c r="Q258" s="330"/>
      <c r="R258" s="330"/>
      <c r="S258" s="330"/>
      <c r="T258" s="330"/>
      <c r="U258" s="330"/>
      <c r="V258" s="330"/>
      <c r="W258" s="330"/>
      <c r="X258" s="330"/>
      <c r="Y258" s="330"/>
      <c r="Z258" s="619"/>
      <c r="AA258" s="619"/>
      <c r="AB258" s="619"/>
      <c r="AC258" s="619"/>
      <c r="AD258" s="60"/>
    </row>
    <row r="259" spans="1:30" x14ac:dyDescent="0.25">
      <c r="A259" s="443"/>
      <c r="B259" s="443"/>
      <c r="C259" s="443"/>
      <c r="D259" s="330"/>
      <c r="E259" s="330"/>
      <c r="F259" s="330"/>
      <c r="G259" s="330"/>
      <c r="H259" s="330"/>
      <c r="I259" s="330"/>
      <c r="J259" s="330"/>
      <c r="K259" s="330"/>
      <c r="L259" s="330"/>
      <c r="M259" s="330"/>
      <c r="N259" s="330"/>
      <c r="O259" s="330"/>
      <c r="P259" s="330"/>
      <c r="Q259" s="330"/>
      <c r="R259" s="330"/>
      <c r="S259" s="330"/>
      <c r="T259" s="330"/>
      <c r="U259" s="330"/>
      <c r="V259" s="330"/>
      <c r="W259" s="330"/>
      <c r="X259" s="330"/>
      <c r="Y259" s="330"/>
      <c r="Z259" s="619"/>
      <c r="AA259" s="619"/>
      <c r="AB259" s="619"/>
      <c r="AC259" s="619"/>
      <c r="AD259" s="60"/>
    </row>
    <row r="260" spans="1:30" x14ac:dyDescent="0.25">
      <c r="A260" s="443"/>
      <c r="B260" s="443"/>
      <c r="C260" s="443"/>
      <c r="D260" s="330"/>
      <c r="E260" s="330"/>
      <c r="F260" s="330"/>
      <c r="G260" s="330"/>
      <c r="H260" s="330"/>
      <c r="I260" s="330"/>
      <c r="J260" s="330"/>
      <c r="K260" s="330"/>
      <c r="L260" s="330"/>
      <c r="M260" s="330"/>
      <c r="N260" s="330"/>
      <c r="O260" s="330"/>
      <c r="P260" s="330"/>
      <c r="Q260" s="330"/>
      <c r="R260" s="330"/>
      <c r="S260" s="330"/>
      <c r="T260" s="330"/>
      <c r="U260" s="330"/>
      <c r="V260" s="330"/>
      <c r="W260" s="330"/>
      <c r="X260" s="330"/>
      <c r="Y260" s="330"/>
      <c r="Z260" s="619"/>
      <c r="AA260" s="619"/>
      <c r="AB260" s="619"/>
      <c r="AC260" s="619"/>
      <c r="AD260" s="60"/>
    </row>
    <row r="261" spans="1:30" x14ac:dyDescent="0.25">
      <c r="A261" s="443"/>
      <c r="B261" s="443"/>
      <c r="C261" s="443"/>
      <c r="D261" s="330"/>
      <c r="E261" s="330"/>
      <c r="F261" s="330"/>
      <c r="G261" s="330"/>
      <c r="H261" s="330"/>
      <c r="I261" s="330"/>
      <c r="J261" s="330"/>
      <c r="K261" s="330"/>
      <c r="L261" s="330"/>
      <c r="M261" s="330"/>
      <c r="N261" s="330"/>
      <c r="O261" s="330"/>
      <c r="P261" s="330"/>
      <c r="Q261" s="330"/>
      <c r="R261" s="330"/>
      <c r="S261" s="330"/>
      <c r="T261" s="330"/>
      <c r="U261" s="330"/>
      <c r="V261" s="330"/>
      <c r="W261" s="330"/>
      <c r="X261" s="330"/>
      <c r="Y261" s="330"/>
      <c r="Z261" s="619"/>
      <c r="AA261" s="619"/>
      <c r="AB261" s="619"/>
      <c r="AC261" s="619"/>
      <c r="AD261" s="60"/>
    </row>
    <row r="262" spans="1:30" x14ac:dyDescent="0.25">
      <c r="A262" s="443"/>
      <c r="B262" s="443"/>
      <c r="C262" s="443"/>
      <c r="D262" s="330"/>
      <c r="E262" s="330"/>
      <c r="F262" s="330"/>
      <c r="G262" s="330"/>
      <c r="H262" s="330"/>
      <c r="I262" s="330"/>
      <c r="J262" s="330"/>
      <c r="K262" s="330"/>
      <c r="L262" s="330"/>
      <c r="M262" s="330"/>
      <c r="N262" s="330"/>
      <c r="O262" s="330"/>
      <c r="P262" s="330"/>
      <c r="Q262" s="330"/>
      <c r="R262" s="330"/>
      <c r="S262" s="330"/>
      <c r="T262" s="330"/>
      <c r="U262" s="330"/>
      <c r="V262" s="330"/>
      <c r="W262" s="330"/>
      <c r="X262" s="330"/>
      <c r="Y262" s="330"/>
      <c r="Z262" s="619"/>
      <c r="AA262" s="619"/>
      <c r="AB262" s="619"/>
      <c r="AC262" s="619"/>
      <c r="AD262" s="60"/>
    </row>
    <row r="263" spans="1:30" x14ac:dyDescent="0.25">
      <c r="A263" s="443"/>
      <c r="B263" s="443"/>
      <c r="C263" s="443"/>
      <c r="D263" s="330"/>
      <c r="E263" s="330"/>
      <c r="F263" s="330"/>
      <c r="G263" s="330"/>
      <c r="H263" s="330"/>
      <c r="I263" s="330"/>
      <c r="J263" s="330"/>
      <c r="K263" s="330"/>
      <c r="L263" s="330"/>
      <c r="M263" s="330"/>
      <c r="N263" s="330"/>
      <c r="O263" s="330"/>
      <c r="P263" s="330"/>
      <c r="Q263" s="330"/>
      <c r="R263" s="330"/>
      <c r="S263" s="330"/>
      <c r="T263" s="330"/>
      <c r="U263" s="330"/>
      <c r="V263" s="330"/>
      <c r="W263" s="330"/>
      <c r="X263" s="330"/>
      <c r="Y263" s="330"/>
      <c r="Z263" s="619"/>
      <c r="AA263" s="619"/>
      <c r="AB263" s="619"/>
      <c r="AC263" s="619"/>
      <c r="AD263" s="60"/>
    </row>
    <row r="264" spans="1:30" x14ac:dyDescent="0.25">
      <c r="A264" s="443"/>
      <c r="B264" s="443"/>
      <c r="C264" s="443"/>
      <c r="D264" s="330"/>
      <c r="E264" s="330"/>
      <c r="F264" s="330"/>
      <c r="G264" s="330"/>
      <c r="H264" s="330"/>
      <c r="I264" s="330"/>
      <c r="J264" s="330"/>
      <c r="K264" s="330"/>
      <c r="L264" s="330"/>
      <c r="M264" s="330"/>
      <c r="N264" s="330"/>
      <c r="O264" s="330"/>
      <c r="P264" s="330"/>
      <c r="Q264" s="330"/>
      <c r="R264" s="330"/>
      <c r="S264" s="330"/>
      <c r="T264" s="330"/>
      <c r="U264" s="330"/>
      <c r="V264" s="330"/>
      <c r="W264" s="330"/>
      <c r="X264" s="330"/>
      <c r="Y264" s="330"/>
      <c r="Z264" s="619"/>
      <c r="AA264" s="619"/>
      <c r="AB264" s="619"/>
      <c r="AC264" s="619"/>
      <c r="AD264" s="60"/>
    </row>
    <row r="265" spans="1:30" x14ac:dyDescent="0.25">
      <c r="A265" s="443"/>
      <c r="B265" s="443"/>
      <c r="C265" s="443"/>
      <c r="D265" s="330"/>
      <c r="E265" s="330"/>
      <c r="F265" s="330"/>
      <c r="G265" s="330"/>
      <c r="H265" s="330"/>
      <c r="I265" s="330"/>
      <c r="J265" s="330"/>
      <c r="K265" s="330"/>
      <c r="L265" s="330"/>
      <c r="M265" s="330"/>
      <c r="N265" s="330"/>
      <c r="O265" s="330"/>
      <c r="P265" s="330"/>
      <c r="Q265" s="330"/>
      <c r="R265" s="330"/>
      <c r="S265" s="330"/>
      <c r="T265" s="330"/>
      <c r="U265" s="330"/>
      <c r="V265" s="330"/>
      <c r="W265" s="330"/>
      <c r="X265" s="330"/>
      <c r="Y265" s="330"/>
      <c r="Z265" s="619"/>
      <c r="AA265" s="619"/>
      <c r="AB265" s="619"/>
      <c r="AC265" s="619"/>
      <c r="AD265" s="60"/>
    </row>
    <row r="266" spans="1:30" x14ac:dyDescent="0.25">
      <c r="A266" s="443"/>
      <c r="B266" s="443"/>
      <c r="C266" s="443"/>
      <c r="D266" s="330"/>
      <c r="E266" s="330"/>
      <c r="F266" s="330"/>
      <c r="G266" s="330"/>
      <c r="H266" s="330"/>
      <c r="I266" s="330"/>
      <c r="J266" s="330"/>
      <c r="K266" s="330"/>
      <c r="L266" s="330"/>
      <c r="M266" s="330"/>
      <c r="N266" s="330"/>
      <c r="O266" s="330"/>
      <c r="P266" s="330"/>
      <c r="Q266" s="330"/>
      <c r="R266" s="330"/>
      <c r="S266" s="330"/>
      <c r="T266" s="330"/>
      <c r="U266" s="330"/>
      <c r="V266" s="330"/>
      <c r="W266" s="330"/>
      <c r="X266" s="330"/>
      <c r="Y266" s="330"/>
      <c r="Z266" s="619"/>
      <c r="AA266" s="619"/>
      <c r="AB266" s="619"/>
      <c r="AC266" s="619"/>
      <c r="AD266" s="60"/>
    </row>
    <row r="267" spans="1:30" x14ac:dyDescent="0.25">
      <c r="A267" s="443"/>
      <c r="B267" s="443"/>
      <c r="C267" s="443"/>
      <c r="D267" s="330"/>
      <c r="E267" s="330"/>
      <c r="F267" s="330"/>
      <c r="G267" s="330"/>
      <c r="H267" s="330"/>
      <c r="I267" s="330"/>
      <c r="J267" s="330"/>
      <c r="K267" s="330"/>
      <c r="L267" s="330"/>
      <c r="M267" s="330"/>
      <c r="N267" s="330"/>
      <c r="O267" s="330"/>
      <c r="P267" s="330"/>
      <c r="Q267" s="330"/>
      <c r="R267" s="330"/>
      <c r="S267" s="330"/>
      <c r="T267" s="330"/>
      <c r="U267" s="330"/>
      <c r="V267" s="330"/>
      <c r="W267" s="330"/>
      <c r="X267" s="330"/>
      <c r="Y267" s="330"/>
      <c r="Z267" s="619"/>
      <c r="AA267" s="619"/>
      <c r="AB267" s="619"/>
      <c r="AC267" s="619"/>
      <c r="AD267" s="60"/>
    </row>
    <row r="268" spans="1:30" x14ac:dyDescent="0.25">
      <c r="A268" s="443"/>
      <c r="B268" s="443"/>
      <c r="C268" s="443"/>
      <c r="D268" s="330"/>
      <c r="E268" s="330"/>
      <c r="F268" s="330"/>
      <c r="G268" s="330"/>
      <c r="H268" s="330"/>
      <c r="I268" s="330"/>
      <c r="J268" s="330"/>
      <c r="K268" s="330"/>
      <c r="L268" s="330"/>
      <c r="M268" s="330"/>
      <c r="N268" s="330"/>
      <c r="O268" s="330"/>
      <c r="P268" s="330"/>
      <c r="Q268" s="330"/>
      <c r="R268" s="330"/>
      <c r="S268" s="330"/>
      <c r="T268" s="330"/>
      <c r="U268" s="330"/>
      <c r="V268" s="330"/>
      <c r="W268" s="330"/>
      <c r="X268" s="330"/>
      <c r="Y268" s="330"/>
      <c r="Z268" s="619"/>
      <c r="AA268" s="619"/>
      <c r="AB268" s="619"/>
      <c r="AC268" s="619"/>
      <c r="AD268" s="60"/>
    </row>
    <row r="269" spans="1:30" x14ac:dyDescent="0.25">
      <c r="A269" s="443"/>
      <c r="B269" s="443"/>
      <c r="C269" s="443"/>
      <c r="D269" s="330"/>
      <c r="E269" s="330"/>
      <c r="F269" s="330"/>
      <c r="G269" s="330"/>
      <c r="H269" s="330"/>
      <c r="I269" s="330"/>
      <c r="J269" s="330"/>
      <c r="K269" s="330"/>
      <c r="L269" s="330"/>
      <c r="M269" s="330"/>
      <c r="N269" s="330"/>
      <c r="O269" s="330"/>
      <c r="P269" s="330"/>
      <c r="Q269" s="330"/>
      <c r="R269" s="330"/>
      <c r="S269" s="330"/>
      <c r="T269" s="330"/>
      <c r="U269" s="330"/>
      <c r="V269" s="330"/>
      <c r="W269" s="330"/>
      <c r="X269" s="330"/>
      <c r="Y269" s="330"/>
      <c r="Z269" s="619"/>
      <c r="AA269" s="619"/>
      <c r="AB269" s="619"/>
      <c r="AC269" s="619"/>
      <c r="AD269" s="60"/>
    </row>
    <row r="270" spans="1:30" x14ac:dyDescent="0.25">
      <c r="A270" s="443"/>
      <c r="B270" s="443"/>
      <c r="C270" s="443"/>
      <c r="D270" s="330"/>
      <c r="E270" s="330"/>
      <c r="F270" s="330"/>
      <c r="G270" s="330"/>
      <c r="H270" s="330"/>
      <c r="I270" s="330"/>
      <c r="J270" s="330"/>
      <c r="K270" s="330"/>
      <c r="L270" s="330"/>
      <c r="M270" s="330"/>
      <c r="N270" s="330"/>
      <c r="O270" s="330"/>
      <c r="P270" s="330"/>
      <c r="Q270" s="330"/>
      <c r="R270" s="330"/>
      <c r="S270" s="330"/>
      <c r="T270" s="330"/>
      <c r="U270" s="330"/>
      <c r="V270" s="330"/>
      <c r="W270" s="330"/>
      <c r="X270" s="330"/>
      <c r="Y270" s="330"/>
      <c r="Z270" s="619"/>
      <c r="AA270" s="619"/>
      <c r="AB270" s="619"/>
      <c r="AC270" s="619"/>
      <c r="AD270" s="60"/>
    </row>
    <row r="271" spans="1:30" x14ac:dyDescent="0.25">
      <c r="A271" s="443"/>
      <c r="B271" s="443"/>
      <c r="C271" s="443"/>
      <c r="D271" s="330"/>
      <c r="E271" s="330"/>
      <c r="F271" s="330"/>
      <c r="G271" s="330"/>
      <c r="H271" s="330"/>
      <c r="I271" s="330"/>
      <c r="J271" s="330"/>
      <c r="K271" s="330"/>
      <c r="L271" s="330"/>
      <c r="M271" s="330"/>
      <c r="N271" s="330"/>
      <c r="O271" s="330"/>
      <c r="P271" s="330"/>
      <c r="Q271" s="330"/>
      <c r="R271" s="330"/>
      <c r="S271" s="330"/>
      <c r="T271" s="330"/>
      <c r="U271" s="330"/>
      <c r="V271" s="330"/>
      <c r="W271" s="330"/>
      <c r="X271" s="330"/>
      <c r="Y271" s="330"/>
      <c r="Z271" s="619"/>
      <c r="AA271" s="619"/>
      <c r="AB271" s="619"/>
      <c r="AC271" s="619"/>
      <c r="AD271" s="60"/>
    </row>
    <row r="272" spans="1:30" x14ac:dyDescent="0.25">
      <c r="A272" s="443"/>
      <c r="B272" s="443"/>
      <c r="C272" s="443"/>
      <c r="D272" s="330"/>
      <c r="E272" s="330"/>
      <c r="F272" s="330"/>
      <c r="G272" s="330"/>
      <c r="H272" s="330"/>
      <c r="I272" s="330"/>
      <c r="J272" s="330"/>
      <c r="K272" s="330"/>
      <c r="L272" s="330"/>
      <c r="M272" s="330"/>
      <c r="N272" s="330"/>
      <c r="O272" s="330"/>
      <c r="P272" s="330"/>
      <c r="Q272" s="330"/>
      <c r="R272" s="330"/>
      <c r="S272" s="330"/>
      <c r="T272" s="330"/>
      <c r="U272" s="330"/>
      <c r="V272" s="330"/>
      <c r="W272" s="330"/>
      <c r="X272" s="330"/>
      <c r="Y272" s="330"/>
      <c r="Z272" s="619"/>
      <c r="AA272" s="619"/>
      <c r="AB272" s="619"/>
      <c r="AC272" s="619"/>
      <c r="AD272" s="60"/>
    </row>
    <row r="273" spans="1:30" x14ac:dyDescent="0.25">
      <c r="A273" s="443"/>
      <c r="B273" s="443"/>
      <c r="C273" s="443"/>
      <c r="D273" s="330"/>
      <c r="E273" s="330"/>
      <c r="F273" s="330"/>
      <c r="G273" s="330"/>
      <c r="H273" s="330"/>
      <c r="I273" s="330"/>
      <c r="J273" s="330"/>
      <c r="K273" s="330"/>
      <c r="L273" s="330"/>
      <c r="M273" s="330"/>
      <c r="N273" s="330"/>
      <c r="O273" s="330"/>
      <c r="P273" s="330"/>
      <c r="Q273" s="330"/>
      <c r="R273" s="330"/>
      <c r="S273" s="330"/>
      <c r="T273" s="330"/>
      <c r="U273" s="330"/>
      <c r="V273" s="330"/>
      <c r="W273" s="330"/>
      <c r="X273" s="330"/>
      <c r="Y273" s="330"/>
      <c r="Z273" s="619"/>
      <c r="AA273" s="619"/>
      <c r="AB273" s="619"/>
      <c r="AC273" s="619"/>
      <c r="AD273" s="60"/>
    </row>
    <row r="274" spans="1:30" x14ac:dyDescent="0.25">
      <c r="A274" s="443"/>
      <c r="B274" s="443"/>
      <c r="C274" s="443"/>
      <c r="D274" s="330"/>
      <c r="E274" s="330"/>
      <c r="F274" s="330"/>
      <c r="G274" s="330"/>
      <c r="H274" s="330"/>
      <c r="I274" s="330"/>
      <c r="J274" s="330"/>
      <c r="K274" s="330"/>
      <c r="L274" s="330"/>
      <c r="M274" s="330"/>
      <c r="N274" s="330"/>
      <c r="O274" s="330"/>
      <c r="P274" s="330"/>
      <c r="Q274" s="330"/>
      <c r="R274" s="330"/>
      <c r="S274" s="330"/>
      <c r="T274" s="330"/>
      <c r="U274" s="330"/>
      <c r="V274" s="330"/>
      <c r="W274" s="330"/>
      <c r="X274" s="330"/>
      <c r="Y274" s="330"/>
      <c r="Z274" s="619"/>
      <c r="AA274" s="619"/>
      <c r="AB274" s="619"/>
      <c r="AC274" s="619"/>
      <c r="AD274" s="60"/>
    </row>
    <row r="275" spans="1:30" x14ac:dyDescent="0.25">
      <c r="A275" s="443"/>
      <c r="B275" s="443"/>
      <c r="C275" s="443"/>
      <c r="D275" s="330"/>
      <c r="E275" s="330"/>
      <c r="F275" s="330"/>
      <c r="G275" s="330"/>
      <c r="H275" s="330"/>
      <c r="I275" s="330"/>
      <c r="J275" s="330"/>
      <c r="K275" s="330"/>
      <c r="L275" s="330"/>
      <c r="M275" s="330"/>
      <c r="N275" s="330"/>
      <c r="O275" s="330"/>
      <c r="P275" s="330"/>
      <c r="Q275" s="330"/>
      <c r="R275" s="330"/>
      <c r="S275" s="330"/>
      <c r="T275" s="330"/>
      <c r="U275" s="330"/>
      <c r="V275" s="330"/>
      <c r="W275" s="330"/>
      <c r="X275" s="330"/>
      <c r="Y275" s="330"/>
      <c r="Z275" s="619"/>
      <c r="AA275" s="619"/>
      <c r="AB275" s="619"/>
      <c r="AC275" s="619"/>
      <c r="AD275" s="60"/>
    </row>
    <row r="276" spans="1:30" x14ac:dyDescent="0.25">
      <c r="A276" s="443"/>
      <c r="B276" s="443"/>
      <c r="C276" s="443"/>
      <c r="D276" s="330"/>
      <c r="E276" s="330"/>
      <c r="F276" s="330"/>
      <c r="G276" s="330"/>
      <c r="H276" s="330"/>
      <c r="I276" s="330"/>
      <c r="J276" s="330"/>
      <c r="K276" s="330"/>
      <c r="L276" s="330"/>
      <c r="M276" s="330"/>
      <c r="N276" s="330"/>
      <c r="O276" s="330"/>
      <c r="P276" s="330"/>
      <c r="Q276" s="330"/>
      <c r="R276" s="330"/>
      <c r="S276" s="330"/>
      <c r="T276" s="330"/>
      <c r="U276" s="330"/>
      <c r="V276" s="330"/>
      <c r="W276" s="330"/>
      <c r="X276" s="330"/>
      <c r="Y276" s="330"/>
      <c r="Z276" s="619"/>
      <c r="AA276" s="619"/>
      <c r="AB276" s="619"/>
      <c r="AC276" s="619"/>
      <c r="AD276" s="60"/>
    </row>
    <row r="277" spans="1:30" x14ac:dyDescent="0.25">
      <c r="A277" s="443"/>
      <c r="B277" s="443"/>
      <c r="C277" s="443"/>
      <c r="D277" s="330"/>
      <c r="E277" s="330"/>
      <c r="F277" s="330"/>
      <c r="G277" s="330"/>
      <c r="H277" s="330"/>
      <c r="I277" s="330"/>
      <c r="J277" s="330"/>
      <c r="K277" s="330"/>
      <c r="L277" s="330"/>
      <c r="M277" s="330"/>
      <c r="N277" s="330"/>
      <c r="O277" s="330"/>
      <c r="P277" s="330"/>
      <c r="Q277" s="330"/>
      <c r="R277" s="330"/>
      <c r="S277" s="330"/>
      <c r="T277" s="330"/>
      <c r="U277" s="330"/>
      <c r="V277" s="330"/>
      <c r="W277" s="330"/>
      <c r="X277" s="330"/>
      <c r="Y277" s="330"/>
      <c r="Z277" s="619"/>
      <c r="AA277" s="619"/>
      <c r="AB277" s="619"/>
      <c r="AC277" s="619"/>
      <c r="AD277" s="60"/>
    </row>
    <row r="278" spans="1:30" x14ac:dyDescent="0.25">
      <c r="A278" s="443"/>
      <c r="B278" s="443"/>
      <c r="C278" s="443"/>
      <c r="D278" s="330"/>
      <c r="E278" s="330"/>
      <c r="F278" s="330"/>
      <c r="G278" s="330"/>
      <c r="H278" s="330"/>
      <c r="I278" s="330"/>
      <c r="J278" s="330"/>
      <c r="K278" s="330"/>
      <c r="L278" s="330"/>
      <c r="M278" s="330"/>
      <c r="N278" s="330"/>
      <c r="O278" s="330"/>
      <c r="P278" s="330"/>
      <c r="Q278" s="330"/>
      <c r="R278" s="330"/>
      <c r="S278" s="330"/>
      <c r="T278" s="330"/>
      <c r="U278" s="330"/>
      <c r="V278" s="330"/>
      <c r="W278" s="330"/>
      <c r="X278" s="330"/>
      <c r="Y278" s="330"/>
      <c r="Z278" s="619"/>
      <c r="AA278" s="619"/>
      <c r="AB278" s="619"/>
      <c r="AC278" s="619"/>
      <c r="AD278" s="60"/>
    </row>
    <row r="279" spans="1:30" x14ac:dyDescent="0.25">
      <c r="A279" s="443"/>
      <c r="B279" s="443"/>
      <c r="C279" s="443"/>
      <c r="D279" s="330"/>
      <c r="E279" s="330"/>
      <c r="F279" s="330"/>
      <c r="G279" s="330"/>
      <c r="H279" s="330"/>
      <c r="I279" s="330"/>
      <c r="J279" s="330"/>
      <c r="K279" s="330"/>
      <c r="L279" s="330"/>
      <c r="M279" s="330"/>
      <c r="N279" s="330"/>
      <c r="O279" s="330"/>
      <c r="P279" s="330"/>
      <c r="Q279" s="330"/>
      <c r="R279" s="330"/>
      <c r="S279" s="330"/>
      <c r="T279" s="330"/>
      <c r="U279" s="330"/>
      <c r="V279" s="330"/>
      <c r="W279" s="330"/>
      <c r="X279" s="330"/>
      <c r="Y279" s="330"/>
      <c r="Z279" s="619"/>
      <c r="AA279" s="619"/>
      <c r="AB279" s="619"/>
      <c r="AC279" s="619"/>
      <c r="AD279" s="60"/>
    </row>
    <row r="280" spans="1:30" x14ac:dyDescent="0.25">
      <c r="A280" s="443"/>
      <c r="B280" s="443"/>
      <c r="C280" s="443"/>
      <c r="D280" s="330"/>
      <c r="E280" s="330"/>
      <c r="F280" s="330"/>
      <c r="G280" s="330"/>
      <c r="H280" s="330"/>
      <c r="I280" s="330"/>
      <c r="J280" s="330"/>
      <c r="K280" s="330"/>
      <c r="L280" s="330"/>
      <c r="M280" s="330"/>
      <c r="N280" s="330"/>
      <c r="O280" s="330"/>
      <c r="P280" s="330"/>
      <c r="Q280" s="330"/>
      <c r="R280" s="330"/>
      <c r="S280" s="330"/>
      <c r="T280" s="330"/>
      <c r="U280" s="330"/>
      <c r="V280" s="330"/>
      <c r="W280" s="330"/>
      <c r="X280" s="330"/>
      <c r="Y280" s="330"/>
      <c r="Z280" s="619"/>
      <c r="AA280" s="619"/>
      <c r="AB280" s="619"/>
      <c r="AC280" s="619"/>
      <c r="AD280" s="60"/>
    </row>
    <row r="281" spans="1:30" x14ac:dyDescent="0.25">
      <c r="A281" s="443"/>
      <c r="B281" s="443"/>
      <c r="C281" s="443"/>
      <c r="D281" s="330"/>
      <c r="E281" s="330"/>
      <c r="F281" s="330"/>
      <c r="G281" s="330"/>
      <c r="H281" s="330"/>
      <c r="I281" s="330"/>
      <c r="J281" s="330"/>
      <c r="K281" s="330"/>
      <c r="L281" s="330"/>
      <c r="M281" s="330"/>
      <c r="N281" s="330"/>
      <c r="O281" s="330"/>
      <c r="P281" s="330"/>
      <c r="Q281" s="330"/>
      <c r="R281" s="330"/>
      <c r="S281" s="330"/>
      <c r="T281" s="330"/>
      <c r="U281" s="330"/>
      <c r="V281" s="330"/>
      <c r="W281" s="330"/>
      <c r="X281" s="330"/>
      <c r="Y281" s="330"/>
      <c r="Z281" s="619"/>
      <c r="AA281" s="619"/>
      <c r="AB281" s="619"/>
      <c r="AC281" s="619"/>
      <c r="AD281" s="60"/>
    </row>
    <row r="282" spans="1:30" x14ac:dyDescent="0.25">
      <c r="A282" s="443"/>
      <c r="B282" s="443"/>
      <c r="C282" s="443"/>
      <c r="D282" s="330"/>
      <c r="E282" s="330"/>
      <c r="F282" s="330"/>
      <c r="G282" s="330"/>
      <c r="H282" s="330"/>
      <c r="I282" s="330"/>
      <c r="J282" s="330"/>
      <c r="K282" s="330"/>
      <c r="L282" s="330"/>
      <c r="M282" s="330"/>
      <c r="N282" s="330"/>
      <c r="O282" s="330"/>
      <c r="P282" s="330"/>
      <c r="Q282" s="330"/>
      <c r="R282" s="330"/>
      <c r="S282" s="330"/>
      <c r="T282" s="330"/>
      <c r="U282" s="330"/>
      <c r="V282" s="330"/>
      <c r="W282" s="330"/>
      <c r="X282" s="330"/>
      <c r="Y282" s="330"/>
      <c r="Z282" s="619"/>
      <c r="AA282" s="619"/>
      <c r="AB282" s="619"/>
      <c r="AC282" s="619"/>
      <c r="AD282" s="60"/>
    </row>
    <row r="283" spans="1:30" x14ac:dyDescent="0.25">
      <c r="A283" s="443"/>
      <c r="B283" s="443"/>
      <c r="C283" s="443"/>
      <c r="D283" s="330"/>
      <c r="E283" s="330"/>
      <c r="F283" s="330"/>
      <c r="G283" s="330"/>
      <c r="H283" s="330"/>
      <c r="I283" s="330"/>
      <c r="J283" s="330"/>
      <c r="K283" s="330"/>
      <c r="L283" s="330"/>
      <c r="M283" s="330"/>
      <c r="N283" s="330"/>
      <c r="O283" s="330"/>
      <c r="P283" s="330"/>
      <c r="Q283" s="330"/>
      <c r="R283" s="330"/>
      <c r="S283" s="330"/>
      <c r="T283" s="330"/>
      <c r="U283" s="330"/>
      <c r="V283" s="330"/>
      <c r="W283" s="330"/>
      <c r="X283" s="330"/>
      <c r="Y283" s="330"/>
      <c r="Z283" s="619"/>
      <c r="AA283" s="619"/>
      <c r="AB283" s="619"/>
      <c r="AC283" s="619"/>
      <c r="AD283" s="60"/>
    </row>
    <row r="284" spans="1:30" x14ac:dyDescent="0.25">
      <c r="A284" s="443"/>
      <c r="B284" s="443"/>
      <c r="C284" s="443"/>
      <c r="D284" s="330"/>
      <c r="E284" s="330"/>
      <c r="F284" s="330"/>
      <c r="G284" s="330"/>
      <c r="H284" s="330"/>
      <c r="I284" s="330"/>
      <c r="J284" s="330"/>
      <c r="K284" s="330"/>
      <c r="L284" s="330"/>
      <c r="M284" s="330"/>
      <c r="N284" s="330"/>
      <c r="O284" s="330"/>
      <c r="P284" s="330"/>
      <c r="Q284" s="330"/>
      <c r="R284" s="330"/>
      <c r="S284" s="330"/>
      <c r="T284" s="330"/>
      <c r="U284" s="330"/>
      <c r="V284" s="330"/>
      <c r="W284" s="330"/>
      <c r="X284" s="330"/>
      <c r="Y284" s="330"/>
      <c r="Z284" s="619"/>
      <c r="AA284" s="619"/>
      <c r="AB284" s="619"/>
      <c r="AC284" s="619"/>
      <c r="AD284" s="60"/>
    </row>
    <row r="285" spans="1:30" x14ac:dyDescent="0.25">
      <c r="A285" s="443"/>
      <c r="B285" s="443"/>
      <c r="C285" s="443"/>
      <c r="D285" s="330"/>
      <c r="E285" s="330"/>
      <c r="F285" s="330"/>
      <c r="G285" s="330"/>
      <c r="H285" s="330"/>
      <c r="I285" s="330"/>
      <c r="J285" s="330"/>
      <c r="K285" s="330"/>
      <c r="L285" s="330"/>
      <c r="M285" s="330"/>
      <c r="N285" s="330"/>
      <c r="O285" s="330"/>
      <c r="P285" s="330"/>
      <c r="Q285" s="330"/>
      <c r="R285" s="330"/>
      <c r="S285" s="330"/>
      <c r="T285" s="330"/>
      <c r="U285" s="330"/>
      <c r="V285" s="330"/>
      <c r="W285" s="330"/>
      <c r="X285" s="330"/>
      <c r="Y285" s="330"/>
      <c r="Z285" s="619"/>
      <c r="AA285" s="619"/>
      <c r="AB285" s="619"/>
      <c r="AC285" s="619"/>
      <c r="AD285" s="60"/>
    </row>
    <row r="286" spans="1:30" x14ac:dyDescent="0.25">
      <c r="A286" s="443"/>
      <c r="B286" s="443"/>
      <c r="C286" s="443"/>
      <c r="D286" s="330"/>
      <c r="E286" s="330"/>
      <c r="F286" s="330"/>
      <c r="G286" s="330"/>
      <c r="H286" s="330"/>
      <c r="I286" s="330"/>
      <c r="J286" s="330"/>
      <c r="K286" s="330"/>
      <c r="L286" s="330"/>
      <c r="M286" s="330"/>
      <c r="N286" s="330"/>
      <c r="O286" s="330"/>
      <c r="P286" s="330"/>
      <c r="Q286" s="330"/>
      <c r="R286" s="330"/>
      <c r="S286" s="330"/>
      <c r="T286" s="330"/>
      <c r="U286" s="330"/>
      <c r="V286" s="330"/>
      <c r="W286" s="330"/>
      <c r="X286" s="330"/>
      <c r="Y286" s="330"/>
      <c r="Z286" s="619"/>
      <c r="AA286" s="619"/>
      <c r="AB286" s="619"/>
      <c r="AC286" s="619"/>
      <c r="AD286" s="60"/>
    </row>
    <row r="287" spans="1:30" x14ac:dyDescent="0.25">
      <c r="A287" s="443"/>
      <c r="B287" s="443"/>
      <c r="C287" s="443"/>
      <c r="D287" s="330"/>
      <c r="E287" s="330"/>
      <c r="F287" s="330"/>
      <c r="G287" s="330"/>
      <c r="H287" s="330"/>
      <c r="I287" s="330"/>
      <c r="J287" s="330"/>
      <c r="K287" s="330"/>
      <c r="L287" s="330"/>
      <c r="M287" s="330"/>
      <c r="N287" s="330"/>
      <c r="O287" s="330"/>
      <c r="P287" s="330"/>
      <c r="Q287" s="330"/>
      <c r="R287" s="330"/>
      <c r="S287" s="330"/>
      <c r="T287" s="330"/>
      <c r="U287" s="330"/>
      <c r="V287" s="330"/>
      <c r="W287" s="330"/>
      <c r="X287" s="330"/>
      <c r="Y287" s="330"/>
      <c r="Z287" s="619"/>
      <c r="AA287" s="619"/>
      <c r="AB287" s="619"/>
      <c r="AC287" s="619"/>
      <c r="AD287" s="60"/>
    </row>
    <row r="288" spans="1:30" x14ac:dyDescent="0.25">
      <c r="A288" s="443"/>
      <c r="B288" s="443"/>
      <c r="C288" s="443"/>
      <c r="D288" s="330"/>
      <c r="E288" s="330"/>
      <c r="F288" s="330"/>
      <c r="G288" s="330"/>
      <c r="H288" s="330"/>
      <c r="I288" s="330"/>
      <c r="J288" s="330"/>
      <c r="K288" s="330"/>
      <c r="L288" s="330"/>
      <c r="M288" s="330"/>
      <c r="N288" s="330"/>
      <c r="O288" s="330"/>
      <c r="P288" s="330"/>
      <c r="Q288" s="330"/>
      <c r="R288" s="330"/>
      <c r="S288" s="330"/>
      <c r="T288" s="330"/>
      <c r="U288" s="330"/>
      <c r="V288" s="330"/>
      <c r="W288" s="330"/>
      <c r="X288" s="330"/>
      <c r="Y288" s="330"/>
      <c r="Z288" s="619"/>
      <c r="AA288" s="619"/>
      <c r="AB288" s="619"/>
      <c r="AC288" s="619"/>
      <c r="AD288" s="60"/>
    </row>
    <row r="289" spans="1:30" x14ac:dyDescent="0.25">
      <c r="A289" s="443"/>
      <c r="B289" s="443"/>
      <c r="C289" s="443"/>
      <c r="D289" s="330"/>
      <c r="E289" s="330"/>
      <c r="F289" s="330"/>
      <c r="G289" s="330"/>
      <c r="H289" s="330"/>
      <c r="I289" s="330"/>
      <c r="J289" s="330"/>
      <c r="K289" s="330"/>
      <c r="L289" s="330"/>
      <c r="M289" s="330"/>
      <c r="N289" s="330"/>
      <c r="O289" s="330"/>
      <c r="P289" s="330"/>
      <c r="Q289" s="330"/>
      <c r="R289" s="330"/>
      <c r="S289" s="330"/>
      <c r="T289" s="330"/>
      <c r="U289" s="330"/>
      <c r="V289" s="330"/>
      <c r="W289" s="330"/>
      <c r="X289" s="330"/>
      <c r="Y289" s="330"/>
      <c r="Z289" s="619"/>
      <c r="AA289" s="619"/>
      <c r="AB289" s="619"/>
      <c r="AC289" s="619"/>
      <c r="AD289" s="60"/>
    </row>
    <row r="290" spans="1:30" x14ac:dyDescent="0.25">
      <c r="A290" s="443"/>
      <c r="B290" s="443"/>
      <c r="C290" s="443"/>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619"/>
      <c r="AA290" s="619"/>
      <c r="AB290" s="619"/>
      <c r="AC290" s="619"/>
      <c r="AD290" s="60"/>
    </row>
    <row r="291" spans="1:30" x14ac:dyDescent="0.25">
      <c r="A291" s="443"/>
      <c r="B291" s="443"/>
      <c r="C291" s="443"/>
      <c r="D291" s="330"/>
      <c r="E291" s="330"/>
      <c r="F291" s="330"/>
      <c r="G291" s="330"/>
      <c r="H291" s="330"/>
      <c r="I291" s="330"/>
      <c r="J291" s="330"/>
      <c r="K291" s="330"/>
      <c r="L291" s="330"/>
      <c r="M291" s="330"/>
      <c r="N291" s="330"/>
      <c r="O291" s="330"/>
      <c r="P291" s="330"/>
      <c r="Q291" s="330"/>
      <c r="R291" s="330"/>
      <c r="S291" s="330"/>
      <c r="T291" s="330"/>
      <c r="U291" s="330"/>
      <c r="V291" s="330"/>
      <c r="W291" s="330"/>
      <c r="X291" s="330"/>
      <c r="Y291" s="330"/>
      <c r="Z291" s="619"/>
      <c r="AA291" s="619"/>
      <c r="AB291" s="619"/>
      <c r="AC291" s="619"/>
      <c r="AD291" s="60"/>
    </row>
    <row r="292" spans="1:30" x14ac:dyDescent="0.25">
      <c r="A292" s="443"/>
      <c r="B292" s="443"/>
      <c r="C292" s="443"/>
      <c r="D292" s="330"/>
      <c r="E292" s="330"/>
      <c r="F292" s="330"/>
      <c r="G292" s="330"/>
      <c r="H292" s="330"/>
      <c r="I292" s="330"/>
      <c r="J292" s="330"/>
      <c r="K292" s="330"/>
      <c r="L292" s="330"/>
      <c r="M292" s="330"/>
      <c r="N292" s="330"/>
      <c r="O292" s="330"/>
      <c r="P292" s="330"/>
      <c r="Q292" s="330"/>
      <c r="R292" s="330"/>
      <c r="S292" s="330"/>
      <c r="T292" s="330"/>
      <c r="U292" s="330"/>
      <c r="V292" s="330"/>
      <c r="W292" s="330"/>
      <c r="X292" s="330"/>
      <c r="Y292" s="330"/>
      <c r="Z292" s="619"/>
      <c r="AA292" s="619"/>
      <c r="AB292" s="619"/>
      <c r="AC292" s="619"/>
      <c r="AD292" s="60"/>
    </row>
    <row r="293" spans="1:30" x14ac:dyDescent="0.25">
      <c r="A293" s="443"/>
      <c r="B293" s="443"/>
      <c r="C293" s="443"/>
      <c r="D293" s="330"/>
      <c r="E293" s="330"/>
      <c r="F293" s="330"/>
      <c r="G293" s="330"/>
      <c r="H293" s="330"/>
      <c r="I293" s="330"/>
      <c r="J293" s="330"/>
      <c r="K293" s="330"/>
      <c r="L293" s="330"/>
      <c r="M293" s="330"/>
      <c r="N293" s="330"/>
      <c r="O293" s="330"/>
      <c r="P293" s="330"/>
      <c r="Q293" s="330"/>
      <c r="R293" s="330"/>
      <c r="S293" s="330"/>
      <c r="T293" s="330"/>
      <c r="U293" s="330"/>
      <c r="V293" s="330"/>
      <c r="W293" s="330"/>
      <c r="X293" s="330"/>
      <c r="Y293" s="330"/>
      <c r="Z293" s="619"/>
      <c r="AA293" s="619"/>
      <c r="AB293" s="619"/>
      <c r="AC293" s="619"/>
      <c r="AD293" s="60"/>
    </row>
    <row r="294" spans="1:30" x14ac:dyDescent="0.25">
      <c r="A294" s="443"/>
      <c r="B294" s="443"/>
      <c r="C294" s="443"/>
      <c r="D294" s="330"/>
      <c r="E294" s="330"/>
      <c r="F294" s="330"/>
      <c r="G294" s="330"/>
      <c r="H294" s="330"/>
      <c r="I294" s="330"/>
      <c r="J294" s="330"/>
      <c r="K294" s="330"/>
      <c r="L294" s="330"/>
      <c r="M294" s="330"/>
      <c r="N294" s="330"/>
      <c r="O294" s="330"/>
      <c r="P294" s="330"/>
      <c r="Q294" s="330"/>
      <c r="R294" s="330"/>
      <c r="S294" s="330"/>
      <c r="T294" s="330"/>
      <c r="U294" s="330"/>
      <c r="V294" s="330"/>
      <c r="W294" s="330"/>
      <c r="X294" s="330"/>
      <c r="Y294" s="330"/>
      <c r="Z294" s="619"/>
      <c r="AA294" s="619"/>
      <c r="AB294" s="619"/>
      <c r="AC294" s="619"/>
      <c r="AD294" s="60"/>
    </row>
    <row r="295" spans="1:30" x14ac:dyDescent="0.25">
      <c r="A295" s="443"/>
      <c r="B295" s="443"/>
      <c r="C295" s="443"/>
      <c r="D295" s="330"/>
      <c r="E295" s="330"/>
      <c r="F295" s="330"/>
      <c r="G295" s="330"/>
      <c r="H295" s="330"/>
      <c r="I295" s="330"/>
      <c r="J295" s="330"/>
      <c r="K295" s="330"/>
      <c r="L295" s="330"/>
      <c r="M295" s="330"/>
      <c r="N295" s="330"/>
      <c r="O295" s="330"/>
      <c r="P295" s="330"/>
      <c r="Q295" s="330"/>
      <c r="R295" s="330"/>
      <c r="S295" s="330"/>
      <c r="T295" s="330"/>
      <c r="U295" s="330"/>
      <c r="V295" s="330"/>
      <c r="W295" s="330"/>
      <c r="X295" s="330"/>
      <c r="Y295" s="330"/>
      <c r="Z295" s="619"/>
      <c r="AA295" s="619"/>
      <c r="AB295" s="619"/>
      <c r="AC295" s="619"/>
      <c r="AD295" s="60"/>
    </row>
    <row r="296" spans="1:30" x14ac:dyDescent="0.25">
      <c r="A296" s="443"/>
      <c r="B296" s="443"/>
      <c r="C296" s="443"/>
      <c r="D296" s="330"/>
      <c r="E296" s="330"/>
      <c r="F296" s="330"/>
      <c r="G296" s="330"/>
      <c r="H296" s="330"/>
      <c r="I296" s="330"/>
      <c r="J296" s="330"/>
      <c r="K296" s="330"/>
      <c r="L296" s="330"/>
      <c r="M296" s="330"/>
      <c r="N296" s="330"/>
      <c r="O296" s="330"/>
      <c r="P296" s="330"/>
      <c r="Q296" s="330"/>
      <c r="R296" s="330"/>
      <c r="S296" s="330"/>
      <c r="T296" s="330"/>
      <c r="U296" s="330"/>
      <c r="V296" s="330"/>
      <c r="W296" s="330"/>
      <c r="X296" s="330"/>
      <c r="Y296" s="330"/>
      <c r="Z296" s="619"/>
      <c r="AA296" s="619"/>
      <c r="AB296" s="619"/>
      <c r="AC296" s="619"/>
      <c r="AD296" s="60"/>
    </row>
    <row r="297" spans="1:30" x14ac:dyDescent="0.25">
      <c r="A297" s="443"/>
      <c r="B297" s="443"/>
      <c r="C297" s="443"/>
      <c r="D297" s="330"/>
      <c r="E297" s="330"/>
      <c r="F297" s="330"/>
      <c r="G297" s="330"/>
      <c r="H297" s="330"/>
      <c r="I297" s="330"/>
      <c r="J297" s="330"/>
      <c r="K297" s="330"/>
      <c r="L297" s="330"/>
      <c r="M297" s="330"/>
      <c r="N297" s="330"/>
      <c r="O297" s="330"/>
      <c r="P297" s="330"/>
      <c r="Q297" s="330"/>
      <c r="R297" s="330"/>
      <c r="S297" s="330"/>
      <c r="T297" s="330"/>
      <c r="U297" s="330"/>
      <c r="V297" s="330"/>
      <c r="W297" s="330"/>
      <c r="X297" s="330"/>
      <c r="Y297" s="330"/>
      <c r="Z297" s="619"/>
      <c r="AA297" s="619"/>
      <c r="AB297" s="619"/>
      <c r="AC297" s="619"/>
      <c r="AD297" s="60"/>
    </row>
    <row r="298" spans="1:30" x14ac:dyDescent="0.25">
      <c r="A298" s="443"/>
      <c r="B298" s="443"/>
      <c r="C298" s="443"/>
      <c r="D298" s="330"/>
      <c r="E298" s="330"/>
      <c r="F298" s="330"/>
      <c r="G298" s="330"/>
      <c r="H298" s="330"/>
      <c r="I298" s="330"/>
      <c r="J298" s="330"/>
      <c r="K298" s="330"/>
      <c r="L298" s="330"/>
      <c r="M298" s="330"/>
      <c r="N298" s="330"/>
      <c r="O298" s="330"/>
      <c r="P298" s="330"/>
      <c r="Q298" s="330"/>
      <c r="R298" s="330"/>
      <c r="S298" s="330"/>
      <c r="T298" s="330"/>
      <c r="U298" s="330"/>
      <c r="V298" s="330"/>
      <c r="W298" s="330"/>
      <c r="X298" s="330"/>
      <c r="Y298" s="330"/>
      <c r="Z298" s="619"/>
      <c r="AA298" s="619"/>
      <c r="AB298" s="619"/>
      <c r="AC298" s="619"/>
      <c r="AD298" s="60"/>
    </row>
    <row r="299" spans="1:30" x14ac:dyDescent="0.25">
      <c r="A299" s="443"/>
      <c r="B299" s="443"/>
      <c r="C299" s="443"/>
      <c r="D299" s="330"/>
      <c r="E299" s="330"/>
      <c r="F299" s="330"/>
      <c r="G299" s="330"/>
      <c r="H299" s="330"/>
      <c r="I299" s="330"/>
      <c r="J299" s="330"/>
      <c r="K299" s="330"/>
      <c r="L299" s="330"/>
      <c r="M299" s="330"/>
      <c r="N299" s="330"/>
      <c r="O299" s="330"/>
      <c r="P299" s="330"/>
      <c r="Q299" s="330"/>
      <c r="R299" s="330"/>
      <c r="S299" s="330"/>
      <c r="T299" s="330"/>
      <c r="U299" s="330"/>
      <c r="V299" s="330"/>
      <c r="W299" s="330"/>
      <c r="X299" s="330"/>
      <c r="Y299" s="330"/>
      <c r="Z299" s="619"/>
      <c r="AA299" s="619"/>
      <c r="AB299" s="619"/>
      <c r="AC299" s="619"/>
      <c r="AD299" s="60"/>
    </row>
    <row r="300" spans="1:30" x14ac:dyDescent="0.25">
      <c r="A300" s="443"/>
      <c r="B300" s="443"/>
      <c r="C300" s="443"/>
      <c r="D300" s="330"/>
      <c r="E300" s="330"/>
      <c r="F300" s="330"/>
      <c r="G300" s="330"/>
      <c r="H300" s="330"/>
      <c r="I300" s="330"/>
      <c r="J300" s="330"/>
      <c r="K300" s="330"/>
      <c r="L300" s="330"/>
      <c r="M300" s="330"/>
      <c r="N300" s="330"/>
      <c r="O300" s="330"/>
      <c r="P300" s="330"/>
      <c r="Q300" s="330"/>
      <c r="R300" s="330"/>
      <c r="S300" s="330"/>
      <c r="T300" s="330"/>
      <c r="U300" s="330"/>
      <c r="V300" s="330"/>
      <c r="W300" s="330"/>
      <c r="X300" s="330"/>
      <c r="Y300" s="330"/>
      <c r="Z300" s="619"/>
      <c r="AA300" s="619"/>
      <c r="AB300" s="619"/>
      <c r="AC300" s="619"/>
      <c r="AD300" s="60"/>
    </row>
    <row r="301" spans="1:30" x14ac:dyDescent="0.25">
      <c r="A301" s="443"/>
      <c r="B301" s="443"/>
      <c r="C301" s="443"/>
      <c r="D301" s="330"/>
      <c r="E301" s="330"/>
      <c r="F301" s="330"/>
      <c r="G301" s="330"/>
      <c r="H301" s="330"/>
      <c r="I301" s="330"/>
      <c r="J301" s="330"/>
      <c r="K301" s="330"/>
      <c r="L301" s="330"/>
      <c r="M301" s="330"/>
      <c r="N301" s="330"/>
      <c r="O301" s="330"/>
      <c r="P301" s="330"/>
      <c r="Q301" s="330"/>
      <c r="R301" s="330"/>
      <c r="S301" s="330"/>
      <c r="T301" s="330"/>
      <c r="U301" s="330"/>
      <c r="V301" s="330"/>
      <c r="W301" s="330"/>
      <c r="X301" s="330"/>
      <c r="Y301" s="330"/>
      <c r="Z301" s="619"/>
      <c r="AA301" s="619"/>
      <c r="AB301" s="619"/>
      <c r="AC301" s="619"/>
      <c r="AD301" s="60"/>
    </row>
    <row r="302" spans="1:30" x14ac:dyDescent="0.25">
      <c r="A302" s="443"/>
      <c r="B302" s="443"/>
      <c r="C302" s="443"/>
      <c r="D302" s="330"/>
      <c r="E302" s="330"/>
      <c r="F302" s="330"/>
      <c r="G302" s="330"/>
      <c r="H302" s="330"/>
      <c r="I302" s="330"/>
      <c r="J302" s="330"/>
      <c r="K302" s="330"/>
      <c r="L302" s="330"/>
      <c r="M302" s="330"/>
      <c r="N302" s="330"/>
      <c r="O302" s="330"/>
      <c r="P302" s="330"/>
      <c r="Q302" s="330"/>
      <c r="R302" s="330"/>
      <c r="S302" s="330"/>
      <c r="T302" s="330"/>
      <c r="U302" s="330"/>
      <c r="V302" s="330"/>
      <c r="W302" s="330"/>
      <c r="X302" s="330"/>
      <c r="Y302" s="330"/>
      <c r="Z302" s="619"/>
      <c r="AA302" s="619"/>
      <c r="AB302" s="619"/>
      <c r="AC302" s="619"/>
      <c r="AD302" s="60"/>
    </row>
    <row r="303" spans="1:30" x14ac:dyDescent="0.25">
      <c r="A303" s="443"/>
      <c r="B303" s="443"/>
      <c r="C303" s="443"/>
      <c r="D303" s="330"/>
      <c r="E303" s="330"/>
      <c r="F303" s="330"/>
      <c r="G303" s="330"/>
      <c r="H303" s="330"/>
      <c r="I303" s="330"/>
      <c r="J303" s="330"/>
      <c r="K303" s="330"/>
      <c r="L303" s="330"/>
      <c r="M303" s="330"/>
      <c r="N303" s="330"/>
      <c r="O303" s="330"/>
      <c r="P303" s="330"/>
      <c r="Q303" s="330"/>
      <c r="R303" s="330"/>
      <c r="S303" s="330"/>
      <c r="T303" s="330"/>
      <c r="U303" s="330"/>
      <c r="V303" s="330"/>
      <c r="W303" s="330"/>
      <c r="X303" s="330"/>
      <c r="Y303" s="330"/>
      <c r="Z303" s="619"/>
      <c r="AA303" s="619"/>
      <c r="AB303" s="619"/>
      <c r="AC303" s="619"/>
      <c r="AD303" s="60"/>
    </row>
    <row r="304" spans="1:30" x14ac:dyDescent="0.25">
      <c r="A304" s="443"/>
      <c r="B304" s="443"/>
      <c r="C304" s="443"/>
      <c r="D304" s="330"/>
      <c r="E304" s="330"/>
      <c r="F304" s="330"/>
      <c r="G304" s="330"/>
      <c r="H304" s="330"/>
      <c r="I304" s="330"/>
      <c r="J304" s="330"/>
      <c r="K304" s="330"/>
      <c r="L304" s="330"/>
      <c r="M304" s="330"/>
      <c r="N304" s="330"/>
      <c r="O304" s="330"/>
      <c r="P304" s="330"/>
      <c r="Q304" s="330"/>
      <c r="R304" s="330"/>
      <c r="S304" s="330"/>
      <c r="T304" s="330"/>
      <c r="U304" s="330"/>
      <c r="V304" s="330"/>
      <c r="W304" s="330"/>
      <c r="X304" s="330"/>
      <c r="Y304" s="330"/>
      <c r="Z304" s="619"/>
      <c r="AA304" s="619"/>
      <c r="AB304" s="619"/>
      <c r="AC304" s="619"/>
      <c r="AD304" s="60"/>
    </row>
    <row r="305" spans="1:30" x14ac:dyDescent="0.25">
      <c r="A305" s="443"/>
      <c r="B305" s="443"/>
      <c r="C305" s="443"/>
      <c r="D305" s="330"/>
      <c r="E305" s="330"/>
      <c r="F305" s="330"/>
      <c r="G305" s="330"/>
      <c r="H305" s="330"/>
      <c r="I305" s="330"/>
      <c r="J305" s="330"/>
      <c r="K305" s="330"/>
      <c r="L305" s="330"/>
      <c r="M305" s="330"/>
      <c r="N305" s="330"/>
      <c r="O305" s="330"/>
      <c r="P305" s="330"/>
      <c r="Q305" s="330"/>
      <c r="R305" s="330"/>
      <c r="S305" s="330"/>
      <c r="T305" s="330"/>
      <c r="U305" s="330"/>
      <c r="V305" s="330"/>
      <c r="W305" s="330"/>
      <c r="X305" s="330"/>
      <c r="Y305" s="330"/>
      <c r="Z305" s="619"/>
      <c r="AA305" s="619"/>
      <c r="AB305" s="619"/>
      <c r="AC305" s="619"/>
      <c r="AD305" s="60"/>
    </row>
    <row r="306" spans="1:30" x14ac:dyDescent="0.25">
      <c r="A306" s="443"/>
      <c r="B306" s="443"/>
      <c r="C306" s="443"/>
      <c r="D306" s="330"/>
      <c r="E306" s="330"/>
      <c r="F306" s="330"/>
      <c r="G306" s="330"/>
      <c r="H306" s="330"/>
      <c r="I306" s="330"/>
      <c r="J306" s="330"/>
      <c r="K306" s="330"/>
      <c r="L306" s="330"/>
      <c r="M306" s="330"/>
      <c r="N306" s="330"/>
      <c r="O306" s="330"/>
      <c r="P306" s="330"/>
      <c r="Q306" s="330"/>
      <c r="R306" s="330"/>
      <c r="S306" s="330"/>
      <c r="T306" s="330"/>
      <c r="U306" s="330"/>
      <c r="V306" s="330"/>
      <c r="W306" s="330"/>
      <c r="X306" s="330"/>
      <c r="Y306" s="330"/>
      <c r="Z306" s="619"/>
      <c r="AA306" s="619"/>
      <c r="AB306" s="619"/>
      <c r="AC306" s="619"/>
      <c r="AD306" s="60"/>
    </row>
    <row r="307" spans="1:30" x14ac:dyDescent="0.25">
      <c r="A307" s="443"/>
      <c r="B307" s="443"/>
      <c r="C307" s="443"/>
      <c r="D307" s="330"/>
      <c r="E307" s="330"/>
      <c r="F307" s="330"/>
      <c r="G307" s="330"/>
      <c r="H307" s="330"/>
      <c r="I307" s="330"/>
      <c r="J307" s="330"/>
      <c r="K307" s="330"/>
      <c r="L307" s="330"/>
      <c r="M307" s="330"/>
      <c r="N307" s="330"/>
      <c r="O307" s="330"/>
      <c r="P307" s="330"/>
      <c r="Q307" s="330"/>
      <c r="R307" s="330"/>
      <c r="S307" s="330"/>
      <c r="T307" s="330"/>
      <c r="U307" s="330"/>
      <c r="V307" s="330"/>
      <c r="W307" s="330"/>
      <c r="X307" s="330"/>
      <c r="Y307" s="330"/>
      <c r="Z307" s="619"/>
      <c r="AA307" s="619"/>
      <c r="AB307" s="619"/>
      <c r="AC307" s="619"/>
      <c r="AD307" s="60"/>
    </row>
    <row r="308" spans="1:30" x14ac:dyDescent="0.25">
      <c r="A308" s="443"/>
      <c r="B308" s="443"/>
      <c r="C308" s="443"/>
      <c r="D308" s="330"/>
      <c r="E308" s="330"/>
      <c r="F308" s="330"/>
      <c r="G308" s="330"/>
      <c r="H308" s="330"/>
      <c r="I308" s="330"/>
      <c r="J308" s="330"/>
      <c r="K308" s="330"/>
      <c r="L308" s="330"/>
      <c r="M308" s="330"/>
      <c r="N308" s="330"/>
      <c r="O308" s="330"/>
      <c r="P308" s="330"/>
      <c r="Q308" s="330"/>
      <c r="R308" s="330"/>
      <c r="S308" s="330"/>
      <c r="T308" s="330"/>
      <c r="U308" s="330"/>
      <c r="V308" s="330"/>
      <c r="W308" s="330"/>
      <c r="X308" s="330"/>
      <c r="Y308" s="330"/>
      <c r="Z308" s="619"/>
      <c r="AA308" s="619"/>
      <c r="AB308" s="619"/>
      <c r="AC308" s="619"/>
      <c r="AD308" s="60"/>
    </row>
    <row r="309" spans="1:30" x14ac:dyDescent="0.25">
      <c r="A309" s="443"/>
      <c r="B309" s="443"/>
      <c r="C309" s="443"/>
      <c r="D309" s="330"/>
      <c r="E309" s="330"/>
      <c r="F309" s="330"/>
      <c r="G309" s="330"/>
      <c r="H309" s="330"/>
      <c r="I309" s="330"/>
      <c r="J309" s="330"/>
      <c r="K309" s="330"/>
      <c r="L309" s="330"/>
      <c r="M309" s="330"/>
      <c r="N309" s="330"/>
      <c r="O309" s="330"/>
      <c r="P309" s="330"/>
      <c r="Q309" s="330"/>
      <c r="R309" s="330"/>
      <c r="S309" s="330"/>
      <c r="T309" s="330"/>
      <c r="U309" s="330"/>
      <c r="V309" s="330"/>
      <c r="W309" s="330"/>
      <c r="X309" s="330"/>
      <c r="Y309" s="330"/>
      <c r="Z309" s="619"/>
      <c r="AA309" s="619"/>
      <c r="AB309" s="619"/>
      <c r="AC309" s="619"/>
      <c r="AD309" s="60"/>
    </row>
    <row r="310" spans="1:30" x14ac:dyDescent="0.25">
      <c r="A310" s="443"/>
      <c r="B310" s="443"/>
      <c r="C310" s="443"/>
      <c r="D310" s="330"/>
      <c r="E310" s="330"/>
      <c r="F310" s="330"/>
      <c r="G310" s="330"/>
      <c r="H310" s="330"/>
      <c r="I310" s="330"/>
      <c r="J310" s="330"/>
      <c r="K310" s="330"/>
      <c r="L310" s="330"/>
      <c r="M310" s="330"/>
      <c r="N310" s="330"/>
      <c r="O310" s="330"/>
      <c r="P310" s="330"/>
      <c r="Q310" s="330"/>
      <c r="R310" s="330"/>
      <c r="S310" s="330"/>
      <c r="T310" s="330"/>
      <c r="U310" s="330"/>
      <c r="V310" s="330"/>
      <c r="W310" s="330"/>
      <c r="X310" s="330"/>
      <c r="Y310" s="330"/>
      <c r="Z310" s="619"/>
      <c r="AA310" s="619"/>
      <c r="AB310" s="619"/>
      <c r="AC310" s="619"/>
      <c r="AD310" s="60"/>
    </row>
    <row r="311" spans="1:30" x14ac:dyDescent="0.25">
      <c r="A311" s="443"/>
      <c r="B311" s="443"/>
      <c r="C311" s="443"/>
      <c r="D311" s="330"/>
      <c r="E311" s="330"/>
      <c r="F311" s="330"/>
      <c r="G311" s="330"/>
      <c r="H311" s="330"/>
      <c r="I311" s="330"/>
      <c r="J311" s="330"/>
      <c r="K311" s="330"/>
      <c r="L311" s="330"/>
      <c r="M311" s="330"/>
      <c r="N311" s="330"/>
      <c r="O311" s="330"/>
      <c r="P311" s="330"/>
      <c r="Q311" s="330"/>
      <c r="R311" s="330"/>
      <c r="S311" s="330"/>
      <c r="T311" s="330"/>
      <c r="U311" s="330"/>
      <c r="V311" s="330"/>
      <c r="W311" s="330"/>
      <c r="X311" s="330"/>
      <c r="Y311" s="330"/>
      <c r="Z311" s="619"/>
      <c r="AA311" s="619"/>
      <c r="AB311" s="619"/>
      <c r="AC311" s="619"/>
      <c r="AD311" s="60"/>
    </row>
    <row r="312" spans="1:30" x14ac:dyDescent="0.25">
      <c r="A312" s="443"/>
      <c r="B312" s="443"/>
      <c r="C312" s="443"/>
      <c r="D312" s="330"/>
      <c r="E312" s="330"/>
      <c r="F312" s="330"/>
      <c r="G312" s="330"/>
      <c r="H312" s="330"/>
      <c r="I312" s="330"/>
      <c r="J312" s="330"/>
      <c r="K312" s="330"/>
      <c r="L312" s="330"/>
      <c r="M312" s="330"/>
      <c r="N312" s="330"/>
      <c r="O312" s="330"/>
      <c r="P312" s="330"/>
      <c r="Q312" s="330"/>
      <c r="R312" s="330"/>
      <c r="S312" s="330"/>
      <c r="T312" s="330"/>
      <c r="U312" s="330"/>
      <c r="V312" s="330"/>
      <c r="W312" s="330"/>
      <c r="X312" s="330"/>
      <c r="Y312" s="330"/>
      <c r="Z312" s="619"/>
      <c r="AA312" s="619"/>
      <c r="AB312" s="619"/>
      <c r="AC312" s="619"/>
      <c r="AD312" s="60"/>
    </row>
    <row r="313" spans="1:30" x14ac:dyDescent="0.25">
      <c r="A313" s="443"/>
      <c r="B313" s="443"/>
      <c r="C313" s="443"/>
      <c r="D313" s="330"/>
      <c r="E313" s="330"/>
      <c r="F313" s="330"/>
      <c r="G313" s="330"/>
      <c r="H313" s="330"/>
      <c r="I313" s="330"/>
      <c r="J313" s="330"/>
      <c r="K313" s="330"/>
      <c r="L313" s="330"/>
      <c r="M313" s="330"/>
      <c r="N313" s="330"/>
      <c r="O313" s="330"/>
      <c r="P313" s="330"/>
      <c r="Q313" s="330"/>
      <c r="R313" s="330"/>
      <c r="S313" s="330"/>
      <c r="T313" s="330"/>
      <c r="U313" s="330"/>
      <c r="V313" s="330"/>
      <c r="W313" s="330"/>
      <c r="X313" s="330"/>
      <c r="Y313" s="330"/>
      <c r="Z313" s="619"/>
      <c r="AA313" s="619"/>
      <c r="AB313" s="619"/>
      <c r="AC313" s="619"/>
      <c r="AD313" s="60"/>
    </row>
    <row r="314" spans="1:30" x14ac:dyDescent="0.25">
      <c r="A314" s="443"/>
      <c r="B314" s="443"/>
      <c r="C314" s="443"/>
      <c r="D314" s="330"/>
      <c r="E314" s="330"/>
      <c r="F314" s="330"/>
      <c r="G314" s="330"/>
      <c r="H314" s="330"/>
      <c r="I314" s="330"/>
      <c r="J314" s="330"/>
      <c r="K314" s="330"/>
      <c r="L314" s="330"/>
      <c r="M314" s="330"/>
      <c r="N314" s="330"/>
      <c r="O314" s="330"/>
      <c r="P314" s="330"/>
      <c r="Q314" s="330"/>
      <c r="R314" s="330"/>
      <c r="S314" s="330"/>
      <c r="T314" s="330"/>
      <c r="U314" s="330"/>
      <c r="V314" s="330"/>
      <c r="W314" s="330"/>
      <c r="X314" s="330"/>
      <c r="Y314" s="330"/>
      <c r="Z314" s="619"/>
      <c r="AA314" s="619"/>
      <c r="AB314" s="619"/>
      <c r="AC314" s="619"/>
      <c r="AD314" s="60"/>
    </row>
    <row r="315" spans="1:30" x14ac:dyDescent="0.25">
      <c r="A315" s="443"/>
      <c r="B315" s="443"/>
      <c r="C315" s="443"/>
      <c r="D315" s="330"/>
      <c r="E315" s="330"/>
      <c r="F315" s="330"/>
      <c r="G315" s="330"/>
      <c r="H315" s="330"/>
      <c r="I315" s="330"/>
      <c r="J315" s="330"/>
      <c r="K315" s="330"/>
      <c r="L315" s="330"/>
      <c r="M315" s="330"/>
      <c r="N315" s="330"/>
      <c r="O315" s="330"/>
      <c r="P315" s="330"/>
      <c r="Q315" s="330"/>
      <c r="R315" s="330"/>
      <c r="S315" s="330"/>
      <c r="T315" s="330"/>
      <c r="U315" s="330"/>
      <c r="V315" s="330"/>
      <c r="W315" s="330"/>
      <c r="X315" s="330"/>
      <c r="Y315" s="330"/>
      <c r="Z315" s="619"/>
      <c r="AA315" s="619"/>
      <c r="AB315" s="619"/>
      <c r="AC315" s="619"/>
      <c r="AD315" s="60"/>
    </row>
    <row r="316" spans="1:30" x14ac:dyDescent="0.25">
      <c r="A316" s="443"/>
      <c r="B316" s="443"/>
      <c r="C316" s="443"/>
      <c r="D316" s="330"/>
      <c r="E316" s="330"/>
      <c r="F316" s="330"/>
      <c r="G316" s="330"/>
      <c r="H316" s="330"/>
      <c r="I316" s="330"/>
      <c r="J316" s="330"/>
      <c r="K316" s="330"/>
      <c r="L316" s="330"/>
      <c r="M316" s="330"/>
      <c r="N316" s="330"/>
      <c r="O316" s="330"/>
      <c r="P316" s="330"/>
      <c r="Q316" s="330"/>
      <c r="R316" s="330"/>
      <c r="S316" s="330"/>
      <c r="T316" s="330"/>
      <c r="U316" s="330"/>
      <c r="V316" s="330"/>
      <c r="W316" s="330"/>
      <c r="X316" s="330"/>
      <c r="Y316" s="330"/>
      <c r="Z316" s="619"/>
      <c r="AA316" s="619"/>
      <c r="AB316" s="619"/>
      <c r="AC316" s="619"/>
      <c r="AD316" s="60"/>
    </row>
    <row r="317" spans="1:30" x14ac:dyDescent="0.25">
      <c r="A317" s="443"/>
      <c r="B317" s="443"/>
      <c r="C317" s="443"/>
      <c r="D317" s="330"/>
      <c r="E317" s="330"/>
      <c r="F317" s="330"/>
      <c r="G317" s="330"/>
      <c r="H317" s="330"/>
      <c r="I317" s="330"/>
      <c r="J317" s="330"/>
      <c r="K317" s="330"/>
      <c r="L317" s="330"/>
      <c r="M317" s="330"/>
      <c r="N317" s="330"/>
      <c r="O317" s="330"/>
      <c r="P317" s="330"/>
      <c r="Q317" s="330"/>
      <c r="R317" s="330"/>
      <c r="S317" s="330"/>
      <c r="T317" s="330"/>
      <c r="U317" s="330"/>
      <c r="V317" s="330"/>
      <c r="W317" s="330"/>
      <c r="X317" s="330"/>
      <c r="Y317" s="330"/>
      <c r="Z317" s="619"/>
      <c r="AA317" s="619"/>
      <c r="AB317" s="619"/>
      <c r="AC317" s="619"/>
      <c r="AD317" s="60"/>
    </row>
    <row r="318" spans="1:30" x14ac:dyDescent="0.25">
      <c r="A318" s="443"/>
      <c r="B318" s="443"/>
      <c r="C318" s="443"/>
      <c r="D318" s="330"/>
      <c r="E318" s="330"/>
      <c r="F318" s="330"/>
      <c r="G318" s="330"/>
      <c r="H318" s="330"/>
      <c r="I318" s="330"/>
      <c r="J318" s="330"/>
      <c r="K318" s="330"/>
      <c r="L318" s="330"/>
      <c r="M318" s="330"/>
      <c r="N318" s="330"/>
      <c r="O318" s="330"/>
      <c r="P318" s="330"/>
      <c r="Q318" s="330"/>
      <c r="R318" s="330"/>
      <c r="S318" s="330"/>
      <c r="T318" s="330"/>
      <c r="U318" s="330"/>
      <c r="V318" s="330"/>
      <c r="W318" s="330"/>
      <c r="X318" s="330"/>
      <c r="Y318" s="330"/>
      <c r="Z318" s="619"/>
      <c r="AA318" s="619"/>
      <c r="AB318" s="619"/>
      <c r="AC318" s="619"/>
      <c r="AD318" s="60"/>
    </row>
    <row r="319" spans="1:30" x14ac:dyDescent="0.25">
      <c r="A319" s="443"/>
      <c r="B319" s="443"/>
      <c r="C319" s="443"/>
      <c r="D319" s="330"/>
      <c r="E319" s="330"/>
      <c r="F319" s="330"/>
      <c r="G319" s="330"/>
      <c r="H319" s="330"/>
      <c r="I319" s="330"/>
      <c r="J319" s="330"/>
      <c r="K319" s="330"/>
      <c r="L319" s="330"/>
      <c r="M319" s="330"/>
      <c r="N319" s="330"/>
      <c r="O319" s="330"/>
      <c r="P319" s="330"/>
      <c r="Q319" s="330"/>
      <c r="R319" s="330"/>
      <c r="S319" s="330"/>
      <c r="T319" s="330"/>
      <c r="U319" s="330"/>
      <c r="V319" s="330"/>
      <c r="W319" s="330"/>
      <c r="X319" s="330"/>
      <c r="Y319" s="330"/>
      <c r="Z319" s="619"/>
      <c r="AA319" s="619"/>
      <c r="AB319" s="619"/>
      <c r="AC319" s="619"/>
      <c r="AD319" s="60"/>
    </row>
    <row r="320" spans="1:30" x14ac:dyDescent="0.25">
      <c r="A320" s="443"/>
      <c r="B320" s="443"/>
      <c r="C320" s="443"/>
      <c r="D320" s="330"/>
      <c r="E320" s="330"/>
      <c r="F320" s="330"/>
      <c r="G320" s="330"/>
      <c r="H320" s="330"/>
      <c r="I320" s="330"/>
      <c r="J320" s="330"/>
      <c r="K320" s="330"/>
      <c r="L320" s="330"/>
      <c r="M320" s="330"/>
      <c r="N320" s="330"/>
      <c r="O320" s="330"/>
      <c r="P320" s="330"/>
      <c r="Q320" s="330"/>
      <c r="R320" s="330"/>
      <c r="S320" s="330"/>
      <c r="T320" s="330"/>
      <c r="U320" s="330"/>
      <c r="V320" s="330"/>
      <c r="W320" s="330"/>
      <c r="X320" s="330"/>
      <c r="Y320" s="330"/>
      <c r="Z320" s="619"/>
      <c r="AA320" s="619"/>
      <c r="AB320" s="619"/>
      <c r="AC320" s="619"/>
      <c r="AD320" s="60"/>
    </row>
    <row r="321" spans="1:30" x14ac:dyDescent="0.25">
      <c r="A321" s="443"/>
      <c r="B321" s="443"/>
      <c r="C321" s="443"/>
      <c r="D321" s="330"/>
      <c r="E321" s="330"/>
      <c r="F321" s="330"/>
      <c r="G321" s="330"/>
      <c r="H321" s="330"/>
      <c r="I321" s="330"/>
      <c r="J321" s="330"/>
      <c r="K321" s="330"/>
      <c r="L321" s="330"/>
      <c r="M321" s="330"/>
      <c r="N321" s="330"/>
      <c r="O321" s="330"/>
      <c r="P321" s="330"/>
      <c r="Q321" s="330"/>
      <c r="R321" s="330"/>
      <c r="S321" s="330"/>
      <c r="T321" s="330"/>
      <c r="U321" s="330"/>
      <c r="V321" s="330"/>
      <c r="W321" s="330"/>
      <c r="X321" s="330"/>
      <c r="Y321" s="330"/>
      <c r="Z321" s="619"/>
      <c r="AA321" s="619"/>
      <c r="AB321" s="619"/>
      <c r="AC321" s="619"/>
      <c r="AD321" s="60"/>
    </row>
    <row r="322" spans="1:30" x14ac:dyDescent="0.25">
      <c r="A322" s="443"/>
      <c r="B322" s="443"/>
      <c r="C322" s="443"/>
      <c r="D322" s="330"/>
      <c r="E322" s="330"/>
      <c r="F322" s="330"/>
      <c r="G322" s="330"/>
      <c r="H322" s="330"/>
      <c r="I322" s="330"/>
      <c r="J322" s="330"/>
      <c r="K322" s="330"/>
      <c r="L322" s="330"/>
      <c r="M322" s="330"/>
      <c r="N322" s="330"/>
      <c r="O322" s="330"/>
      <c r="P322" s="330"/>
      <c r="Q322" s="330"/>
      <c r="R322" s="330"/>
      <c r="S322" s="330"/>
      <c r="T322" s="330"/>
      <c r="U322" s="330"/>
      <c r="V322" s="330"/>
      <c r="W322" s="330"/>
      <c r="X322" s="330"/>
      <c r="Y322" s="330"/>
      <c r="Z322" s="619"/>
      <c r="AA322" s="619"/>
      <c r="AB322" s="619"/>
      <c r="AC322" s="619"/>
      <c r="AD322" s="60"/>
    </row>
    <row r="323" spans="1:30" x14ac:dyDescent="0.25">
      <c r="A323" s="443"/>
      <c r="B323" s="443"/>
      <c r="C323" s="443"/>
      <c r="D323" s="330"/>
      <c r="E323" s="330"/>
      <c r="F323" s="330"/>
      <c r="G323" s="330"/>
      <c r="H323" s="330"/>
      <c r="I323" s="330"/>
      <c r="J323" s="330"/>
      <c r="K323" s="330"/>
      <c r="L323" s="330"/>
      <c r="M323" s="330"/>
      <c r="N323" s="330"/>
      <c r="O323" s="330"/>
      <c r="P323" s="330"/>
      <c r="Q323" s="330"/>
      <c r="R323" s="330"/>
      <c r="S323" s="330"/>
      <c r="T323" s="330"/>
      <c r="U323" s="330"/>
      <c r="V323" s="330"/>
      <c r="W323" s="330"/>
      <c r="X323" s="330"/>
      <c r="Y323" s="330"/>
      <c r="Z323" s="619"/>
      <c r="AA323" s="619"/>
      <c r="AB323" s="619"/>
      <c r="AC323" s="619"/>
      <c r="AD323" s="60"/>
    </row>
    <row r="324" spans="1:30" x14ac:dyDescent="0.25">
      <c r="A324" s="443"/>
      <c r="B324" s="443"/>
      <c r="C324" s="443"/>
      <c r="D324" s="330"/>
      <c r="E324" s="330"/>
      <c r="F324" s="330"/>
      <c r="G324" s="330"/>
      <c r="H324" s="330"/>
      <c r="I324" s="330"/>
      <c r="J324" s="330"/>
      <c r="K324" s="330"/>
      <c r="L324" s="330"/>
      <c r="M324" s="330"/>
      <c r="N324" s="330"/>
      <c r="O324" s="330"/>
      <c r="P324" s="330"/>
      <c r="Q324" s="330"/>
      <c r="R324" s="330"/>
      <c r="S324" s="330"/>
      <c r="T324" s="330"/>
      <c r="U324" s="330"/>
      <c r="V324" s="330"/>
      <c r="W324" s="330"/>
      <c r="X324" s="330"/>
      <c r="Y324" s="330"/>
      <c r="Z324" s="619"/>
      <c r="AA324" s="619"/>
      <c r="AB324" s="619"/>
      <c r="AC324" s="619"/>
      <c r="AD324" s="60"/>
    </row>
    <row r="325" spans="1:30" x14ac:dyDescent="0.25">
      <c r="A325" s="443"/>
      <c r="B325" s="443"/>
      <c r="C325" s="443"/>
      <c r="D325" s="330"/>
      <c r="E325" s="330"/>
      <c r="F325" s="330"/>
      <c r="G325" s="330"/>
      <c r="H325" s="330"/>
      <c r="I325" s="330"/>
      <c r="J325" s="330"/>
      <c r="K325" s="330"/>
      <c r="L325" s="330"/>
      <c r="M325" s="330"/>
      <c r="N325" s="330"/>
      <c r="O325" s="330"/>
      <c r="P325" s="330"/>
      <c r="Q325" s="330"/>
      <c r="R325" s="330"/>
      <c r="S325" s="330"/>
      <c r="T325" s="330"/>
      <c r="U325" s="330"/>
      <c r="V325" s="330"/>
      <c r="W325" s="330"/>
      <c r="X325" s="330"/>
      <c r="Y325" s="330"/>
      <c r="Z325" s="619"/>
      <c r="AA325" s="619"/>
      <c r="AB325" s="619"/>
      <c r="AC325" s="619"/>
      <c r="AD325" s="60"/>
    </row>
    <row r="326" spans="1:30" x14ac:dyDescent="0.25">
      <c r="A326" s="443"/>
      <c r="B326" s="443"/>
      <c r="C326" s="443"/>
      <c r="D326" s="330"/>
      <c r="E326" s="330"/>
      <c r="F326" s="330"/>
      <c r="G326" s="330"/>
      <c r="H326" s="330"/>
      <c r="I326" s="330"/>
      <c r="J326" s="330"/>
      <c r="K326" s="330"/>
      <c r="L326" s="330"/>
      <c r="M326" s="330"/>
      <c r="N326" s="330"/>
      <c r="O326" s="330"/>
      <c r="P326" s="330"/>
      <c r="Q326" s="330"/>
      <c r="R326" s="330"/>
      <c r="S326" s="330"/>
      <c r="T326" s="330"/>
      <c r="U326" s="330"/>
      <c r="V326" s="330"/>
      <c r="W326" s="330"/>
      <c r="X326" s="330"/>
      <c r="Y326" s="330"/>
      <c r="Z326" s="619"/>
      <c r="AA326" s="619"/>
      <c r="AB326" s="619"/>
      <c r="AC326" s="619"/>
      <c r="AD326" s="60"/>
    </row>
    <row r="327" spans="1:30" x14ac:dyDescent="0.25">
      <c r="A327" s="443"/>
      <c r="B327" s="443"/>
      <c r="C327" s="443"/>
      <c r="D327" s="330"/>
      <c r="E327" s="330"/>
      <c r="F327" s="330"/>
      <c r="G327" s="330"/>
      <c r="H327" s="330"/>
      <c r="I327" s="330"/>
      <c r="J327" s="330"/>
      <c r="K327" s="330"/>
      <c r="L327" s="330"/>
      <c r="M327" s="330"/>
      <c r="N327" s="330"/>
      <c r="O327" s="330"/>
      <c r="P327" s="330"/>
      <c r="Q327" s="330"/>
      <c r="R327" s="330"/>
      <c r="S327" s="330"/>
      <c r="T327" s="330"/>
      <c r="U327" s="330"/>
      <c r="V327" s="330"/>
      <c r="W327" s="330"/>
      <c r="X327" s="330"/>
      <c r="Y327" s="330"/>
      <c r="Z327" s="619"/>
      <c r="AA327" s="619"/>
      <c r="AB327" s="619"/>
      <c r="AC327" s="619"/>
      <c r="AD327" s="60"/>
    </row>
    <row r="328" spans="1:30" x14ac:dyDescent="0.25">
      <c r="A328" s="443"/>
      <c r="B328" s="443"/>
      <c r="C328" s="443"/>
      <c r="D328" s="330"/>
      <c r="E328" s="330"/>
      <c r="F328" s="330"/>
      <c r="G328" s="330"/>
      <c r="H328" s="330"/>
      <c r="I328" s="330"/>
      <c r="J328" s="330"/>
      <c r="K328" s="330"/>
      <c r="L328" s="330"/>
      <c r="M328" s="330"/>
      <c r="N328" s="330"/>
      <c r="O328" s="330"/>
      <c r="P328" s="330"/>
      <c r="Q328" s="330"/>
      <c r="R328" s="330"/>
      <c r="S328" s="330"/>
      <c r="T328" s="330"/>
      <c r="U328" s="330"/>
      <c r="V328" s="330"/>
      <c r="W328" s="330"/>
      <c r="X328" s="330"/>
      <c r="Y328" s="330"/>
      <c r="Z328" s="619"/>
      <c r="AA328" s="619"/>
      <c r="AB328" s="619"/>
      <c r="AC328" s="619"/>
      <c r="AD328" s="60"/>
    </row>
    <row r="329" spans="1:30" x14ac:dyDescent="0.25">
      <c r="A329" s="443"/>
      <c r="B329" s="443"/>
      <c r="C329" s="443"/>
      <c r="D329" s="330"/>
      <c r="E329" s="330"/>
      <c r="F329" s="330"/>
      <c r="G329" s="330"/>
      <c r="H329" s="330"/>
      <c r="I329" s="330"/>
      <c r="J329" s="330"/>
      <c r="K329" s="330"/>
      <c r="L329" s="330"/>
      <c r="M329" s="330"/>
      <c r="N329" s="330"/>
      <c r="O329" s="330"/>
      <c r="P329" s="330"/>
      <c r="Q329" s="330"/>
      <c r="R329" s="330"/>
      <c r="S329" s="330"/>
      <c r="T329" s="330"/>
      <c r="U329" s="330"/>
      <c r="V329" s="330"/>
      <c r="W329" s="330"/>
      <c r="X329" s="330"/>
      <c r="Y329" s="330"/>
      <c r="Z329" s="619"/>
      <c r="AA329" s="619"/>
      <c r="AB329" s="619"/>
      <c r="AC329" s="619"/>
      <c r="AD329" s="60"/>
    </row>
    <row r="330" spans="1:30" x14ac:dyDescent="0.25">
      <c r="A330" s="443"/>
      <c r="B330" s="443"/>
      <c r="C330" s="443"/>
      <c r="D330" s="330"/>
      <c r="E330" s="330"/>
      <c r="F330" s="330"/>
      <c r="G330" s="330"/>
      <c r="H330" s="330"/>
      <c r="I330" s="330"/>
      <c r="J330" s="330"/>
      <c r="K330" s="330"/>
      <c r="L330" s="330"/>
      <c r="M330" s="330"/>
      <c r="N330" s="330"/>
      <c r="O330" s="330"/>
      <c r="P330" s="330"/>
      <c r="Q330" s="330"/>
      <c r="R330" s="330"/>
      <c r="S330" s="330"/>
      <c r="T330" s="330"/>
      <c r="U330" s="330"/>
      <c r="V330" s="330"/>
      <c r="W330" s="330"/>
      <c r="X330" s="330"/>
      <c r="Y330" s="330"/>
      <c r="Z330" s="619"/>
      <c r="AA330" s="619"/>
      <c r="AB330" s="619"/>
      <c r="AC330" s="619"/>
      <c r="AD330" s="60"/>
    </row>
    <row r="331" spans="1:30" x14ac:dyDescent="0.25">
      <c r="A331" s="443"/>
      <c r="B331" s="443"/>
      <c r="C331" s="443"/>
      <c r="D331" s="330"/>
      <c r="E331" s="330"/>
      <c r="F331" s="330"/>
      <c r="G331" s="330"/>
      <c r="H331" s="330"/>
      <c r="I331" s="330"/>
      <c r="J331" s="330"/>
      <c r="K331" s="330"/>
      <c r="L331" s="330"/>
      <c r="M331" s="330"/>
      <c r="N331" s="330"/>
      <c r="O331" s="330"/>
      <c r="P331" s="330"/>
      <c r="Q331" s="330"/>
      <c r="R331" s="330"/>
      <c r="S331" s="330"/>
      <c r="T331" s="330"/>
      <c r="U331" s="330"/>
      <c r="V331" s="330"/>
      <c r="W331" s="330"/>
      <c r="X331" s="330"/>
      <c r="Y331" s="330"/>
      <c r="Z331" s="619"/>
      <c r="AA331" s="619"/>
      <c r="AB331" s="619"/>
      <c r="AC331" s="619"/>
      <c r="AD331" s="60"/>
    </row>
    <row r="332" spans="1:30" x14ac:dyDescent="0.25">
      <c r="A332" s="443"/>
      <c r="B332" s="443"/>
      <c r="C332" s="443"/>
      <c r="D332" s="330"/>
      <c r="E332" s="330"/>
      <c r="F332" s="330"/>
      <c r="G332" s="330"/>
      <c r="H332" s="330"/>
      <c r="I332" s="330"/>
      <c r="J332" s="330"/>
      <c r="K332" s="330"/>
      <c r="L332" s="330"/>
      <c r="M332" s="330"/>
      <c r="N332" s="330"/>
      <c r="O332" s="330"/>
      <c r="P332" s="330"/>
      <c r="Q332" s="330"/>
      <c r="R332" s="330"/>
      <c r="S332" s="330"/>
      <c r="T332" s="330"/>
      <c r="U332" s="330"/>
      <c r="V332" s="330"/>
      <c r="W332" s="330"/>
      <c r="X332" s="330"/>
      <c r="Y332" s="330"/>
      <c r="Z332" s="619"/>
      <c r="AA332" s="619"/>
      <c r="AB332" s="619"/>
      <c r="AC332" s="619"/>
      <c r="AD332" s="60"/>
    </row>
    <row r="333" spans="1:30" x14ac:dyDescent="0.25">
      <c r="A333" s="443"/>
      <c r="B333" s="443"/>
      <c r="C333" s="443"/>
      <c r="D333" s="330"/>
      <c r="E333" s="330"/>
      <c r="F333" s="330"/>
      <c r="G333" s="330"/>
      <c r="H333" s="330"/>
      <c r="I333" s="330"/>
      <c r="J333" s="330"/>
      <c r="K333" s="330"/>
      <c r="L333" s="330"/>
      <c r="M333" s="330"/>
      <c r="N333" s="330"/>
      <c r="O333" s="330"/>
      <c r="P333" s="330"/>
      <c r="Q333" s="330"/>
      <c r="R333" s="330"/>
      <c r="S333" s="330"/>
      <c r="T333" s="330"/>
      <c r="U333" s="330"/>
      <c r="V333" s="330"/>
      <c r="W333" s="330"/>
      <c r="X333" s="330"/>
      <c r="Y333" s="330"/>
      <c r="Z333" s="619"/>
      <c r="AA333" s="619"/>
      <c r="AB333" s="619"/>
      <c r="AC333" s="619"/>
      <c r="AD333" s="60"/>
    </row>
    <row r="334" spans="1:30" x14ac:dyDescent="0.25">
      <c r="A334" s="443"/>
      <c r="B334" s="443"/>
      <c r="C334" s="443"/>
      <c r="D334" s="330"/>
      <c r="E334" s="330"/>
      <c r="F334" s="330"/>
      <c r="G334" s="330"/>
      <c r="H334" s="330"/>
      <c r="I334" s="330"/>
      <c r="J334" s="330"/>
      <c r="K334" s="330"/>
      <c r="L334" s="330"/>
      <c r="M334" s="330"/>
      <c r="N334" s="330"/>
      <c r="O334" s="330"/>
      <c r="P334" s="330"/>
      <c r="Q334" s="330"/>
      <c r="R334" s="330"/>
      <c r="S334" s="330"/>
      <c r="T334" s="330"/>
      <c r="U334" s="330"/>
      <c r="V334" s="330"/>
      <c r="W334" s="330"/>
      <c r="X334" s="330"/>
      <c r="Y334" s="330"/>
      <c r="Z334" s="619"/>
      <c r="AA334" s="619"/>
      <c r="AB334" s="619"/>
      <c r="AC334" s="619"/>
      <c r="AD334" s="60"/>
    </row>
    <row r="335" spans="1:30" x14ac:dyDescent="0.25">
      <c r="A335" s="443"/>
      <c r="B335" s="443"/>
      <c r="C335" s="443"/>
      <c r="D335" s="330"/>
      <c r="E335" s="330"/>
      <c r="F335" s="330"/>
      <c r="G335" s="330"/>
      <c r="H335" s="330"/>
      <c r="I335" s="330"/>
      <c r="J335" s="330"/>
      <c r="K335" s="330"/>
      <c r="L335" s="330"/>
      <c r="M335" s="330"/>
      <c r="N335" s="330"/>
      <c r="O335" s="330"/>
      <c r="P335" s="330"/>
      <c r="Q335" s="330"/>
      <c r="R335" s="330"/>
      <c r="S335" s="330"/>
      <c r="T335" s="330"/>
      <c r="U335" s="330"/>
      <c r="V335" s="330"/>
      <c r="W335" s="330"/>
      <c r="X335" s="330"/>
      <c r="Y335" s="330"/>
      <c r="Z335" s="619"/>
      <c r="AA335" s="619"/>
      <c r="AB335" s="619"/>
      <c r="AC335" s="619"/>
      <c r="AD335" s="60"/>
    </row>
    <row r="336" spans="1:30" x14ac:dyDescent="0.25">
      <c r="A336" s="443"/>
      <c r="B336" s="443"/>
      <c r="C336" s="443"/>
      <c r="D336" s="330"/>
      <c r="E336" s="330"/>
      <c r="F336" s="330"/>
      <c r="G336" s="330"/>
      <c r="H336" s="330"/>
      <c r="I336" s="330"/>
      <c r="J336" s="330"/>
      <c r="K336" s="330"/>
      <c r="L336" s="330"/>
      <c r="M336" s="330"/>
      <c r="N336" s="330"/>
      <c r="O336" s="330"/>
      <c r="P336" s="330"/>
      <c r="Q336" s="330"/>
      <c r="R336" s="330"/>
      <c r="S336" s="330"/>
      <c r="T336" s="330"/>
      <c r="U336" s="330"/>
      <c r="V336" s="330"/>
      <c r="W336" s="330"/>
      <c r="X336" s="330"/>
      <c r="Y336" s="330"/>
      <c r="Z336" s="619"/>
      <c r="AA336" s="619"/>
      <c r="AB336" s="619"/>
      <c r="AC336" s="619"/>
      <c r="AD336" s="60"/>
    </row>
    <row r="337" spans="1:30" x14ac:dyDescent="0.25">
      <c r="A337" s="443"/>
      <c r="B337" s="443"/>
      <c r="C337" s="443"/>
      <c r="D337" s="330"/>
      <c r="E337" s="330"/>
      <c r="F337" s="330"/>
      <c r="G337" s="330"/>
      <c r="H337" s="330"/>
      <c r="I337" s="330"/>
      <c r="J337" s="330"/>
      <c r="K337" s="330"/>
      <c r="L337" s="330"/>
      <c r="M337" s="330"/>
      <c r="N337" s="330"/>
      <c r="O337" s="330"/>
      <c r="P337" s="330"/>
      <c r="Q337" s="330"/>
      <c r="R337" s="330"/>
      <c r="S337" s="330"/>
      <c r="T337" s="330"/>
      <c r="U337" s="330"/>
      <c r="V337" s="330"/>
      <c r="W337" s="330"/>
      <c r="X337" s="330"/>
      <c r="Y337" s="330"/>
      <c r="Z337" s="619"/>
      <c r="AA337" s="619"/>
      <c r="AB337" s="619"/>
      <c r="AC337" s="619"/>
      <c r="AD337" s="60"/>
    </row>
    <row r="338" spans="1:30" x14ac:dyDescent="0.25">
      <c r="A338" s="443"/>
      <c r="B338" s="443"/>
      <c r="C338" s="443"/>
      <c r="D338" s="330"/>
      <c r="E338" s="330"/>
      <c r="F338" s="330"/>
      <c r="G338" s="330"/>
      <c r="H338" s="330"/>
      <c r="I338" s="330"/>
      <c r="J338" s="330"/>
      <c r="K338" s="330"/>
      <c r="L338" s="330"/>
      <c r="M338" s="330"/>
      <c r="N338" s="330"/>
      <c r="O338" s="330"/>
      <c r="P338" s="330"/>
      <c r="Q338" s="330"/>
      <c r="R338" s="330"/>
      <c r="S338" s="330"/>
      <c r="T338" s="330"/>
      <c r="U338" s="330"/>
      <c r="V338" s="330"/>
      <c r="W338" s="330"/>
      <c r="X338" s="330"/>
      <c r="Y338" s="330"/>
      <c r="Z338" s="619"/>
      <c r="AA338" s="619"/>
      <c r="AB338" s="619"/>
      <c r="AC338" s="619"/>
      <c r="AD338" s="60"/>
    </row>
    <row r="339" spans="1:30" x14ac:dyDescent="0.25">
      <c r="A339" s="443"/>
      <c r="B339" s="443"/>
      <c r="C339" s="443"/>
      <c r="D339" s="330"/>
      <c r="E339" s="330"/>
      <c r="F339" s="330"/>
      <c r="G339" s="330"/>
      <c r="H339" s="330"/>
      <c r="I339" s="330"/>
      <c r="J339" s="330"/>
      <c r="K339" s="330"/>
      <c r="L339" s="330"/>
      <c r="M339" s="330"/>
      <c r="N339" s="330"/>
      <c r="O339" s="330"/>
      <c r="P339" s="330"/>
      <c r="Q339" s="330"/>
      <c r="R339" s="330"/>
      <c r="S339" s="330"/>
      <c r="T339" s="330"/>
      <c r="U339" s="330"/>
      <c r="V339" s="330"/>
      <c r="W339" s="330"/>
      <c r="X339" s="330"/>
      <c r="Y339" s="330"/>
      <c r="Z339" s="619"/>
      <c r="AA339" s="619"/>
      <c r="AB339" s="619"/>
      <c r="AC339" s="619"/>
      <c r="AD339" s="60"/>
    </row>
    <row r="340" spans="1:30" x14ac:dyDescent="0.25">
      <c r="A340" s="443"/>
      <c r="B340" s="443"/>
      <c r="C340" s="443"/>
      <c r="D340" s="330"/>
      <c r="E340" s="330"/>
      <c r="F340" s="330"/>
      <c r="G340" s="330"/>
      <c r="H340" s="330"/>
      <c r="I340" s="330"/>
      <c r="J340" s="330"/>
      <c r="K340" s="330"/>
      <c r="L340" s="330"/>
      <c r="M340" s="330"/>
      <c r="N340" s="330"/>
      <c r="O340" s="330"/>
      <c r="P340" s="330"/>
      <c r="Q340" s="330"/>
      <c r="R340" s="330"/>
      <c r="S340" s="330"/>
      <c r="T340" s="330"/>
      <c r="U340" s="330"/>
      <c r="V340" s="330"/>
      <c r="W340" s="330"/>
      <c r="X340" s="330"/>
      <c r="Y340" s="330"/>
      <c r="Z340" s="619"/>
      <c r="AA340" s="619"/>
      <c r="AB340" s="619"/>
      <c r="AC340" s="619"/>
      <c r="AD340" s="60"/>
    </row>
    <row r="341" spans="1:30" x14ac:dyDescent="0.25">
      <c r="A341" s="443"/>
      <c r="B341" s="443"/>
      <c r="C341" s="443"/>
      <c r="D341" s="330"/>
      <c r="E341" s="330"/>
      <c r="F341" s="330"/>
      <c r="G341" s="330"/>
      <c r="H341" s="330"/>
      <c r="I341" s="330"/>
      <c r="J341" s="330"/>
      <c r="K341" s="330"/>
      <c r="L341" s="330"/>
      <c r="M341" s="330"/>
      <c r="N341" s="330"/>
      <c r="O341" s="330"/>
      <c r="P341" s="330"/>
      <c r="Q341" s="330"/>
      <c r="R341" s="330"/>
      <c r="S341" s="330"/>
      <c r="T341" s="330"/>
      <c r="U341" s="330"/>
      <c r="V341" s="330"/>
      <c r="W341" s="330"/>
      <c r="X341" s="330"/>
      <c r="Y341" s="330"/>
      <c r="Z341" s="619"/>
      <c r="AA341" s="619"/>
      <c r="AB341" s="619"/>
      <c r="AC341" s="619"/>
      <c r="AD341" s="60"/>
    </row>
    <row r="342" spans="1:30" x14ac:dyDescent="0.25">
      <c r="A342" s="443"/>
      <c r="B342" s="443"/>
      <c r="C342" s="443"/>
      <c r="D342" s="330"/>
      <c r="E342" s="330"/>
      <c r="F342" s="330"/>
      <c r="G342" s="330"/>
      <c r="H342" s="330"/>
      <c r="I342" s="330"/>
      <c r="J342" s="330"/>
      <c r="K342" s="330"/>
      <c r="L342" s="330"/>
      <c r="M342" s="330"/>
      <c r="N342" s="330"/>
      <c r="O342" s="330"/>
      <c r="P342" s="330"/>
      <c r="Q342" s="330"/>
      <c r="R342" s="330"/>
      <c r="S342" s="330"/>
      <c r="T342" s="330"/>
      <c r="U342" s="330"/>
      <c r="V342" s="330"/>
      <c r="W342" s="330"/>
      <c r="X342" s="330"/>
      <c r="Y342" s="330"/>
      <c r="Z342" s="619"/>
      <c r="AA342" s="619"/>
      <c r="AB342" s="619"/>
      <c r="AC342" s="619"/>
      <c r="AD342" s="60"/>
    </row>
    <row r="343" spans="1:30" x14ac:dyDescent="0.25">
      <c r="A343" s="443"/>
      <c r="B343" s="443"/>
      <c r="C343" s="443"/>
      <c r="D343" s="330"/>
      <c r="E343" s="330"/>
      <c r="F343" s="330"/>
      <c r="G343" s="330"/>
      <c r="H343" s="330"/>
      <c r="I343" s="330"/>
      <c r="J343" s="330"/>
      <c r="K343" s="330"/>
      <c r="L343" s="330"/>
      <c r="M343" s="330"/>
      <c r="N343" s="330"/>
      <c r="O343" s="330"/>
      <c r="P343" s="330"/>
      <c r="Q343" s="330"/>
      <c r="R343" s="330"/>
      <c r="S343" s="330"/>
      <c r="T343" s="330"/>
      <c r="U343" s="330"/>
      <c r="V343" s="330"/>
      <c r="W343" s="330"/>
      <c r="X343" s="330"/>
      <c r="Y343" s="330"/>
      <c r="Z343" s="619"/>
      <c r="AA343" s="619"/>
      <c r="AB343" s="619"/>
      <c r="AC343" s="619"/>
      <c r="AD343" s="60"/>
    </row>
    <row r="344" spans="1:30" x14ac:dyDescent="0.25">
      <c r="A344" s="443"/>
      <c r="B344" s="443"/>
      <c r="C344" s="443"/>
      <c r="D344" s="330"/>
      <c r="E344" s="330"/>
      <c r="F344" s="330"/>
      <c r="G344" s="330"/>
      <c r="H344" s="330"/>
      <c r="I344" s="330"/>
      <c r="J344" s="330"/>
      <c r="K344" s="330"/>
      <c r="L344" s="330"/>
      <c r="M344" s="330"/>
      <c r="N344" s="330"/>
      <c r="O344" s="330"/>
      <c r="P344" s="330"/>
      <c r="Q344" s="330"/>
      <c r="R344" s="330"/>
      <c r="S344" s="330"/>
      <c r="T344" s="330"/>
      <c r="U344" s="330"/>
      <c r="V344" s="330"/>
      <c r="W344" s="330"/>
      <c r="X344" s="330"/>
      <c r="Y344" s="330"/>
      <c r="Z344" s="619"/>
      <c r="AA344" s="619"/>
      <c r="AB344" s="619"/>
      <c r="AC344" s="619"/>
      <c r="AD344" s="60"/>
    </row>
    <row r="345" spans="1:30" x14ac:dyDescent="0.25">
      <c r="A345" s="443"/>
      <c r="B345" s="443"/>
      <c r="C345" s="443"/>
      <c r="D345" s="330"/>
      <c r="E345" s="330"/>
      <c r="F345" s="330"/>
      <c r="G345" s="330"/>
      <c r="H345" s="330"/>
      <c r="I345" s="330"/>
      <c r="J345" s="330"/>
      <c r="K345" s="330"/>
      <c r="L345" s="330"/>
      <c r="M345" s="330"/>
      <c r="N345" s="330"/>
      <c r="O345" s="330"/>
      <c r="P345" s="330"/>
      <c r="Q345" s="330"/>
      <c r="R345" s="330"/>
      <c r="S345" s="330"/>
      <c r="T345" s="330"/>
      <c r="U345" s="330"/>
      <c r="V345" s="330"/>
      <c r="W345" s="330"/>
      <c r="X345" s="330"/>
      <c r="Y345" s="330"/>
      <c r="Z345" s="619"/>
      <c r="AA345" s="619"/>
      <c r="AB345" s="619"/>
      <c r="AC345" s="619"/>
      <c r="AD345" s="60"/>
    </row>
    <row r="346" spans="1:30" x14ac:dyDescent="0.25">
      <c r="A346" s="443"/>
      <c r="B346" s="443"/>
      <c r="C346" s="443"/>
      <c r="D346" s="330"/>
      <c r="E346" s="330"/>
      <c r="F346" s="330"/>
      <c r="G346" s="330"/>
      <c r="H346" s="330"/>
      <c r="I346" s="330"/>
      <c r="J346" s="330"/>
      <c r="K346" s="330"/>
      <c r="L346" s="330"/>
      <c r="M346" s="330"/>
      <c r="N346" s="330"/>
      <c r="O346" s="330"/>
      <c r="P346" s="330"/>
      <c r="Q346" s="330"/>
      <c r="R346" s="330"/>
      <c r="S346" s="330"/>
      <c r="T346" s="330"/>
      <c r="U346" s="330"/>
      <c r="V346" s="330"/>
      <c r="W346" s="330"/>
      <c r="X346" s="330"/>
      <c r="Y346" s="330"/>
      <c r="Z346" s="619"/>
      <c r="AA346" s="619"/>
      <c r="AB346" s="619"/>
      <c r="AC346" s="619"/>
      <c r="AD346" s="60"/>
    </row>
    <row r="347" spans="1:30" x14ac:dyDescent="0.25">
      <c r="A347" s="443"/>
      <c r="B347" s="443"/>
      <c r="C347" s="443"/>
      <c r="D347" s="330"/>
      <c r="E347" s="330"/>
      <c r="F347" s="330"/>
      <c r="G347" s="330"/>
      <c r="H347" s="330"/>
      <c r="I347" s="330"/>
      <c r="J347" s="330"/>
      <c r="K347" s="330"/>
      <c r="L347" s="330"/>
      <c r="M347" s="330"/>
      <c r="N347" s="330"/>
      <c r="O347" s="330"/>
      <c r="P347" s="330"/>
      <c r="Q347" s="330"/>
      <c r="R347" s="330"/>
      <c r="S347" s="330"/>
      <c r="T347" s="330"/>
      <c r="U347" s="330"/>
      <c r="V347" s="330"/>
      <c r="W347" s="330"/>
      <c r="X347" s="330"/>
      <c r="Y347" s="330"/>
      <c r="Z347" s="619"/>
      <c r="AA347" s="619"/>
      <c r="AB347" s="619"/>
      <c r="AC347" s="619"/>
      <c r="AD347" s="60"/>
    </row>
    <row r="348" spans="1:30" x14ac:dyDescent="0.25">
      <c r="A348" s="443"/>
      <c r="B348" s="443"/>
      <c r="C348" s="443"/>
      <c r="D348" s="330"/>
      <c r="E348" s="330"/>
      <c r="F348" s="330"/>
      <c r="G348" s="330"/>
      <c r="H348" s="330"/>
      <c r="I348" s="330"/>
      <c r="J348" s="330"/>
      <c r="K348" s="330"/>
      <c r="L348" s="330"/>
      <c r="M348" s="330"/>
      <c r="N348" s="330"/>
      <c r="O348" s="330"/>
      <c r="P348" s="330"/>
      <c r="Q348" s="330"/>
      <c r="R348" s="330"/>
      <c r="S348" s="330"/>
      <c r="T348" s="330"/>
      <c r="U348" s="330"/>
      <c r="V348" s="330"/>
      <c r="W348" s="330"/>
      <c r="X348" s="330"/>
      <c r="Y348" s="330"/>
      <c r="Z348" s="619"/>
      <c r="AA348" s="619"/>
      <c r="AB348" s="619"/>
      <c r="AC348" s="619"/>
      <c r="AD348" s="60"/>
    </row>
    <row r="349" spans="1:30" x14ac:dyDescent="0.25">
      <c r="A349" s="443"/>
      <c r="B349" s="443"/>
      <c r="C349" s="443"/>
      <c r="D349" s="330"/>
      <c r="E349" s="330"/>
      <c r="F349" s="330"/>
      <c r="G349" s="330"/>
      <c r="H349" s="330"/>
      <c r="I349" s="330"/>
      <c r="J349" s="330"/>
      <c r="K349" s="330"/>
      <c r="L349" s="330"/>
      <c r="M349" s="330"/>
      <c r="N349" s="330"/>
      <c r="O349" s="330"/>
      <c r="P349" s="330"/>
      <c r="Q349" s="330"/>
      <c r="R349" s="330"/>
      <c r="S349" s="330"/>
      <c r="T349" s="330"/>
      <c r="U349" s="330"/>
      <c r="V349" s="330"/>
      <c r="W349" s="330"/>
      <c r="X349" s="330"/>
      <c r="Y349" s="330"/>
      <c r="Z349" s="619"/>
      <c r="AA349" s="619"/>
      <c r="AB349" s="619"/>
      <c r="AC349" s="619"/>
      <c r="AD349" s="60"/>
    </row>
    <row r="350" spans="1:30" x14ac:dyDescent="0.25">
      <c r="A350" s="443"/>
      <c r="B350" s="443"/>
      <c r="C350" s="443"/>
      <c r="D350" s="330"/>
      <c r="E350" s="330"/>
      <c r="F350" s="330"/>
      <c r="G350" s="330"/>
      <c r="H350" s="330"/>
      <c r="I350" s="330"/>
      <c r="J350" s="330"/>
      <c r="K350" s="330"/>
      <c r="L350" s="330"/>
      <c r="M350" s="330"/>
      <c r="N350" s="330"/>
      <c r="O350" s="330"/>
      <c r="P350" s="330"/>
      <c r="Q350" s="330"/>
      <c r="R350" s="330"/>
      <c r="S350" s="330"/>
      <c r="T350" s="330"/>
      <c r="U350" s="330"/>
      <c r="V350" s="330"/>
      <c r="W350" s="330"/>
      <c r="X350" s="330"/>
      <c r="Y350" s="330"/>
      <c r="Z350" s="619"/>
      <c r="AA350" s="619"/>
      <c r="AB350" s="619"/>
      <c r="AC350" s="619"/>
      <c r="AD350" s="60"/>
    </row>
    <row r="351" spans="1:30" x14ac:dyDescent="0.25">
      <c r="A351" s="443"/>
      <c r="B351" s="443"/>
      <c r="C351" s="443"/>
      <c r="D351" s="330"/>
      <c r="E351" s="330"/>
      <c r="F351" s="330"/>
      <c r="G351" s="330"/>
      <c r="H351" s="330"/>
      <c r="I351" s="330"/>
      <c r="J351" s="330"/>
      <c r="K351" s="330"/>
      <c r="L351" s="330"/>
      <c r="M351" s="330"/>
      <c r="N351" s="330"/>
      <c r="O351" s="330"/>
      <c r="P351" s="330"/>
      <c r="Q351" s="330"/>
      <c r="R351" s="330"/>
      <c r="S351" s="330"/>
      <c r="T351" s="330"/>
      <c r="U351" s="330"/>
      <c r="V351" s="330"/>
      <c r="W351" s="330"/>
      <c r="X351" s="330"/>
      <c r="Y351" s="330"/>
      <c r="Z351" s="619"/>
      <c r="AA351" s="619"/>
      <c r="AB351" s="619"/>
      <c r="AC351" s="619"/>
      <c r="AD351" s="60"/>
    </row>
    <row r="352" spans="1:30" x14ac:dyDescent="0.25">
      <c r="A352" s="443"/>
      <c r="B352" s="443"/>
      <c r="C352" s="443"/>
      <c r="D352" s="330"/>
      <c r="E352" s="330"/>
      <c r="F352" s="330"/>
      <c r="G352" s="330"/>
      <c r="H352" s="330"/>
      <c r="I352" s="330"/>
      <c r="J352" s="330"/>
      <c r="K352" s="330"/>
      <c r="L352" s="330"/>
      <c r="M352" s="330"/>
      <c r="N352" s="330"/>
      <c r="O352" s="330"/>
      <c r="P352" s="330"/>
      <c r="Q352" s="330"/>
      <c r="R352" s="330"/>
      <c r="S352" s="330"/>
      <c r="T352" s="330"/>
      <c r="U352" s="330"/>
      <c r="V352" s="330"/>
      <c r="W352" s="330"/>
      <c r="X352" s="330"/>
      <c r="Y352" s="330"/>
      <c r="Z352" s="619"/>
      <c r="AA352" s="619"/>
      <c r="AB352" s="619"/>
      <c r="AC352" s="619"/>
      <c r="AD352" s="60"/>
    </row>
    <row r="353" spans="1:30" x14ac:dyDescent="0.25">
      <c r="A353" s="443"/>
      <c r="B353" s="443"/>
      <c r="C353" s="443"/>
      <c r="D353" s="330"/>
      <c r="E353" s="330"/>
      <c r="F353" s="330"/>
      <c r="G353" s="330"/>
      <c r="H353" s="330"/>
      <c r="I353" s="330"/>
      <c r="J353" s="330"/>
      <c r="K353" s="330"/>
      <c r="L353" s="330"/>
      <c r="M353" s="330"/>
      <c r="N353" s="330"/>
      <c r="O353" s="330"/>
      <c r="P353" s="330"/>
      <c r="Q353" s="330"/>
      <c r="R353" s="330"/>
      <c r="S353" s="330"/>
      <c r="T353" s="330"/>
      <c r="U353" s="330"/>
      <c r="V353" s="330"/>
      <c r="W353" s="330"/>
      <c r="X353" s="330"/>
      <c r="Y353" s="330"/>
      <c r="Z353" s="619"/>
      <c r="AA353" s="619"/>
      <c r="AB353" s="619"/>
      <c r="AC353" s="619"/>
      <c r="AD353" s="60"/>
    </row>
    <row r="354" spans="1:30" x14ac:dyDescent="0.25">
      <c r="A354" s="443"/>
      <c r="B354" s="443"/>
      <c r="C354" s="443"/>
      <c r="D354" s="330"/>
      <c r="E354" s="330"/>
      <c r="F354" s="330"/>
      <c r="G354" s="330"/>
      <c r="H354" s="330"/>
      <c r="I354" s="330"/>
      <c r="J354" s="330"/>
      <c r="K354" s="330"/>
      <c r="L354" s="330"/>
      <c r="M354" s="330"/>
      <c r="N354" s="330"/>
      <c r="O354" s="330"/>
      <c r="P354" s="330"/>
      <c r="Q354" s="330"/>
      <c r="R354" s="330"/>
      <c r="S354" s="330"/>
      <c r="T354" s="330"/>
      <c r="U354" s="330"/>
      <c r="V354" s="330"/>
      <c r="W354" s="330"/>
      <c r="X354" s="330"/>
      <c r="Y354" s="330"/>
      <c r="Z354" s="619"/>
      <c r="AA354" s="619"/>
      <c r="AB354" s="619"/>
      <c r="AC354" s="619"/>
      <c r="AD354" s="60"/>
    </row>
    <row r="355" spans="1:30" x14ac:dyDescent="0.25">
      <c r="A355" s="443"/>
      <c r="B355" s="443"/>
      <c r="C355" s="443"/>
      <c r="D355" s="330"/>
      <c r="E355" s="330"/>
      <c r="F355" s="330"/>
      <c r="G355" s="330"/>
      <c r="H355" s="330"/>
      <c r="I355" s="330"/>
      <c r="J355" s="330"/>
      <c r="K355" s="330"/>
      <c r="L355" s="330"/>
      <c r="M355" s="330"/>
      <c r="N355" s="330"/>
      <c r="O355" s="330"/>
      <c r="P355" s="330"/>
      <c r="Q355" s="330"/>
      <c r="R355" s="330"/>
      <c r="S355" s="330"/>
      <c r="T355" s="330"/>
      <c r="U355" s="330"/>
      <c r="V355" s="330"/>
      <c r="W355" s="330"/>
      <c r="X355" s="330"/>
      <c r="Y355" s="330"/>
      <c r="Z355" s="619"/>
      <c r="AA355" s="619"/>
      <c r="AB355" s="619"/>
      <c r="AC355" s="619"/>
      <c r="AD355" s="60"/>
    </row>
    <row r="356" spans="1:30" x14ac:dyDescent="0.25">
      <c r="A356" s="443"/>
      <c r="B356" s="443"/>
      <c r="C356" s="443"/>
      <c r="D356" s="330"/>
      <c r="E356" s="330"/>
      <c r="F356" s="330"/>
      <c r="G356" s="330"/>
      <c r="H356" s="330"/>
      <c r="I356" s="330"/>
      <c r="J356" s="330"/>
      <c r="K356" s="330"/>
      <c r="L356" s="330"/>
      <c r="M356" s="330"/>
      <c r="N356" s="330"/>
      <c r="O356" s="330"/>
      <c r="P356" s="330"/>
      <c r="Q356" s="330"/>
      <c r="R356" s="330"/>
      <c r="S356" s="330"/>
      <c r="T356" s="330"/>
      <c r="U356" s="330"/>
      <c r="V356" s="330"/>
      <c r="W356" s="330"/>
      <c r="X356" s="330"/>
      <c r="Y356" s="330"/>
      <c r="Z356" s="619"/>
      <c r="AA356" s="619"/>
      <c r="AB356" s="619"/>
      <c r="AC356" s="619"/>
      <c r="AD356" s="60"/>
    </row>
    <row r="357" spans="1:30" x14ac:dyDescent="0.25">
      <c r="A357" s="443"/>
      <c r="B357" s="443"/>
      <c r="C357" s="443"/>
      <c r="D357" s="330"/>
      <c r="E357" s="330"/>
      <c r="F357" s="330"/>
      <c r="G357" s="330"/>
      <c r="H357" s="330"/>
      <c r="I357" s="330"/>
      <c r="J357" s="330"/>
      <c r="K357" s="330"/>
      <c r="L357" s="330"/>
      <c r="M357" s="330"/>
      <c r="N357" s="330"/>
      <c r="O357" s="330"/>
      <c r="P357" s="330"/>
      <c r="Q357" s="330"/>
      <c r="R357" s="330"/>
      <c r="S357" s="330"/>
      <c r="T357" s="330"/>
      <c r="U357" s="330"/>
      <c r="V357" s="330"/>
      <c r="W357" s="330"/>
      <c r="X357" s="330"/>
      <c r="Y357" s="330"/>
      <c r="Z357" s="619"/>
      <c r="AA357" s="619"/>
      <c r="AB357" s="619"/>
      <c r="AC357" s="619"/>
      <c r="AD357" s="60"/>
    </row>
    <row r="358" spans="1:30" x14ac:dyDescent="0.25">
      <c r="A358" s="443"/>
      <c r="B358" s="443"/>
      <c r="C358" s="443"/>
      <c r="D358" s="330"/>
      <c r="E358" s="330"/>
      <c r="F358" s="330"/>
      <c r="G358" s="330"/>
      <c r="H358" s="330"/>
      <c r="I358" s="330"/>
      <c r="J358" s="330"/>
      <c r="K358" s="330"/>
      <c r="L358" s="330"/>
      <c r="M358" s="330"/>
      <c r="N358" s="330"/>
      <c r="O358" s="330"/>
      <c r="P358" s="330"/>
      <c r="Q358" s="330"/>
      <c r="R358" s="330"/>
      <c r="S358" s="330"/>
      <c r="T358" s="330"/>
      <c r="U358" s="330"/>
      <c r="V358" s="330"/>
      <c r="W358" s="330"/>
      <c r="X358" s="330"/>
      <c r="Y358" s="330"/>
      <c r="Z358" s="619"/>
      <c r="AA358" s="619"/>
      <c r="AB358" s="619"/>
      <c r="AC358" s="619"/>
      <c r="AD358" s="60"/>
    </row>
    <row r="359" spans="1:30" x14ac:dyDescent="0.25">
      <c r="A359" s="443"/>
      <c r="B359" s="443"/>
      <c r="C359" s="443"/>
      <c r="D359" s="330"/>
      <c r="E359" s="330"/>
      <c r="F359" s="330"/>
      <c r="G359" s="330"/>
      <c r="H359" s="330"/>
      <c r="I359" s="330"/>
      <c r="J359" s="330"/>
      <c r="K359" s="330"/>
      <c r="L359" s="330"/>
      <c r="M359" s="330"/>
      <c r="N359" s="330"/>
      <c r="O359" s="330"/>
      <c r="P359" s="330"/>
      <c r="Q359" s="330"/>
      <c r="R359" s="330"/>
      <c r="S359" s="330"/>
      <c r="T359" s="330"/>
      <c r="U359" s="330"/>
      <c r="V359" s="330"/>
      <c r="W359" s="330"/>
      <c r="X359" s="330"/>
      <c r="Y359" s="330"/>
      <c r="Z359" s="619"/>
      <c r="AA359" s="619"/>
      <c r="AB359" s="619"/>
      <c r="AC359" s="619"/>
      <c r="AD359" s="60"/>
    </row>
    <row r="360" spans="1:30" x14ac:dyDescent="0.25">
      <c r="A360" s="443"/>
      <c r="B360" s="443"/>
      <c r="C360" s="443"/>
      <c r="D360" s="330"/>
      <c r="E360" s="330"/>
      <c r="F360" s="330"/>
      <c r="G360" s="330"/>
      <c r="H360" s="330"/>
      <c r="I360" s="330"/>
      <c r="J360" s="330"/>
      <c r="K360" s="330"/>
      <c r="L360" s="330"/>
      <c r="M360" s="330"/>
      <c r="N360" s="330"/>
      <c r="O360" s="330"/>
      <c r="P360" s="330"/>
      <c r="Q360" s="330"/>
      <c r="R360" s="330"/>
      <c r="S360" s="330"/>
      <c r="T360" s="330"/>
      <c r="U360" s="330"/>
      <c r="V360" s="330"/>
      <c r="W360" s="330"/>
      <c r="X360" s="330"/>
      <c r="Y360" s="330"/>
      <c r="Z360" s="619"/>
      <c r="AA360" s="619"/>
      <c r="AB360" s="619"/>
      <c r="AC360" s="619"/>
      <c r="AD360" s="60"/>
    </row>
    <row r="361" spans="1:30" x14ac:dyDescent="0.25">
      <c r="A361" s="443"/>
      <c r="B361" s="443"/>
      <c r="C361" s="443"/>
      <c r="D361" s="330"/>
      <c r="E361" s="330"/>
      <c r="F361" s="330"/>
      <c r="G361" s="330"/>
      <c r="H361" s="330"/>
      <c r="I361" s="330"/>
      <c r="J361" s="330"/>
      <c r="K361" s="330"/>
      <c r="L361" s="330"/>
      <c r="M361" s="330"/>
      <c r="N361" s="330"/>
      <c r="O361" s="330"/>
      <c r="P361" s="330"/>
      <c r="Q361" s="330"/>
      <c r="R361" s="330"/>
      <c r="S361" s="330"/>
      <c r="T361" s="330"/>
      <c r="U361" s="330"/>
      <c r="V361" s="330"/>
      <c r="W361" s="330"/>
      <c r="X361" s="330"/>
      <c r="Y361" s="330"/>
      <c r="Z361" s="619"/>
      <c r="AA361" s="619"/>
      <c r="AB361" s="619"/>
      <c r="AC361" s="619"/>
      <c r="AD361" s="60"/>
    </row>
    <row r="362" spans="1:30" x14ac:dyDescent="0.25">
      <c r="A362" s="443"/>
      <c r="B362" s="443"/>
      <c r="C362" s="443"/>
      <c r="D362" s="330"/>
      <c r="E362" s="330"/>
      <c r="F362" s="330"/>
      <c r="G362" s="330"/>
      <c r="H362" s="330"/>
      <c r="I362" s="330"/>
      <c r="J362" s="330"/>
      <c r="K362" s="330"/>
      <c r="L362" s="330"/>
      <c r="M362" s="330"/>
      <c r="N362" s="330"/>
      <c r="O362" s="330"/>
      <c r="P362" s="330"/>
      <c r="Q362" s="330"/>
      <c r="R362" s="330"/>
      <c r="S362" s="330"/>
      <c r="T362" s="330"/>
      <c r="U362" s="330"/>
      <c r="V362" s="330"/>
      <c r="W362" s="330"/>
      <c r="X362" s="330"/>
      <c r="Y362" s="330"/>
      <c r="Z362" s="619"/>
      <c r="AA362" s="619"/>
      <c r="AB362" s="619"/>
      <c r="AC362" s="619"/>
      <c r="AD362" s="60"/>
    </row>
    <row r="363" spans="1:30" x14ac:dyDescent="0.25">
      <c r="A363" s="443"/>
      <c r="B363" s="443"/>
      <c r="C363" s="443"/>
      <c r="D363" s="330"/>
      <c r="E363" s="330"/>
      <c r="F363" s="330"/>
      <c r="G363" s="330"/>
      <c r="H363" s="330"/>
      <c r="I363" s="330"/>
      <c r="J363" s="330"/>
      <c r="K363" s="330"/>
      <c r="L363" s="330"/>
      <c r="M363" s="330"/>
      <c r="N363" s="330"/>
      <c r="O363" s="330"/>
      <c r="P363" s="330"/>
      <c r="Q363" s="330"/>
      <c r="R363" s="330"/>
      <c r="S363" s="330"/>
      <c r="T363" s="330"/>
      <c r="U363" s="330"/>
      <c r="V363" s="330"/>
      <c r="W363" s="330"/>
      <c r="X363" s="330"/>
      <c r="Y363" s="330"/>
      <c r="Z363" s="619"/>
      <c r="AA363" s="619"/>
      <c r="AB363" s="619"/>
      <c r="AC363" s="619"/>
      <c r="AD363" s="60"/>
    </row>
    <row r="364" spans="1:30" x14ac:dyDescent="0.25">
      <c r="A364" s="443"/>
      <c r="B364" s="443"/>
      <c r="C364" s="443"/>
      <c r="D364" s="330"/>
      <c r="E364" s="330"/>
      <c r="F364" s="330"/>
      <c r="G364" s="330"/>
      <c r="H364" s="330"/>
      <c r="I364" s="330"/>
      <c r="J364" s="330"/>
      <c r="K364" s="330"/>
      <c r="L364" s="330"/>
      <c r="M364" s="330"/>
      <c r="N364" s="330"/>
      <c r="O364" s="330"/>
      <c r="P364" s="330"/>
      <c r="Q364" s="330"/>
      <c r="R364" s="330"/>
      <c r="S364" s="330"/>
      <c r="T364" s="330"/>
      <c r="U364" s="330"/>
      <c r="V364" s="330"/>
      <c r="W364" s="330"/>
      <c r="X364" s="330"/>
      <c r="Y364" s="330"/>
      <c r="Z364" s="619"/>
      <c r="AA364" s="619"/>
      <c r="AB364" s="619"/>
      <c r="AC364" s="619"/>
      <c r="AD364" s="60"/>
    </row>
    <row r="365" spans="1:30" x14ac:dyDescent="0.25">
      <c r="A365" s="443"/>
      <c r="B365" s="443"/>
      <c r="C365" s="443"/>
      <c r="D365" s="330"/>
      <c r="E365" s="330"/>
      <c r="F365" s="330"/>
      <c r="G365" s="330"/>
      <c r="H365" s="330"/>
      <c r="I365" s="330"/>
      <c r="J365" s="330"/>
      <c r="K365" s="330"/>
      <c r="L365" s="330"/>
      <c r="M365" s="330"/>
      <c r="N365" s="330"/>
      <c r="O365" s="330"/>
      <c r="P365" s="330"/>
      <c r="Q365" s="330"/>
      <c r="R365" s="330"/>
      <c r="S365" s="330"/>
      <c r="T365" s="330"/>
      <c r="U365" s="330"/>
      <c r="V365" s="330"/>
      <c r="W365" s="330"/>
      <c r="X365" s="330"/>
      <c r="Y365" s="330"/>
      <c r="Z365" s="619"/>
      <c r="AA365" s="619"/>
      <c r="AB365" s="619"/>
      <c r="AC365" s="619"/>
      <c r="AD365" s="60"/>
    </row>
    <row r="366" spans="1:30" x14ac:dyDescent="0.25">
      <c r="A366" s="443"/>
      <c r="B366" s="443"/>
      <c r="C366" s="443"/>
      <c r="D366" s="330"/>
      <c r="E366" s="330"/>
      <c r="F366" s="330"/>
      <c r="G366" s="330"/>
      <c r="H366" s="330"/>
      <c r="I366" s="330"/>
      <c r="J366" s="330"/>
      <c r="K366" s="330"/>
      <c r="L366" s="330"/>
      <c r="M366" s="330"/>
      <c r="N366" s="330"/>
      <c r="O366" s="330"/>
      <c r="P366" s="330"/>
      <c r="Q366" s="330"/>
      <c r="R366" s="330"/>
      <c r="S366" s="330"/>
      <c r="T366" s="330"/>
      <c r="U366" s="330"/>
      <c r="V366" s="330"/>
      <c r="W366" s="330"/>
      <c r="X366" s="330"/>
      <c r="Y366" s="330"/>
      <c r="Z366" s="619"/>
      <c r="AA366" s="619"/>
      <c r="AB366" s="619"/>
      <c r="AC366" s="619"/>
      <c r="AD366" s="60"/>
    </row>
    <row r="367" spans="1:30" x14ac:dyDescent="0.25">
      <c r="A367" s="443"/>
      <c r="B367" s="443"/>
      <c r="C367" s="443"/>
      <c r="D367" s="330"/>
      <c r="E367" s="330"/>
      <c r="F367" s="330"/>
      <c r="G367" s="330"/>
      <c r="H367" s="330"/>
      <c r="I367" s="330"/>
      <c r="J367" s="330"/>
      <c r="K367" s="330"/>
      <c r="L367" s="330"/>
      <c r="M367" s="330"/>
      <c r="N367" s="330"/>
      <c r="O367" s="330"/>
      <c r="P367" s="330"/>
      <c r="Q367" s="330"/>
      <c r="R367" s="330"/>
      <c r="S367" s="330"/>
      <c r="T367" s="330"/>
      <c r="U367" s="330"/>
      <c r="V367" s="330"/>
      <c r="W367" s="330"/>
      <c r="X367" s="330"/>
      <c r="Y367" s="330"/>
      <c r="Z367" s="619"/>
      <c r="AA367" s="619"/>
      <c r="AB367" s="619"/>
      <c r="AC367" s="619"/>
      <c r="AD367" s="60"/>
    </row>
    <row r="368" spans="1:30" x14ac:dyDescent="0.25">
      <c r="A368" s="443"/>
      <c r="B368" s="443"/>
      <c r="C368" s="443"/>
      <c r="D368" s="330"/>
      <c r="E368" s="330"/>
      <c r="F368" s="330"/>
      <c r="G368" s="330"/>
      <c r="H368" s="330"/>
      <c r="I368" s="330"/>
      <c r="J368" s="330"/>
      <c r="K368" s="330"/>
      <c r="L368" s="330"/>
      <c r="M368" s="330"/>
      <c r="N368" s="330"/>
      <c r="O368" s="330"/>
      <c r="P368" s="330"/>
      <c r="Q368" s="330"/>
      <c r="R368" s="330"/>
      <c r="S368" s="330"/>
      <c r="T368" s="330"/>
      <c r="U368" s="330"/>
      <c r="V368" s="330"/>
      <c r="W368" s="330"/>
      <c r="X368" s="330"/>
      <c r="Y368" s="330"/>
      <c r="Z368" s="619"/>
      <c r="AA368" s="619"/>
      <c r="AB368" s="619"/>
      <c r="AC368" s="619"/>
      <c r="AD368" s="60"/>
    </row>
    <row r="369" spans="1:30" x14ac:dyDescent="0.25">
      <c r="A369" s="443"/>
      <c r="B369" s="443"/>
      <c r="C369" s="443"/>
      <c r="D369" s="330"/>
      <c r="E369" s="330"/>
      <c r="F369" s="330"/>
      <c r="G369" s="330"/>
      <c r="H369" s="330"/>
      <c r="I369" s="330"/>
      <c r="J369" s="330"/>
      <c r="K369" s="330"/>
      <c r="L369" s="330"/>
      <c r="M369" s="330"/>
      <c r="N369" s="330"/>
      <c r="O369" s="330"/>
      <c r="P369" s="330"/>
      <c r="Q369" s="330"/>
      <c r="R369" s="330"/>
      <c r="S369" s="330"/>
      <c r="T369" s="330"/>
      <c r="U369" s="330"/>
      <c r="V369" s="330"/>
      <c r="W369" s="330"/>
      <c r="X369" s="330"/>
      <c r="Y369" s="330"/>
      <c r="Z369" s="619"/>
      <c r="AA369" s="619"/>
      <c r="AB369" s="619"/>
      <c r="AC369" s="619"/>
      <c r="AD369" s="60"/>
    </row>
    <row r="370" spans="1:30" x14ac:dyDescent="0.25">
      <c r="A370" s="443"/>
      <c r="B370" s="443"/>
      <c r="C370" s="443"/>
      <c r="D370" s="330"/>
      <c r="E370" s="330"/>
      <c r="F370" s="330"/>
      <c r="G370" s="330"/>
      <c r="H370" s="330"/>
      <c r="I370" s="330"/>
      <c r="J370" s="330"/>
      <c r="K370" s="330"/>
      <c r="L370" s="330"/>
      <c r="M370" s="330"/>
      <c r="N370" s="330"/>
      <c r="O370" s="330"/>
      <c r="P370" s="330"/>
      <c r="Q370" s="330"/>
      <c r="R370" s="330"/>
      <c r="S370" s="330"/>
      <c r="T370" s="330"/>
      <c r="U370" s="330"/>
      <c r="V370" s="330"/>
      <c r="W370" s="330"/>
      <c r="X370" s="330"/>
      <c r="Y370" s="330"/>
      <c r="Z370" s="619"/>
      <c r="AA370" s="619"/>
      <c r="AB370" s="619"/>
      <c r="AC370" s="619"/>
      <c r="AD370" s="60"/>
    </row>
    <row r="371" spans="1:30" x14ac:dyDescent="0.25">
      <c r="A371" s="443"/>
      <c r="B371" s="443"/>
      <c r="C371" s="443"/>
      <c r="D371" s="330"/>
      <c r="E371" s="330"/>
      <c r="F371" s="330"/>
      <c r="G371" s="330"/>
      <c r="H371" s="330"/>
      <c r="I371" s="330"/>
      <c r="J371" s="330"/>
      <c r="K371" s="330"/>
      <c r="L371" s="330"/>
      <c r="M371" s="330"/>
      <c r="N371" s="330"/>
      <c r="O371" s="330"/>
      <c r="P371" s="330"/>
      <c r="Q371" s="330"/>
      <c r="R371" s="330"/>
      <c r="S371" s="330"/>
      <c r="T371" s="330"/>
      <c r="U371" s="330"/>
      <c r="V371" s="330"/>
      <c r="W371" s="330"/>
      <c r="X371" s="330"/>
      <c r="Y371" s="330"/>
      <c r="Z371" s="619"/>
      <c r="AA371" s="619"/>
      <c r="AB371" s="619"/>
      <c r="AC371" s="619"/>
      <c r="AD371" s="60"/>
    </row>
    <row r="372" spans="1:30" x14ac:dyDescent="0.25">
      <c r="A372" s="443"/>
      <c r="B372" s="443"/>
      <c r="C372" s="443"/>
      <c r="D372" s="330"/>
      <c r="E372" s="330"/>
      <c r="F372" s="330"/>
      <c r="G372" s="330"/>
      <c r="H372" s="330"/>
      <c r="I372" s="330"/>
      <c r="J372" s="330"/>
      <c r="K372" s="330"/>
      <c r="L372" s="330"/>
      <c r="M372" s="330"/>
      <c r="N372" s="330"/>
      <c r="O372" s="330"/>
      <c r="P372" s="330"/>
      <c r="Q372" s="330"/>
      <c r="R372" s="330"/>
      <c r="S372" s="330"/>
      <c r="T372" s="330"/>
      <c r="U372" s="330"/>
      <c r="V372" s="330"/>
      <c r="W372" s="330"/>
      <c r="X372" s="330"/>
      <c r="Y372" s="330"/>
      <c r="Z372" s="619"/>
      <c r="AA372" s="619"/>
      <c r="AB372" s="619"/>
      <c r="AC372" s="619"/>
      <c r="AD372" s="60"/>
    </row>
    <row r="373" spans="1:30" x14ac:dyDescent="0.25">
      <c r="A373" s="443"/>
      <c r="B373" s="443"/>
      <c r="C373" s="443"/>
      <c r="D373" s="330"/>
      <c r="E373" s="330"/>
      <c r="F373" s="330"/>
      <c r="G373" s="330"/>
      <c r="H373" s="330"/>
      <c r="I373" s="330"/>
      <c r="J373" s="330"/>
      <c r="K373" s="330"/>
      <c r="L373" s="330"/>
      <c r="M373" s="330"/>
      <c r="N373" s="330"/>
      <c r="O373" s="330"/>
      <c r="P373" s="330"/>
      <c r="Q373" s="330"/>
      <c r="R373" s="330"/>
      <c r="S373" s="330"/>
      <c r="T373" s="330"/>
      <c r="U373" s="330"/>
      <c r="V373" s="330"/>
      <c r="W373" s="330"/>
      <c r="X373" s="330"/>
      <c r="Y373" s="330"/>
      <c r="Z373" s="619"/>
      <c r="AA373" s="619"/>
      <c r="AB373" s="619"/>
      <c r="AC373" s="619"/>
      <c r="AD373" s="60"/>
    </row>
    <row r="374" spans="1:30" x14ac:dyDescent="0.25">
      <c r="A374" s="443"/>
      <c r="B374" s="443"/>
      <c r="C374" s="443"/>
      <c r="D374" s="330"/>
      <c r="E374" s="330"/>
      <c r="F374" s="330"/>
      <c r="G374" s="330"/>
      <c r="H374" s="330"/>
      <c r="I374" s="330"/>
      <c r="J374" s="330"/>
      <c r="K374" s="330"/>
      <c r="L374" s="330"/>
      <c r="M374" s="330"/>
      <c r="N374" s="330"/>
      <c r="O374" s="330"/>
      <c r="P374" s="330"/>
      <c r="Q374" s="330"/>
      <c r="R374" s="330"/>
      <c r="S374" s="330"/>
      <c r="T374" s="330"/>
      <c r="U374" s="330"/>
      <c r="V374" s="330"/>
      <c r="W374" s="330"/>
      <c r="X374" s="330"/>
      <c r="Y374" s="330"/>
      <c r="Z374" s="619"/>
      <c r="AA374" s="619"/>
      <c r="AB374" s="619"/>
      <c r="AC374" s="619"/>
      <c r="AD374" s="60"/>
    </row>
    <row r="375" spans="1:30" x14ac:dyDescent="0.25">
      <c r="A375" s="443"/>
      <c r="B375" s="443"/>
      <c r="C375" s="443"/>
      <c r="D375" s="330"/>
      <c r="E375" s="330"/>
      <c r="F375" s="330"/>
      <c r="G375" s="330"/>
      <c r="H375" s="330"/>
      <c r="I375" s="330"/>
      <c r="J375" s="330"/>
      <c r="K375" s="330"/>
      <c r="L375" s="330"/>
      <c r="M375" s="330"/>
      <c r="N375" s="330"/>
      <c r="O375" s="330"/>
      <c r="P375" s="330"/>
      <c r="Q375" s="330"/>
      <c r="R375" s="330"/>
      <c r="S375" s="330"/>
      <c r="T375" s="330"/>
      <c r="U375" s="330"/>
      <c r="V375" s="330"/>
      <c r="W375" s="330"/>
      <c r="X375" s="330"/>
      <c r="Y375" s="330"/>
      <c r="Z375" s="619"/>
      <c r="AA375" s="619"/>
      <c r="AB375" s="619"/>
      <c r="AC375" s="619"/>
      <c r="AD375" s="60"/>
    </row>
    <row r="376" spans="1:30" x14ac:dyDescent="0.25">
      <c r="A376" s="443"/>
      <c r="B376" s="443"/>
      <c r="C376" s="443"/>
      <c r="D376" s="330"/>
      <c r="E376" s="330"/>
      <c r="F376" s="330"/>
      <c r="G376" s="330"/>
      <c r="H376" s="330"/>
      <c r="I376" s="330"/>
      <c r="J376" s="330"/>
      <c r="K376" s="330"/>
      <c r="L376" s="330"/>
      <c r="M376" s="330"/>
      <c r="N376" s="330"/>
      <c r="O376" s="330"/>
      <c r="P376" s="330"/>
      <c r="Q376" s="330"/>
      <c r="R376" s="330"/>
      <c r="S376" s="330"/>
      <c r="T376" s="330"/>
      <c r="U376" s="330"/>
      <c r="V376" s="330"/>
      <c r="W376" s="330"/>
      <c r="X376" s="330"/>
      <c r="Y376" s="330"/>
      <c r="Z376" s="619"/>
      <c r="AA376" s="619"/>
      <c r="AB376" s="619"/>
      <c r="AC376" s="619"/>
      <c r="AD376" s="60"/>
    </row>
    <row r="377" spans="1:30" x14ac:dyDescent="0.25">
      <c r="A377" s="443"/>
      <c r="B377" s="443"/>
      <c r="C377" s="443"/>
      <c r="D377" s="330"/>
      <c r="E377" s="330"/>
      <c r="F377" s="330"/>
      <c r="G377" s="330"/>
      <c r="H377" s="330"/>
      <c r="I377" s="330"/>
      <c r="J377" s="330"/>
      <c r="K377" s="330"/>
      <c r="L377" s="330"/>
      <c r="M377" s="330"/>
      <c r="N377" s="330"/>
      <c r="O377" s="330"/>
      <c r="P377" s="330"/>
      <c r="Q377" s="330"/>
      <c r="R377" s="330"/>
      <c r="S377" s="330"/>
      <c r="T377" s="330"/>
      <c r="U377" s="330"/>
      <c r="V377" s="330"/>
      <c r="W377" s="330"/>
      <c r="X377" s="330"/>
      <c r="Y377" s="330"/>
      <c r="Z377" s="619"/>
      <c r="AA377" s="619"/>
      <c r="AB377" s="619"/>
      <c r="AC377" s="619"/>
      <c r="AD377" s="60"/>
    </row>
    <row r="378" spans="1:30" x14ac:dyDescent="0.25">
      <c r="A378" s="443"/>
      <c r="B378" s="443"/>
      <c r="C378" s="443"/>
      <c r="D378" s="330"/>
      <c r="E378" s="330"/>
      <c r="F378" s="330"/>
      <c r="G378" s="330"/>
      <c r="H378" s="330"/>
      <c r="I378" s="330"/>
      <c r="J378" s="330"/>
      <c r="K378" s="330"/>
      <c r="L378" s="330"/>
      <c r="M378" s="330"/>
      <c r="N378" s="330"/>
      <c r="O378" s="330"/>
      <c r="P378" s="330"/>
      <c r="Q378" s="330"/>
      <c r="R378" s="330"/>
      <c r="S378" s="330"/>
      <c r="T378" s="330"/>
      <c r="U378" s="330"/>
      <c r="V378" s="330"/>
      <c r="W378" s="330"/>
      <c r="X378" s="330"/>
      <c r="Y378" s="330"/>
      <c r="Z378" s="619"/>
      <c r="AA378" s="619"/>
      <c r="AB378" s="619"/>
      <c r="AC378" s="619"/>
      <c r="AD378" s="60"/>
    </row>
    <row r="379" spans="1:30" x14ac:dyDescent="0.25">
      <c r="A379" s="443"/>
      <c r="B379" s="443"/>
      <c r="C379" s="443"/>
      <c r="D379" s="330"/>
      <c r="E379" s="330"/>
      <c r="F379" s="330"/>
      <c r="G379" s="330"/>
      <c r="H379" s="330"/>
      <c r="I379" s="330"/>
      <c r="J379" s="330"/>
      <c r="K379" s="330"/>
      <c r="L379" s="330"/>
      <c r="M379" s="330"/>
      <c r="N379" s="330"/>
      <c r="O379" s="330"/>
      <c r="P379" s="330"/>
      <c r="Q379" s="330"/>
      <c r="R379" s="330"/>
      <c r="S379" s="330"/>
      <c r="T379" s="330"/>
      <c r="U379" s="330"/>
      <c r="V379" s="330"/>
      <c r="W379" s="330"/>
      <c r="X379" s="330"/>
      <c r="Y379" s="330"/>
      <c r="Z379" s="619"/>
      <c r="AA379" s="619"/>
      <c r="AB379" s="619"/>
      <c r="AC379" s="619"/>
      <c r="AD379" s="60"/>
    </row>
    <row r="380" spans="1:30" x14ac:dyDescent="0.25">
      <c r="A380" s="443"/>
      <c r="B380" s="443"/>
      <c r="C380" s="443"/>
      <c r="D380" s="330"/>
      <c r="E380" s="330"/>
      <c r="F380" s="330"/>
      <c r="G380" s="330"/>
      <c r="H380" s="330"/>
      <c r="I380" s="330"/>
      <c r="J380" s="330"/>
      <c r="K380" s="330"/>
      <c r="L380" s="330"/>
      <c r="M380" s="330"/>
      <c r="N380" s="330"/>
      <c r="O380" s="330"/>
      <c r="P380" s="330"/>
      <c r="Q380" s="330"/>
      <c r="R380" s="330"/>
      <c r="S380" s="330"/>
      <c r="T380" s="330"/>
      <c r="U380" s="330"/>
      <c r="V380" s="330"/>
      <c r="W380" s="330"/>
      <c r="X380" s="330"/>
      <c r="Y380" s="330"/>
      <c r="Z380" s="619"/>
      <c r="AA380" s="619"/>
      <c r="AB380" s="619"/>
      <c r="AC380" s="619"/>
      <c r="AD380" s="60"/>
    </row>
    <row r="381" spans="1:30" x14ac:dyDescent="0.25">
      <c r="A381" s="443"/>
      <c r="B381" s="443"/>
      <c r="C381" s="443"/>
      <c r="D381" s="330"/>
      <c r="E381" s="330"/>
      <c r="F381" s="330"/>
      <c r="G381" s="330"/>
      <c r="H381" s="330"/>
      <c r="I381" s="330"/>
      <c r="J381" s="330"/>
      <c r="K381" s="330"/>
      <c r="L381" s="330"/>
      <c r="M381" s="330"/>
      <c r="N381" s="330"/>
      <c r="O381" s="330"/>
      <c r="P381" s="330"/>
      <c r="Q381" s="330"/>
      <c r="R381" s="330"/>
      <c r="S381" s="330"/>
      <c r="T381" s="330"/>
      <c r="U381" s="330"/>
      <c r="V381" s="330"/>
      <c r="W381" s="330"/>
      <c r="X381" s="330"/>
      <c r="Y381" s="330"/>
      <c r="Z381" s="619"/>
      <c r="AA381" s="619"/>
      <c r="AB381" s="619"/>
      <c r="AC381" s="619"/>
      <c r="AD381" s="60"/>
    </row>
    <row r="382" spans="1:30" x14ac:dyDescent="0.25">
      <c r="A382" s="443"/>
      <c r="B382" s="443"/>
      <c r="C382" s="443"/>
      <c r="D382" s="330"/>
      <c r="E382" s="330"/>
      <c r="F382" s="330"/>
      <c r="G382" s="330"/>
      <c r="H382" s="330"/>
      <c r="I382" s="330"/>
      <c r="J382" s="330"/>
      <c r="K382" s="330"/>
      <c r="L382" s="330"/>
      <c r="M382" s="330"/>
      <c r="N382" s="330"/>
      <c r="O382" s="330"/>
      <c r="P382" s="330"/>
      <c r="Q382" s="330"/>
      <c r="R382" s="330"/>
      <c r="S382" s="330"/>
      <c r="T382" s="330"/>
      <c r="U382" s="330"/>
      <c r="V382" s="330"/>
      <c r="W382" s="330"/>
      <c r="X382" s="330"/>
      <c r="Y382" s="330"/>
      <c r="Z382" s="619"/>
      <c r="AA382" s="619"/>
      <c r="AB382" s="619"/>
      <c r="AC382" s="619"/>
      <c r="AD382" s="60"/>
    </row>
    <row r="383" spans="1:30" x14ac:dyDescent="0.25">
      <c r="A383" s="443"/>
      <c r="B383" s="443"/>
      <c r="C383" s="443"/>
      <c r="D383" s="330"/>
      <c r="E383" s="330"/>
      <c r="F383" s="330"/>
      <c r="G383" s="330"/>
      <c r="H383" s="330"/>
      <c r="I383" s="330"/>
      <c r="J383" s="330"/>
      <c r="K383" s="330"/>
      <c r="L383" s="330"/>
      <c r="M383" s="330"/>
      <c r="N383" s="330"/>
      <c r="O383" s="330"/>
      <c r="P383" s="330"/>
      <c r="Q383" s="330"/>
      <c r="R383" s="330"/>
      <c r="S383" s="330"/>
      <c r="T383" s="330"/>
      <c r="U383" s="330"/>
      <c r="V383" s="330"/>
      <c r="W383" s="330"/>
      <c r="X383" s="330"/>
      <c r="Y383" s="330"/>
      <c r="Z383" s="619"/>
      <c r="AA383" s="619"/>
      <c r="AB383" s="619"/>
      <c r="AC383" s="619"/>
      <c r="AD383" s="60"/>
    </row>
    <row r="384" spans="1:30" x14ac:dyDescent="0.25">
      <c r="A384" s="443"/>
      <c r="B384" s="443"/>
      <c r="C384" s="443"/>
      <c r="D384" s="330"/>
      <c r="E384" s="330"/>
      <c r="F384" s="330"/>
      <c r="G384" s="330"/>
      <c r="H384" s="330"/>
      <c r="I384" s="330"/>
      <c r="J384" s="330"/>
      <c r="K384" s="330"/>
      <c r="L384" s="330"/>
      <c r="M384" s="330"/>
      <c r="N384" s="330"/>
      <c r="O384" s="330"/>
      <c r="P384" s="330"/>
      <c r="Q384" s="330"/>
      <c r="R384" s="330"/>
      <c r="S384" s="330"/>
      <c r="T384" s="330"/>
      <c r="U384" s="330"/>
      <c r="V384" s="330"/>
      <c r="W384" s="330"/>
      <c r="X384" s="330"/>
      <c r="Y384" s="330"/>
      <c r="Z384" s="619"/>
      <c r="AA384" s="619"/>
      <c r="AB384" s="619"/>
      <c r="AC384" s="619"/>
      <c r="AD384" s="60"/>
    </row>
    <row r="385" spans="1:30" x14ac:dyDescent="0.25">
      <c r="A385" s="443"/>
      <c r="B385" s="443"/>
      <c r="C385" s="443"/>
      <c r="D385" s="330"/>
      <c r="E385" s="330"/>
      <c r="F385" s="330"/>
      <c r="G385" s="330"/>
      <c r="H385" s="330"/>
      <c r="I385" s="330"/>
      <c r="J385" s="330"/>
      <c r="K385" s="330"/>
      <c r="L385" s="330"/>
      <c r="M385" s="330"/>
      <c r="N385" s="330"/>
      <c r="O385" s="330"/>
      <c r="P385" s="330"/>
      <c r="Q385" s="330"/>
      <c r="R385" s="330"/>
      <c r="S385" s="330"/>
      <c r="T385" s="330"/>
      <c r="U385" s="330"/>
      <c r="V385" s="330"/>
      <c r="W385" s="330"/>
      <c r="X385" s="330"/>
      <c r="Y385" s="330"/>
      <c r="Z385" s="619"/>
      <c r="AA385" s="619"/>
      <c r="AB385" s="619"/>
      <c r="AC385" s="619"/>
      <c r="AD385" s="60"/>
    </row>
    <row r="386" spans="1:30" x14ac:dyDescent="0.25">
      <c r="A386" s="443"/>
      <c r="B386" s="443"/>
      <c r="C386" s="443"/>
      <c r="D386" s="330"/>
      <c r="E386" s="330"/>
      <c r="F386" s="330"/>
      <c r="G386" s="330"/>
      <c r="H386" s="330"/>
      <c r="I386" s="330"/>
      <c r="J386" s="330"/>
      <c r="K386" s="330"/>
      <c r="L386" s="330"/>
      <c r="M386" s="330"/>
      <c r="N386" s="330"/>
      <c r="O386" s="330"/>
      <c r="P386" s="330"/>
      <c r="Q386" s="330"/>
      <c r="R386" s="330"/>
      <c r="S386" s="330"/>
      <c r="T386" s="330"/>
      <c r="U386" s="330"/>
      <c r="V386" s="330"/>
      <c r="W386" s="330"/>
      <c r="X386" s="330"/>
      <c r="Y386" s="330"/>
      <c r="Z386" s="619"/>
      <c r="AA386" s="619"/>
      <c r="AB386" s="619"/>
      <c r="AC386" s="619"/>
      <c r="AD386" s="60"/>
    </row>
    <row r="387" spans="1:30" x14ac:dyDescent="0.25">
      <c r="A387" s="443"/>
      <c r="B387" s="443"/>
      <c r="C387" s="443"/>
      <c r="D387" s="330"/>
      <c r="E387" s="330"/>
      <c r="F387" s="330"/>
      <c r="G387" s="330"/>
      <c r="H387" s="330"/>
      <c r="I387" s="330"/>
      <c r="J387" s="330"/>
      <c r="K387" s="330"/>
      <c r="L387" s="330"/>
      <c r="M387" s="330"/>
      <c r="N387" s="330"/>
      <c r="O387" s="330"/>
      <c r="P387" s="330"/>
      <c r="Q387" s="330"/>
      <c r="R387" s="330"/>
      <c r="S387" s="330"/>
      <c r="T387" s="330"/>
      <c r="U387" s="330"/>
      <c r="V387" s="330"/>
      <c r="W387" s="330"/>
      <c r="X387" s="330"/>
      <c r="Y387" s="330"/>
      <c r="Z387" s="619"/>
      <c r="AA387" s="619"/>
      <c r="AB387" s="619"/>
      <c r="AC387" s="619"/>
      <c r="AD387" s="60"/>
    </row>
    <row r="388" spans="1:30" x14ac:dyDescent="0.25">
      <c r="A388" s="443"/>
      <c r="B388" s="443"/>
      <c r="C388" s="443"/>
      <c r="D388" s="330"/>
      <c r="E388" s="330"/>
      <c r="F388" s="330"/>
      <c r="G388" s="330"/>
      <c r="H388" s="330"/>
      <c r="I388" s="330"/>
      <c r="J388" s="330"/>
      <c r="K388" s="330"/>
      <c r="L388" s="330"/>
      <c r="M388" s="330"/>
      <c r="N388" s="330"/>
      <c r="O388" s="330"/>
      <c r="P388" s="330"/>
      <c r="Q388" s="330"/>
      <c r="R388" s="330"/>
      <c r="S388" s="330"/>
      <c r="T388" s="330"/>
      <c r="U388" s="330"/>
      <c r="V388" s="330"/>
      <c r="W388" s="330"/>
      <c r="X388" s="330"/>
      <c r="Y388" s="330"/>
      <c r="Z388" s="619"/>
      <c r="AA388" s="619"/>
      <c r="AB388" s="619"/>
      <c r="AC388" s="619"/>
      <c r="AD388" s="60"/>
    </row>
    <row r="389" spans="1:30" x14ac:dyDescent="0.25">
      <c r="A389" s="443"/>
      <c r="B389" s="443"/>
      <c r="C389" s="443"/>
      <c r="D389" s="330"/>
      <c r="E389" s="330"/>
      <c r="F389" s="330"/>
      <c r="G389" s="330"/>
      <c r="H389" s="330"/>
      <c r="I389" s="330"/>
      <c r="J389" s="330"/>
      <c r="K389" s="330"/>
      <c r="L389" s="330"/>
      <c r="M389" s="330"/>
      <c r="N389" s="330"/>
      <c r="O389" s="330"/>
      <c r="P389" s="330"/>
      <c r="Q389" s="330"/>
      <c r="R389" s="330"/>
      <c r="S389" s="330"/>
      <c r="T389" s="330"/>
      <c r="U389" s="330"/>
      <c r="V389" s="330"/>
      <c r="W389" s="330"/>
      <c r="X389" s="330"/>
      <c r="Y389" s="330"/>
      <c r="Z389" s="619"/>
      <c r="AA389" s="619"/>
      <c r="AB389" s="619"/>
      <c r="AC389" s="619"/>
      <c r="AD389" s="60"/>
    </row>
    <row r="390" spans="1:30" x14ac:dyDescent="0.25">
      <c r="A390" s="443"/>
      <c r="B390" s="443"/>
      <c r="C390" s="443"/>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619"/>
      <c r="AA390" s="619"/>
      <c r="AB390" s="619"/>
      <c r="AC390" s="619"/>
      <c r="AD390" s="60"/>
    </row>
    <row r="391" spans="1:30" x14ac:dyDescent="0.25">
      <c r="A391" s="443"/>
      <c r="B391" s="443"/>
      <c r="C391" s="443"/>
      <c r="D391" s="330"/>
      <c r="E391" s="330"/>
      <c r="F391" s="330"/>
      <c r="G391" s="330"/>
      <c r="H391" s="330"/>
      <c r="I391" s="330"/>
      <c r="J391" s="330"/>
      <c r="K391" s="330"/>
      <c r="L391" s="330"/>
      <c r="M391" s="330"/>
      <c r="N391" s="330"/>
      <c r="O391" s="330"/>
      <c r="P391" s="330"/>
      <c r="Q391" s="330"/>
      <c r="R391" s="330"/>
      <c r="S391" s="330"/>
      <c r="T391" s="330"/>
      <c r="U391" s="330"/>
      <c r="V391" s="330"/>
      <c r="W391" s="330"/>
      <c r="X391" s="330"/>
      <c r="Y391" s="330"/>
      <c r="Z391" s="619"/>
      <c r="AA391" s="619"/>
      <c r="AB391" s="619"/>
      <c r="AC391" s="619"/>
      <c r="AD391" s="60"/>
    </row>
    <row r="392" spans="1:30" x14ac:dyDescent="0.25">
      <c r="A392" s="443"/>
      <c r="B392" s="443"/>
      <c r="C392" s="443"/>
      <c r="D392" s="330"/>
      <c r="E392" s="330"/>
      <c r="F392" s="330"/>
      <c r="G392" s="330"/>
      <c r="H392" s="330"/>
      <c r="I392" s="330"/>
      <c r="J392" s="330"/>
      <c r="K392" s="330"/>
      <c r="L392" s="330"/>
      <c r="M392" s="330"/>
      <c r="N392" s="330"/>
      <c r="O392" s="330"/>
      <c r="P392" s="330"/>
      <c r="Q392" s="330"/>
      <c r="R392" s="330"/>
      <c r="S392" s="330"/>
      <c r="T392" s="330"/>
      <c r="U392" s="330"/>
      <c r="V392" s="330"/>
      <c r="W392" s="330"/>
      <c r="X392" s="330"/>
      <c r="Y392" s="330"/>
      <c r="Z392" s="619"/>
      <c r="AA392" s="619"/>
      <c r="AB392" s="619"/>
      <c r="AC392" s="619"/>
      <c r="AD392" s="60"/>
    </row>
    <row r="393" spans="1:30" x14ac:dyDescent="0.25">
      <c r="A393" s="443"/>
      <c r="B393" s="443"/>
      <c r="C393" s="443"/>
      <c r="D393" s="330"/>
      <c r="E393" s="330"/>
      <c r="F393" s="330"/>
      <c r="G393" s="330"/>
      <c r="H393" s="330"/>
      <c r="I393" s="330"/>
      <c r="J393" s="330"/>
      <c r="K393" s="330"/>
      <c r="L393" s="330"/>
      <c r="M393" s="330"/>
      <c r="N393" s="330"/>
      <c r="O393" s="330"/>
      <c r="P393" s="330"/>
      <c r="Q393" s="330"/>
      <c r="R393" s="330"/>
      <c r="S393" s="330"/>
      <c r="T393" s="330"/>
      <c r="U393" s="330"/>
      <c r="V393" s="330"/>
      <c r="W393" s="330"/>
      <c r="X393" s="330"/>
      <c r="Y393" s="330"/>
      <c r="Z393" s="619"/>
      <c r="AA393" s="619"/>
      <c r="AB393" s="619"/>
      <c r="AC393" s="619"/>
      <c r="AD393" s="60"/>
    </row>
    <row r="394" spans="1:30" x14ac:dyDescent="0.25">
      <c r="A394" s="443"/>
      <c r="B394" s="443"/>
      <c r="C394" s="443"/>
      <c r="D394" s="330"/>
      <c r="E394" s="330"/>
      <c r="F394" s="330"/>
      <c r="G394" s="330"/>
      <c r="H394" s="330"/>
      <c r="I394" s="330"/>
      <c r="J394" s="330"/>
      <c r="K394" s="330"/>
      <c r="L394" s="330"/>
      <c r="M394" s="330"/>
      <c r="N394" s="330"/>
      <c r="O394" s="330"/>
      <c r="P394" s="330"/>
      <c r="Q394" s="330"/>
      <c r="R394" s="330"/>
      <c r="S394" s="330"/>
      <c r="T394" s="330"/>
      <c r="U394" s="330"/>
      <c r="V394" s="330"/>
      <c r="W394" s="330"/>
      <c r="X394" s="330"/>
      <c r="Y394" s="330"/>
      <c r="Z394" s="619"/>
      <c r="AA394" s="619"/>
      <c r="AB394" s="619"/>
      <c r="AC394" s="619"/>
      <c r="AD394" s="60"/>
    </row>
    <row r="395" spans="1:30" x14ac:dyDescent="0.25">
      <c r="A395" s="443"/>
      <c r="B395" s="443"/>
      <c r="C395" s="443"/>
      <c r="D395" s="330"/>
      <c r="E395" s="330"/>
      <c r="F395" s="330"/>
      <c r="G395" s="330"/>
      <c r="H395" s="330"/>
      <c r="I395" s="330"/>
      <c r="J395" s="330"/>
      <c r="K395" s="330"/>
      <c r="L395" s="330"/>
      <c r="M395" s="330"/>
      <c r="N395" s="330"/>
      <c r="O395" s="330"/>
      <c r="P395" s="330"/>
      <c r="Q395" s="330"/>
      <c r="R395" s="330"/>
      <c r="S395" s="330"/>
      <c r="T395" s="330"/>
      <c r="U395" s="330"/>
      <c r="V395" s="330"/>
      <c r="W395" s="330"/>
      <c r="X395" s="330"/>
      <c r="Y395" s="330"/>
      <c r="Z395" s="619"/>
      <c r="AA395" s="619"/>
      <c r="AB395" s="619"/>
      <c r="AC395" s="619"/>
      <c r="AD395" s="60"/>
    </row>
    <row r="396" spans="1:30" x14ac:dyDescent="0.25">
      <c r="A396" s="443"/>
      <c r="B396" s="443"/>
      <c r="C396" s="443"/>
      <c r="D396" s="330"/>
      <c r="E396" s="330"/>
      <c r="F396" s="330"/>
      <c r="G396" s="330"/>
      <c r="H396" s="330"/>
      <c r="I396" s="330"/>
      <c r="J396" s="330"/>
      <c r="K396" s="330"/>
      <c r="L396" s="330"/>
      <c r="M396" s="330"/>
      <c r="N396" s="330"/>
      <c r="O396" s="330"/>
      <c r="P396" s="330"/>
      <c r="Q396" s="330"/>
      <c r="R396" s="330"/>
      <c r="S396" s="330"/>
      <c r="T396" s="330"/>
      <c r="U396" s="330"/>
      <c r="V396" s="330"/>
      <c r="W396" s="330"/>
      <c r="X396" s="330"/>
      <c r="Y396" s="330"/>
      <c r="Z396" s="619"/>
      <c r="AA396" s="619"/>
      <c r="AB396" s="619"/>
      <c r="AC396" s="619"/>
      <c r="AD396" s="60"/>
    </row>
    <row r="397" spans="1:30" x14ac:dyDescent="0.25">
      <c r="A397" s="443"/>
      <c r="B397" s="443"/>
      <c r="C397" s="443"/>
      <c r="D397" s="330"/>
      <c r="E397" s="330"/>
      <c r="F397" s="330"/>
      <c r="G397" s="330"/>
      <c r="H397" s="330"/>
      <c r="I397" s="330"/>
      <c r="J397" s="330"/>
      <c r="K397" s="330"/>
      <c r="L397" s="330"/>
      <c r="M397" s="330"/>
      <c r="N397" s="330"/>
      <c r="O397" s="330"/>
      <c r="P397" s="330"/>
      <c r="Q397" s="330"/>
      <c r="R397" s="330"/>
      <c r="S397" s="330"/>
      <c r="T397" s="330"/>
      <c r="U397" s="330"/>
      <c r="V397" s="330"/>
      <c r="W397" s="330"/>
      <c r="X397" s="330"/>
      <c r="Y397" s="330"/>
      <c r="Z397" s="619"/>
      <c r="AA397" s="619"/>
      <c r="AB397" s="619"/>
      <c r="AC397" s="619"/>
      <c r="AD397" s="60"/>
    </row>
    <row r="398" spans="1:30" x14ac:dyDescent="0.25">
      <c r="A398" s="443"/>
      <c r="B398" s="443"/>
      <c r="C398" s="443"/>
      <c r="D398" s="330"/>
      <c r="E398" s="330"/>
      <c r="F398" s="330"/>
      <c r="G398" s="330"/>
      <c r="H398" s="330"/>
      <c r="I398" s="330"/>
      <c r="J398" s="330"/>
      <c r="K398" s="330"/>
      <c r="L398" s="330"/>
      <c r="M398" s="330"/>
      <c r="N398" s="330"/>
      <c r="O398" s="330"/>
      <c r="P398" s="330"/>
      <c r="Q398" s="330"/>
      <c r="R398" s="330"/>
      <c r="S398" s="330"/>
      <c r="T398" s="330"/>
      <c r="U398" s="330"/>
      <c r="V398" s="330"/>
      <c r="W398" s="330"/>
      <c r="X398" s="330"/>
      <c r="Y398" s="330"/>
      <c r="Z398" s="619"/>
      <c r="AA398" s="619"/>
      <c r="AB398" s="619"/>
      <c r="AC398" s="619"/>
      <c r="AD398" s="60"/>
    </row>
    <row r="399" spans="1:30" x14ac:dyDescent="0.25">
      <c r="A399" s="443"/>
      <c r="B399" s="443"/>
      <c r="C399" s="443"/>
      <c r="D399" s="330"/>
      <c r="E399" s="330"/>
      <c r="F399" s="330"/>
      <c r="G399" s="330"/>
      <c r="H399" s="330"/>
      <c r="I399" s="330"/>
      <c r="J399" s="330"/>
      <c r="K399" s="330"/>
      <c r="L399" s="330"/>
      <c r="M399" s="330"/>
      <c r="N399" s="330"/>
      <c r="O399" s="330"/>
      <c r="P399" s="330"/>
      <c r="Q399" s="330"/>
      <c r="R399" s="330"/>
      <c r="S399" s="330"/>
      <c r="T399" s="330"/>
      <c r="U399" s="330"/>
      <c r="V399" s="330"/>
      <c r="W399" s="330"/>
      <c r="X399" s="330"/>
      <c r="Y399" s="330"/>
      <c r="Z399" s="619"/>
      <c r="AA399" s="619"/>
      <c r="AB399" s="619"/>
      <c r="AC399" s="619"/>
      <c r="AD399" s="60"/>
    </row>
    <row r="400" spans="1:30" x14ac:dyDescent="0.25">
      <c r="A400" s="443"/>
      <c r="B400" s="443"/>
      <c r="C400" s="443"/>
      <c r="D400" s="330"/>
      <c r="E400" s="330"/>
      <c r="F400" s="330"/>
      <c r="G400" s="330"/>
      <c r="H400" s="330"/>
      <c r="I400" s="330"/>
      <c r="J400" s="330"/>
      <c r="K400" s="330"/>
      <c r="L400" s="330"/>
      <c r="M400" s="330"/>
      <c r="N400" s="330"/>
      <c r="O400" s="330"/>
      <c r="P400" s="330"/>
      <c r="Q400" s="330"/>
      <c r="R400" s="330"/>
      <c r="S400" s="330"/>
      <c r="T400" s="330"/>
      <c r="U400" s="330"/>
      <c r="V400" s="330"/>
      <c r="W400" s="330"/>
      <c r="X400" s="330"/>
      <c r="Y400" s="330"/>
      <c r="Z400" s="619"/>
      <c r="AA400" s="619"/>
      <c r="AB400" s="619"/>
      <c r="AC400" s="619"/>
      <c r="AD400" s="60"/>
    </row>
    <row r="401" spans="1:30" x14ac:dyDescent="0.25">
      <c r="A401" s="443"/>
      <c r="B401" s="443"/>
      <c r="C401" s="443"/>
      <c r="D401" s="330"/>
      <c r="E401" s="330"/>
      <c r="F401" s="330"/>
      <c r="G401" s="330"/>
      <c r="H401" s="330"/>
      <c r="I401" s="330"/>
      <c r="J401" s="330"/>
      <c r="K401" s="330"/>
      <c r="L401" s="330"/>
      <c r="M401" s="330"/>
      <c r="N401" s="330"/>
      <c r="O401" s="330"/>
      <c r="P401" s="330"/>
      <c r="Q401" s="330"/>
      <c r="R401" s="330"/>
      <c r="S401" s="330"/>
      <c r="T401" s="330"/>
      <c r="U401" s="330"/>
      <c r="V401" s="330"/>
      <c r="W401" s="330"/>
      <c r="X401" s="330"/>
      <c r="Y401" s="330"/>
      <c r="Z401" s="619"/>
      <c r="AA401" s="619"/>
      <c r="AB401" s="619"/>
      <c r="AC401" s="619"/>
      <c r="AD401" s="60"/>
    </row>
    <row r="402" spans="1:30" x14ac:dyDescent="0.25">
      <c r="A402" s="443"/>
      <c r="B402" s="443"/>
      <c r="C402" s="443"/>
      <c r="D402" s="330"/>
      <c r="E402" s="330"/>
      <c r="F402" s="330"/>
      <c r="G402" s="330"/>
      <c r="H402" s="330"/>
      <c r="I402" s="330"/>
      <c r="J402" s="330"/>
      <c r="K402" s="330"/>
      <c r="L402" s="330"/>
      <c r="M402" s="330"/>
      <c r="N402" s="330"/>
      <c r="O402" s="330"/>
      <c r="P402" s="330"/>
      <c r="Q402" s="330"/>
      <c r="R402" s="330"/>
      <c r="S402" s="330"/>
      <c r="T402" s="330"/>
      <c r="U402" s="330"/>
      <c r="V402" s="330"/>
      <c r="W402" s="330"/>
      <c r="X402" s="330"/>
      <c r="Y402" s="330"/>
      <c r="Z402" s="619"/>
      <c r="AA402" s="619"/>
      <c r="AB402" s="619"/>
      <c r="AC402" s="619"/>
      <c r="AD402" s="60"/>
    </row>
    <row r="403" spans="1:30" x14ac:dyDescent="0.25">
      <c r="A403" s="443"/>
      <c r="B403" s="443"/>
      <c r="C403" s="443"/>
      <c r="D403" s="330"/>
      <c r="E403" s="330"/>
      <c r="F403" s="330"/>
      <c r="G403" s="330"/>
      <c r="H403" s="330"/>
      <c r="I403" s="330"/>
      <c r="J403" s="330"/>
      <c r="K403" s="330"/>
      <c r="L403" s="330"/>
      <c r="M403" s="330"/>
      <c r="N403" s="330"/>
      <c r="O403" s="330"/>
      <c r="P403" s="330"/>
      <c r="Q403" s="330"/>
      <c r="R403" s="330"/>
      <c r="S403" s="330"/>
      <c r="T403" s="330"/>
      <c r="U403" s="330"/>
      <c r="V403" s="330"/>
      <c r="W403" s="330"/>
      <c r="X403" s="330"/>
      <c r="Y403" s="330"/>
      <c r="Z403" s="619"/>
      <c r="AA403" s="619"/>
      <c r="AB403" s="619"/>
      <c r="AC403" s="619"/>
      <c r="AD403" s="60"/>
    </row>
    <row r="404" spans="1:30" x14ac:dyDescent="0.25">
      <c r="A404" s="443"/>
      <c r="B404" s="443"/>
      <c r="C404" s="443"/>
      <c r="D404" s="330"/>
      <c r="E404" s="330"/>
      <c r="F404" s="330"/>
      <c r="G404" s="330"/>
      <c r="H404" s="330"/>
      <c r="I404" s="330"/>
      <c r="J404" s="330"/>
      <c r="K404" s="330"/>
      <c r="L404" s="330"/>
      <c r="M404" s="330"/>
      <c r="N404" s="330"/>
      <c r="O404" s="330"/>
      <c r="P404" s="330"/>
      <c r="Q404" s="330"/>
      <c r="R404" s="330"/>
      <c r="S404" s="330"/>
      <c r="T404" s="330"/>
      <c r="U404" s="330"/>
      <c r="V404" s="330"/>
      <c r="W404" s="330"/>
      <c r="X404" s="330"/>
      <c r="Y404" s="330"/>
      <c r="Z404" s="619"/>
      <c r="AA404" s="619"/>
      <c r="AB404" s="619"/>
      <c r="AC404" s="619"/>
      <c r="AD404" s="60"/>
    </row>
    <row r="405" spans="1:30" x14ac:dyDescent="0.25">
      <c r="A405" s="443"/>
      <c r="B405" s="443"/>
      <c r="C405" s="443"/>
      <c r="D405" s="330"/>
      <c r="E405" s="330"/>
      <c r="F405" s="330"/>
      <c r="G405" s="330"/>
      <c r="H405" s="330"/>
      <c r="I405" s="330"/>
      <c r="J405" s="330"/>
      <c r="K405" s="330"/>
      <c r="L405" s="330"/>
      <c r="M405" s="330"/>
      <c r="N405" s="330"/>
      <c r="O405" s="330"/>
      <c r="P405" s="330"/>
      <c r="Q405" s="330"/>
      <c r="R405" s="330"/>
      <c r="S405" s="330"/>
      <c r="T405" s="330"/>
      <c r="U405" s="330"/>
      <c r="V405" s="330"/>
      <c r="W405" s="330"/>
      <c r="X405" s="330"/>
      <c r="Y405" s="330"/>
      <c r="Z405" s="619"/>
      <c r="AA405" s="619"/>
      <c r="AB405" s="619"/>
      <c r="AC405" s="619"/>
      <c r="AD405" s="60"/>
    </row>
    <row r="406" spans="1:30" x14ac:dyDescent="0.25">
      <c r="A406" s="443"/>
      <c r="B406" s="443"/>
      <c r="C406" s="443"/>
      <c r="D406" s="330"/>
      <c r="E406" s="330"/>
      <c r="F406" s="330"/>
      <c r="G406" s="330"/>
      <c r="H406" s="330"/>
      <c r="I406" s="330"/>
      <c r="J406" s="330"/>
      <c r="K406" s="330"/>
      <c r="L406" s="330"/>
      <c r="M406" s="330"/>
      <c r="N406" s="330"/>
      <c r="O406" s="330"/>
      <c r="P406" s="330"/>
      <c r="Q406" s="330"/>
      <c r="R406" s="330"/>
      <c r="S406" s="330"/>
      <c r="T406" s="330"/>
      <c r="U406" s="330"/>
      <c r="V406" s="330"/>
      <c r="W406" s="330"/>
      <c r="X406" s="330"/>
      <c r="Y406" s="330"/>
      <c r="Z406" s="619"/>
      <c r="AA406" s="619"/>
      <c r="AB406" s="619"/>
      <c r="AC406" s="619"/>
      <c r="AD406" s="60"/>
    </row>
    <row r="407" spans="1:30" x14ac:dyDescent="0.25">
      <c r="A407" s="443"/>
      <c r="B407" s="443"/>
      <c r="C407" s="443"/>
      <c r="D407" s="330"/>
      <c r="E407" s="330"/>
      <c r="F407" s="330"/>
      <c r="G407" s="330"/>
      <c r="H407" s="330"/>
      <c r="I407" s="330"/>
      <c r="J407" s="330"/>
      <c r="K407" s="330"/>
      <c r="L407" s="330"/>
      <c r="M407" s="330"/>
      <c r="N407" s="330"/>
      <c r="O407" s="330"/>
      <c r="P407" s="330"/>
      <c r="Q407" s="330"/>
      <c r="R407" s="330"/>
      <c r="S407" s="330"/>
      <c r="T407" s="330"/>
      <c r="U407" s="330"/>
      <c r="V407" s="330"/>
      <c r="W407" s="330"/>
      <c r="X407" s="330"/>
      <c r="Y407" s="330"/>
      <c r="Z407" s="619"/>
      <c r="AA407" s="619"/>
      <c r="AB407" s="619"/>
      <c r="AC407" s="619"/>
      <c r="AD407" s="60"/>
    </row>
    <row r="408" spans="1:30" x14ac:dyDescent="0.25">
      <c r="A408" s="443"/>
      <c r="B408" s="443"/>
      <c r="C408" s="443"/>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619"/>
      <c r="AA408" s="619"/>
      <c r="AB408" s="619"/>
      <c r="AC408" s="619"/>
      <c r="AD408" s="60"/>
    </row>
    <row r="409" spans="1:30" x14ac:dyDescent="0.25">
      <c r="A409" s="443"/>
      <c r="B409" s="443"/>
      <c r="C409" s="443"/>
      <c r="D409" s="330"/>
      <c r="E409" s="330"/>
      <c r="F409" s="330"/>
      <c r="G409" s="330"/>
      <c r="H409" s="330"/>
      <c r="I409" s="330"/>
      <c r="J409" s="330"/>
      <c r="K409" s="330"/>
      <c r="L409" s="330"/>
      <c r="M409" s="330"/>
      <c r="N409" s="330"/>
      <c r="O409" s="330"/>
      <c r="P409" s="330"/>
      <c r="Q409" s="330"/>
      <c r="R409" s="330"/>
      <c r="S409" s="330"/>
      <c r="T409" s="330"/>
      <c r="U409" s="330"/>
      <c r="V409" s="330"/>
      <c r="W409" s="330"/>
      <c r="X409" s="330"/>
      <c r="Y409" s="330"/>
      <c r="Z409" s="619"/>
      <c r="AA409" s="619"/>
      <c r="AB409" s="619"/>
      <c r="AC409" s="619"/>
      <c r="AD409" s="60"/>
    </row>
    <row r="410" spans="1:30" x14ac:dyDescent="0.25">
      <c r="A410" s="443"/>
      <c r="B410" s="443"/>
      <c r="C410" s="443"/>
      <c r="D410" s="330"/>
      <c r="E410" s="330"/>
      <c r="F410" s="330"/>
      <c r="G410" s="330"/>
      <c r="H410" s="330"/>
      <c r="I410" s="330"/>
      <c r="J410" s="330"/>
      <c r="K410" s="330"/>
      <c r="L410" s="330"/>
      <c r="M410" s="330"/>
      <c r="N410" s="330"/>
      <c r="O410" s="330"/>
      <c r="P410" s="330"/>
      <c r="Q410" s="330"/>
      <c r="R410" s="330"/>
      <c r="S410" s="330"/>
      <c r="T410" s="330"/>
      <c r="U410" s="330"/>
      <c r="V410" s="330"/>
      <c r="W410" s="330"/>
      <c r="X410" s="330"/>
      <c r="Y410" s="330"/>
      <c r="Z410" s="619"/>
      <c r="AA410" s="619"/>
      <c r="AB410" s="619"/>
      <c r="AC410" s="619"/>
      <c r="AD410" s="60"/>
    </row>
    <row r="411" spans="1:30" x14ac:dyDescent="0.25">
      <c r="A411" s="443"/>
      <c r="B411" s="443"/>
      <c r="C411" s="443"/>
      <c r="D411" s="330"/>
      <c r="E411" s="330"/>
      <c r="F411" s="330"/>
      <c r="G411" s="330"/>
      <c r="H411" s="330"/>
      <c r="I411" s="330"/>
      <c r="J411" s="330"/>
      <c r="K411" s="330"/>
      <c r="L411" s="330"/>
      <c r="M411" s="330"/>
      <c r="N411" s="330"/>
      <c r="O411" s="330"/>
      <c r="P411" s="330"/>
      <c r="Q411" s="330"/>
      <c r="R411" s="330"/>
      <c r="S411" s="330"/>
      <c r="T411" s="330"/>
      <c r="U411" s="330"/>
      <c r="V411" s="330"/>
      <c r="W411" s="330"/>
      <c r="X411" s="330"/>
      <c r="Y411" s="330"/>
      <c r="Z411" s="619"/>
      <c r="AA411" s="619"/>
      <c r="AB411" s="619"/>
      <c r="AC411" s="619"/>
      <c r="AD411" s="60"/>
    </row>
    <row r="412" spans="1:30" x14ac:dyDescent="0.25">
      <c r="A412" s="443"/>
      <c r="B412" s="443"/>
      <c r="C412" s="443"/>
      <c r="D412" s="330"/>
      <c r="E412" s="330"/>
      <c r="F412" s="330"/>
      <c r="G412" s="330"/>
      <c r="H412" s="330"/>
      <c r="I412" s="330"/>
      <c r="J412" s="330"/>
      <c r="K412" s="330"/>
      <c r="L412" s="330"/>
      <c r="M412" s="330"/>
      <c r="N412" s="330"/>
      <c r="O412" s="330"/>
      <c r="P412" s="330"/>
      <c r="Q412" s="330"/>
      <c r="R412" s="330"/>
      <c r="S412" s="330"/>
      <c r="T412" s="330"/>
      <c r="U412" s="330"/>
      <c r="V412" s="330"/>
      <c r="W412" s="330"/>
      <c r="X412" s="330"/>
      <c r="Y412" s="330"/>
      <c r="Z412" s="619"/>
      <c r="AA412" s="619"/>
      <c r="AB412" s="619"/>
      <c r="AC412" s="619"/>
      <c r="AD412" s="60"/>
    </row>
    <row r="413" spans="1:30" x14ac:dyDescent="0.25">
      <c r="A413" s="443"/>
      <c r="B413" s="443"/>
      <c r="C413" s="443"/>
      <c r="D413" s="330"/>
      <c r="E413" s="330"/>
      <c r="F413" s="330"/>
      <c r="G413" s="330"/>
      <c r="H413" s="330"/>
      <c r="I413" s="330"/>
      <c r="J413" s="330"/>
      <c r="K413" s="330"/>
      <c r="L413" s="330"/>
      <c r="M413" s="330"/>
      <c r="N413" s="330"/>
      <c r="O413" s="330"/>
      <c r="P413" s="330"/>
      <c r="Q413" s="330"/>
      <c r="R413" s="330"/>
      <c r="S413" s="330"/>
      <c r="T413" s="330"/>
      <c r="U413" s="330"/>
      <c r="V413" s="330"/>
      <c r="W413" s="330"/>
      <c r="X413" s="330"/>
      <c r="Y413" s="330"/>
      <c r="Z413" s="619"/>
      <c r="AA413" s="619"/>
      <c r="AB413" s="619"/>
      <c r="AC413" s="619"/>
      <c r="AD413" s="60"/>
    </row>
    <row r="414" spans="1:30" x14ac:dyDescent="0.25">
      <c r="A414" s="443"/>
      <c r="B414" s="443"/>
      <c r="C414" s="443"/>
      <c r="D414" s="330"/>
      <c r="E414" s="330"/>
      <c r="F414" s="330"/>
      <c r="G414" s="330"/>
      <c r="H414" s="330"/>
      <c r="I414" s="330"/>
      <c r="J414" s="330"/>
      <c r="K414" s="330"/>
      <c r="L414" s="330"/>
      <c r="M414" s="330"/>
      <c r="N414" s="330"/>
      <c r="O414" s="330"/>
      <c r="P414" s="330"/>
      <c r="Q414" s="330"/>
      <c r="R414" s="330"/>
      <c r="S414" s="330"/>
      <c r="T414" s="330"/>
      <c r="U414" s="330"/>
      <c r="V414" s="330"/>
      <c r="W414" s="330"/>
      <c r="X414" s="330"/>
      <c r="Y414" s="330"/>
      <c r="Z414" s="619"/>
      <c r="AA414" s="619"/>
      <c r="AB414" s="619"/>
      <c r="AC414" s="619"/>
      <c r="AD414" s="60"/>
    </row>
    <row r="415" spans="1:30" x14ac:dyDescent="0.25">
      <c r="A415" s="443"/>
      <c r="B415" s="443"/>
      <c r="C415" s="443"/>
      <c r="D415" s="330"/>
      <c r="E415" s="330"/>
      <c r="F415" s="330"/>
      <c r="G415" s="330"/>
      <c r="H415" s="330"/>
      <c r="I415" s="330"/>
      <c r="J415" s="330"/>
      <c r="K415" s="330"/>
      <c r="L415" s="330"/>
      <c r="M415" s="330"/>
      <c r="N415" s="330"/>
      <c r="O415" s="330"/>
      <c r="P415" s="330"/>
      <c r="Q415" s="330"/>
      <c r="R415" s="330"/>
      <c r="S415" s="330"/>
      <c r="T415" s="330"/>
      <c r="U415" s="330"/>
      <c r="V415" s="330"/>
      <c r="W415" s="330"/>
      <c r="X415" s="330"/>
      <c r="Y415" s="330"/>
      <c r="Z415" s="619"/>
      <c r="AA415" s="619"/>
      <c r="AB415" s="619"/>
      <c r="AC415" s="619"/>
      <c r="AD415" s="60"/>
    </row>
    <row r="416" spans="1:30" x14ac:dyDescent="0.25">
      <c r="A416" s="443"/>
      <c r="B416" s="443"/>
      <c r="C416" s="443"/>
      <c r="D416" s="330"/>
      <c r="E416" s="330"/>
      <c r="F416" s="330"/>
      <c r="G416" s="330"/>
      <c r="H416" s="330"/>
      <c r="I416" s="330"/>
      <c r="J416" s="330"/>
      <c r="K416" s="330"/>
      <c r="L416" s="330"/>
      <c r="M416" s="330"/>
      <c r="N416" s="330"/>
      <c r="O416" s="330"/>
      <c r="P416" s="330"/>
      <c r="Q416" s="330"/>
      <c r="R416" s="330"/>
      <c r="S416" s="330"/>
      <c r="T416" s="330"/>
      <c r="U416" s="330"/>
      <c r="V416" s="330"/>
      <c r="W416" s="330"/>
      <c r="X416" s="330"/>
      <c r="Y416" s="330"/>
      <c r="Z416" s="619"/>
      <c r="AA416" s="619"/>
      <c r="AB416" s="619"/>
      <c r="AC416" s="619"/>
      <c r="AD416" s="60"/>
    </row>
    <row r="417" spans="1:30" x14ac:dyDescent="0.25">
      <c r="A417" s="443"/>
      <c r="B417" s="443"/>
      <c r="C417" s="443"/>
      <c r="D417" s="330"/>
      <c r="E417" s="330"/>
      <c r="F417" s="330"/>
      <c r="G417" s="330"/>
      <c r="H417" s="330"/>
      <c r="I417" s="330"/>
      <c r="J417" s="330"/>
      <c r="K417" s="330"/>
      <c r="L417" s="330"/>
      <c r="M417" s="330"/>
      <c r="N417" s="330"/>
      <c r="O417" s="330"/>
      <c r="P417" s="330"/>
      <c r="Q417" s="330"/>
      <c r="R417" s="330"/>
      <c r="S417" s="330"/>
      <c r="T417" s="330"/>
      <c r="U417" s="330"/>
      <c r="V417" s="330"/>
      <c r="W417" s="330"/>
      <c r="X417" s="330"/>
      <c r="Y417" s="330"/>
      <c r="Z417" s="619"/>
      <c r="AA417" s="619"/>
      <c r="AB417" s="619"/>
      <c r="AC417" s="619"/>
      <c r="AD417" s="60"/>
    </row>
    <row r="418" spans="1:30" x14ac:dyDescent="0.25">
      <c r="A418" s="443"/>
      <c r="B418" s="443"/>
      <c r="C418" s="443"/>
      <c r="D418" s="330"/>
      <c r="E418" s="330"/>
      <c r="F418" s="330"/>
      <c r="G418" s="330"/>
      <c r="H418" s="330"/>
      <c r="I418" s="330"/>
      <c r="J418" s="330"/>
      <c r="K418" s="330"/>
      <c r="L418" s="330"/>
      <c r="M418" s="330"/>
      <c r="N418" s="330"/>
      <c r="O418" s="330"/>
      <c r="P418" s="330"/>
      <c r="Q418" s="330"/>
      <c r="R418" s="330"/>
      <c r="S418" s="330"/>
      <c r="T418" s="330"/>
      <c r="U418" s="330"/>
      <c r="V418" s="330"/>
      <c r="W418" s="330"/>
      <c r="X418" s="330"/>
      <c r="Y418" s="330"/>
      <c r="Z418" s="619"/>
      <c r="AA418" s="619"/>
      <c r="AB418" s="619"/>
      <c r="AC418" s="619"/>
      <c r="AD418" s="60"/>
    </row>
    <row r="419" spans="1:30" x14ac:dyDescent="0.25">
      <c r="A419" s="443"/>
      <c r="B419" s="443"/>
      <c r="C419" s="443"/>
      <c r="D419" s="330"/>
      <c r="E419" s="330"/>
      <c r="F419" s="330"/>
      <c r="G419" s="330"/>
      <c r="H419" s="330"/>
      <c r="I419" s="330"/>
      <c r="J419" s="330"/>
      <c r="K419" s="330"/>
      <c r="L419" s="330"/>
      <c r="M419" s="330"/>
      <c r="N419" s="330"/>
      <c r="O419" s="330"/>
      <c r="P419" s="330"/>
      <c r="Q419" s="330"/>
      <c r="R419" s="330"/>
      <c r="S419" s="330"/>
      <c r="T419" s="330"/>
      <c r="U419" s="330"/>
      <c r="V419" s="330"/>
      <c r="W419" s="330"/>
      <c r="X419" s="330"/>
      <c r="Y419" s="330"/>
      <c r="Z419" s="619"/>
      <c r="AA419" s="619"/>
      <c r="AB419" s="619"/>
      <c r="AC419" s="619"/>
      <c r="AD419" s="60"/>
    </row>
    <row r="420" spans="1:30" x14ac:dyDescent="0.25">
      <c r="A420" s="443"/>
      <c r="B420" s="443"/>
      <c r="C420" s="443"/>
      <c r="D420" s="330"/>
      <c r="E420" s="330"/>
      <c r="F420" s="330"/>
      <c r="G420" s="330"/>
      <c r="H420" s="330"/>
      <c r="I420" s="330"/>
      <c r="J420" s="330"/>
      <c r="K420" s="330"/>
      <c r="L420" s="330"/>
      <c r="M420" s="330"/>
      <c r="N420" s="330"/>
      <c r="O420" s="330"/>
      <c r="P420" s="330"/>
      <c r="Q420" s="330"/>
      <c r="R420" s="330"/>
      <c r="S420" s="330"/>
      <c r="T420" s="330"/>
      <c r="U420" s="330"/>
      <c r="V420" s="330"/>
      <c r="W420" s="330"/>
      <c r="X420" s="330"/>
      <c r="Y420" s="330"/>
      <c r="Z420" s="619"/>
      <c r="AA420" s="619"/>
      <c r="AB420" s="619"/>
      <c r="AC420" s="619"/>
      <c r="AD420" s="60"/>
    </row>
    <row r="421" spans="1:30" x14ac:dyDescent="0.25">
      <c r="A421" s="443"/>
      <c r="B421" s="443"/>
      <c r="C421" s="443"/>
      <c r="D421" s="330"/>
      <c r="E421" s="330"/>
      <c r="F421" s="330"/>
      <c r="G421" s="330"/>
      <c r="H421" s="330"/>
      <c r="I421" s="330"/>
      <c r="J421" s="330"/>
      <c r="K421" s="330"/>
      <c r="L421" s="330"/>
      <c r="M421" s="330"/>
      <c r="N421" s="330"/>
      <c r="O421" s="330"/>
      <c r="P421" s="330"/>
      <c r="Q421" s="330"/>
      <c r="R421" s="330"/>
      <c r="S421" s="330"/>
      <c r="T421" s="330"/>
      <c r="U421" s="330"/>
      <c r="V421" s="330"/>
      <c r="W421" s="330"/>
      <c r="X421" s="330"/>
      <c r="Y421" s="330"/>
      <c r="Z421" s="619"/>
      <c r="AA421" s="619"/>
      <c r="AB421" s="619"/>
      <c r="AC421" s="619"/>
      <c r="AD421" s="60"/>
    </row>
    <row r="422" spans="1:30" x14ac:dyDescent="0.25">
      <c r="A422" s="443"/>
      <c r="B422" s="443"/>
      <c r="C422" s="443"/>
      <c r="D422" s="330"/>
      <c r="E422" s="330"/>
      <c r="F422" s="330"/>
      <c r="G422" s="330"/>
      <c r="H422" s="330"/>
      <c r="I422" s="330"/>
      <c r="J422" s="330"/>
      <c r="K422" s="330"/>
      <c r="L422" s="330"/>
      <c r="M422" s="330"/>
      <c r="N422" s="330"/>
      <c r="O422" s="330"/>
      <c r="P422" s="330"/>
      <c r="Q422" s="330"/>
      <c r="R422" s="330"/>
      <c r="S422" s="330"/>
      <c r="T422" s="330"/>
      <c r="U422" s="330"/>
      <c r="V422" s="330"/>
      <c r="W422" s="330"/>
      <c r="X422" s="330"/>
      <c r="Y422" s="330"/>
      <c r="Z422" s="619"/>
      <c r="AA422" s="619"/>
      <c r="AB422" s="619"/>
      <c r="AC422" s="619"/>
      <c r="AD422" s="60"/>
    </row>
    <row r="423" spans="1:30" x14ac:dyDescent="0.25">
      <c r="A423" s="443"/>
      <c r="B423" s="443"/>
      <c r="C423" s="443"/>
      <c r="D423" s="330"/>
      <c r="E423" s="330"/>
      <c r="F423" s="330"/>
      <c r="G423" s="330"/>
      <c r="H423" s="330"/>
      <c r="I423" s="330"/>
      <c r="J423" s="330"/>
      <c r="K423" s="330"/>
      <c r="L423" s="330"/>
      <c r="M423" s="330"/>
      <c r="N423" s="330"/>
      <c r="O423" s="330"/>
      <c r="P423" s="330"/>
      <c r="Q423" s="330"/>
      <c r="R423" s="330"/>
      <c r="S423" s="330"/>
      <c r="T423" s="330"/>
      <c r="U423" s="330"/>
      <c r="V423" s="330"/>
      <c r="W423" s="330"/>
      <c r="X423" s="330"/>
      <c r="Y423" s="330"/>
      <c r="Z423" s="619"/>
      <c r="AA423" s="619"/>
      <c r="AB423" s="619"/>
      <c r="AC423" s="619"/>
      <c r="AD423" s="60"/>
    </row>
    <row r="424" spans="1:30" x14ac:dyDescent="0.25">
      <c r="A424" s="443"/>
      <c r="B424" s="443"/>
      <c r="C424" s="443"/>
      <c r="D424" s="330"/>
      <c r="E424" s="330"/>
      <c r="F424" s="330"/>
      <c r="G424" s="330"/>
      <c r="H424" s="330"/>
      <c r="I424" s="330"/>
      <c r="J424" s="330"/>
      <c r="K424" s="330"/>
      <c r="L424" s="330"/>
      <c r="M424" s="330"/>
      <c r="N424" s="330"/>
      <c r="O424" s="330"/>
      <c r="P424" s="330"/>
      <c r="Q424" s="330"/>
      <c r="R424" s="330"/>
      <c r="S424" s="330"/>
      <c r="T424" s="330"/>
      <c r="U424" s="330"/>
      <c r="V424" s="330"/>
      <c r="W424" s="330"/>
      <c r="X424" s="330"/>
      <c r="Y424" s="330"/>
      <c r="Z424" s="619"/>
      <c r="AA424" s="619"/>
      <c r="AB424" s="619"/>
      <c r="AC424" s="619"/>
      <c r="AD424" s="60"/>
    </row>
    <row r="425" spans="1:30" x14ac:dyDescent="0.25">
      <c r="A425" s="443"/>
      <c r="B425" s="443"/>
      <c r="C425" s="443"/>
      <c r="D425" s="330"/>
      <c r="E425" s="330"/>
      <c r="F425" s="330"/>
      <c r="G425" s="330"/>
      <c r="H425" s="330"/>
      <c r="I425" s="330"/>
      <c r="J425" s="330"/>
      <c r="K425" s="330"/>
      <c r="L425" s="330"/>
      <c r="M425" s="330"/>
      <c r="N425" s="330"/>
      <c r="O425" s="330"/>
      <c r="P425" s="330"/>
      <c r="Q425" s="330"/>
      <c r="R425" s="330"/>
      <c r="S425" s="330"/>
      <c r="T425" s="330"/>
      <c r="U425" s="330"/>
      <c r="V425" s="330"/>
      <c r="W425" s="330"/>
      <c r="X425" s="330"/>
      <c r="Y425" s="330"/>
      <c r="Z425" s="619"/>
      <c r="AA425" s="619"/>
      <c r="AB425" s="619"/>
      <c r="AC425" s="619"/>
      <c r="AD425" s="60"/>
    </row>
    <row r="426" spans="1:30" x14ac:dyDescent="0.25">
      <c r="A426" s="443"/>
      <c r="B426" s="443"/>
      <c r="C426" s="443"/>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619"/>
      <c r="AA426" s="619"/>
      <c r="AB426" s="619"/>
      <c r="AC426" s="619"/>
      <c r="AD426" s="60"/>
    </row>
    <row r="427" spans="1:30" x14ac:dyDescent="0.25">
      <c r="A427" s="443"/>
      <c r="B427" s="443"/>
      <c r="C427" s="443"/>
      <c r="D427" s="330"/>
      <c r="E427" s="330"/>
      <c r="F427" s="330"/>
      <c r="G427" s="330"/>
      <c r="H427" s="330"/>
      <c r="I427" s="330"/>
      <c r="J427" s="330"/>
      <c r="K427" s="330"/>
      <c r="L427" s="330"/>
      <c r="M427" s="330"/>
      <c r="N427" s="330"/>
      <c r="O427" s="330"/>
      <c r="P427" s="330"/>
      <c r="Q427" s="330"/>
      <c r="R427" s="330"/>
      <c r="S427" s="330"/>
      <c r="T427" s="330"/>
      <c r="U427" s="330"/>
      <c r="V427" s="330"/>
      <c r="W427" s="330"/>
      <c r="X427" s="330"/>
      <c r="Y427" s="330"/>
      <c r="Z427" s="619"/>
      <c r="AA427" s="619"/>
      <c r="AB427" s="619"/>
      <c r="AC427" s="619"/>
      <c r="AD427" s="60"/>
    </row>
    <row r="428" spans="1:30" x14ac:dyDescent="0.25">
      <c r="A428" s="443"/>
      <c r="B428" s="443"/>
      <c r="C428" s="443"/>
      <c r="D428" s="330"/>
      <c r="E428" s="330"/>
      <c r="F428" s="330"/>
      <c r="G428" s="330"/>
      <c r="H428" s="330"/>
      <c r="I428" s="330"/>
      <c r="J428" s="330"/>
      <c r="K428" s="330"/>
      <c r="L428" s="330"/>
      <c r="M428" s="330"/>
      <c r="N428" s="330"/>
      <c r="O428" s="330"/>
      <c r="P428" s="330"/>
      <c r="Q428" s="330"/>
      <c r="R428" s="330"/>
      <c r="S428" s="330"/>
      <c r="T428" s="330"/>
      <c r="U428" s="330"/>
      <c r="V428" s="330"/>
      <c r="W428" s="330"/>
      <c r="X428" s="330"/>
      <c r="Y428" s="330"/>
      <c r="Z428" s="619"/>
      <c r="AA428" s="619"/>
      <c r="AB428" s="619"/>
      <c r="AC428" s="619"/>
      <c r="AD428" s="60"/>
    </row>
    <row r="429" spans="1:30" x14ac:dyDescent="0.25">
      <c r="A429" s="443"/>
      <c r="B429" s="443"/>
      <c r="C429" s="443"/>
      <c r="D429" s="330"/>
      <c r="E429" s="330"/>
      <c r="F429" s="330"/>
      <c r="G429" s="330"/>
      <c r="H429" s="330"/>
      <c r="I429" s="330"/>
      <c r="J429" s="330"/>
      <c r="K429" s="330"/>
      <c r="L429" s="330"/>
      <c r="M429" s="330"/>
      <c r="N429" s="330"/>
      <c r="O429" s="330"/>
      <c r="P429" s="330"/>
      <c r="Q429" s="330"/>
      <c r="R429" s="330"/>
      <c r="S429" s="330"/>
      <c r="T429" s="330"/>
      <c r="U429" s="330"/>
      <c r="V429" s="330"/>
      <c r="W429" s="330"/>
      <c r="X429" s="330"/>
      <c r="Y429" s="330"/>
      <c r="Z429" s="619"/>
      <c r="AA429" s="619"/>
      <c r="AB429" s="619"/>
      <c r="AC429" s="619"/>
      <c r="AD429" s="60"/>
    </row>
    <row r="430" spans="1:30" x14ac:dyDescent="0.25">
      <c r="A430" s="443"/>
      <c r="B430" s="443"/>
      <c r="C430" s="443"/>
      <c r="D430" s="330"/>
      <c r="E430" s="330"/>
      <c r="F430" s="330"/>
      <c r="G430" s="330"/>
      <c r="H430" s="330"/>
      <c r="I430" s="330"/>
      <c r="J430" s="330"/>
      <c r="K430" s="330"/>
      <c r="L430" s="330"/>
      <c r="M430" s="330"/>
      <c r="N430" s="330"/>
      <c r="O430" s="330"/>
      <c r="P430" s="330"/>
      <c r="Q430" s="330"/>
      <c r="R430" s="330"/>
      <c r="S430" s="330"/>
      <c r="T430" s="330"/>
      <c r="U430" s="330"/>
      <c r="V430" s="330"/>
      <c r="W430" s="330"/>
      <c r="X430" s="330"/>
      <c r="Y430" s="330"/>
      <c r="Z430" s="619"/>
      <c r="AA430" s="619"/>
      <c r="AB430" s="619"/>
      <c r="AC430" s="619"/>
      <c r="AD430" s="60"/>
    </row>
    <row r="431" spans="1:30" x14ac:dyDescent="0.25">
      <c r="A431" s="443"/>
      <c r="B431" s="443"/>
      <c r="C431" s="443"/>
      <c r="D431" s="330"/>
      <c r="E431" s="330"/>
      <c r="F431" s="330"/>
      <c r="G431" s="330"/>
      <c r="H431" s="330"/>
      <c r="I431" s="330"/>
      <c r="J431" s="330"/>
      <c r="K431" s="330"/>
      <c r="L431" s="330"/>
      <c r="M431" s="330"/>
      <c r="N431" s="330"/>
      <c r="O431" s="330"/>
      <c r="P431" s="330"/>
      <c r="Q431" s="330"/>
      <c r="R431" s="330"/>
      <c r="S431" s="330"/>
      <c r="T431" s="330"/>
      <c r="U431" s="330"/>
      <c r="V431" s="330"/>
      <c r="W431" s="330"/>
      <c r="X431" s="330"/>
      <c r="Y431" s="330"/>
      <c r="Z431" s="619"/>
      <c r="AA431" s="619"/>
      <c r="AB431" s="619"/>
      <c r="AC431" s="619"/>
      <c r="AD431" s="60"/>
    </row>
    <row r="432" spans="1:30" x14ac:dyDescent="0.25">
      <c r="A432" s="443"/>
      <c r="B432" s="443"/>
      <c r="C432" s="443"/>
      <c r="D432" s="330"/>
      <c r="E432" s="330"/>
      <c r="F432" s="330"/>
      <c r="G432" s="330"/>
      <c r="H432" s="330"/>
      <c r="I432" s="330"/>
      <c r="J432" s="330"/>
      <c r="K432" s="330"/>
      <c r="L432" s="330"/>
      <c r="M432" s="330"/>
      <c r="N432" s="330"/>
      <c r="O432" s="330"/>
      <c r="P432" s="330"/>
      <c r="Q432" s="330"/>
      <c r="R432" s="330"/>
      <c r="S432" s="330"/>
      <c r="T432" s="330"/>
      <c r="U432" s="330"/>
      <c r="V432" s="330"/>
      <c r="W432" s="330"/>
      <c r="X432" s="330"/>
      <c r="Y432" s="330"/>
      <c r="Z432" s="619"/>
      <c r="AA432" s="619"/>
      <c r="AB432" s="619"/>
      <c r="AC432" s="619"/>
      <c r="AD432" s="60"/>
    </row>
    <row r="433" spans="1:30" x14ac:dyDescent="0.25">
      <c r="A433" s="443"/>
      <c r="B433" s="443"/>
      <c r="C433" s="443"/>
      <c r="D433" s="330"/>
      <c r="E433" s="330"/>
      <c r="F433" s="330"/>
      <c r="G433" s="330"/>
      <c r="H433" s="330"/>
      <c r="I433" s="330"/>
      <c r="J433" s="330"/>
      <c r="K433" s="330"/>
      <c r="L433" s="330"/>
      <c r="M433" s="330"/>
      <c r="N433" s="330"/>
      <c r="O433" s="330"/>
      <c r="P433" s="330"/>
      <c r="Q433" s="330"/>
      <c r="R433" s="330"/>
      <c r="S433" s="330"/>
      <c r="T433" s="330"/>
      <c r="U433" s="330"/>
      <c r="V433" s="330"/>
      <c r="W433" s="330"/>
      <c r="X433" s="330"/>
      <c r="Y433" s="330"/>
      <c r="Z433" s="619"/>
      <c r="AA433" s="619"/>
      <c r="AB433" s="619"/>
      <c r="AC433" s="619"/>
      <c r="AD433" s="60"/>
    </row>
    <row r="434" spans="1:30" x14ac:dyDescent="0.25">
      <c r="A434" s="443"/>
      <c r="B434" s="443"/>
      <c r="C434" s="443"/>
      <c r="D434" s="330"/>
      <c r="E434" s="330"/>
      <c r="F434" s="330"/>
      <c r="G434" s="330"/>
      <c r="H434" s="330"/>
      <c r="I434" s="330"/>
      <c r="J434" s="330"/>
      <c r="K434" s="330"/>
      <c r="L434" s="330"/>
      <c r="M434" s="330"/>
      <c r="N434" s="330"/>
      <c r="O434" s="330"/>
      <c r="P434" s="330"/>
      <c r="Q434" s="330"/>
      <c r="R434" s="330"/>
      <c r="S434" s="330"/>
      <c r="T434" s="330"/>
      <c r="U434" s="330"/>
      <c r="V434" s="330"/>
      <c r="W434" s="330"/>
      <c r="X434" s="330"/>
      <c r="Y434" s="330"/>
      <c r="Z434" s="619"/>
      <c r="AA434" s="619"/>
      <c r="AB434" s="619"/>
      <c r="AC434" s="619"/>
      <c r="AD434" s="60"/>
    </row>
    <row r="435" spans="1:30" x14ac:dyDescent="0.25">
      <c r="A435" s="443"/>
      <c r="B435" s="443"/>
      <c r="C435" s="443"/>
      <c r="D435" s="330"/>
      <c r="E435" s="330"/>
      <c r="F435" s="330"/>
      <c r="G435" s="330"/>
      <c r="H435" s="330"/>
      <c r="I435" s="330"/>
      <c r="J435" s="330"/>
      <c r="K435" s="330"/>
      <c r="L435" s="330"/>
      <c r="M435" s="330"/>
      <c r="N435" s="330"/>
      <c r="O435" s="330"/>
      <c r="P435" s="330"/>
      <c r="Q435" s="330"/>
      <c r="R435" s="330"/>
      <c r="S435" s="330"/>
      <c r="T435" s="330"/>
      <c r="U435" s="330"/>
      <c r="V435" s="330"/>
      <c r="W435" s="330"/>
      <c r="X435" s="330"/>
      <c r="Y435" s="330"/>
      <c r="Z435" s="619"/>
      <c r="AA435" s="619"/>
      <c r="AB435" s="619"/>
      <c r="AC435" s="619"/>
      <c r="AD435" s="60"/>
    </row>
    <row r="436" spans="1:30" x14ac:dyDescent="0.25">
      <c r="A436" s="443"/>
      <c r="B436" s="443"/>
      <c r="C436" s="443"/>
      <c r="D436" s="330"/>
      <c r="E436" s="330"/>
      <c r="F436" s="330"/>
      <c r="G436" s="330"/>
      <c r="H436" s="330"/>
      <c r="I436" s="330"/>
      <c r="J436" s="330"/>
      <c r="K436" s="330"/>
      <c r="L436" s="330"/>
      <c r="M436" s="330"/>
      <c r="N436" s="330"/>
      <c r="O436" s="330"/>
      <c r="P436" s="330"/>
      <c r="Q436" s="330"/>
      <c r="R436" s="330"/>
      <c r="S436" s="330"/>
      <c r="T436" s="330"/>
      <c r="U436" s="330"/>
      <c r="V436" s="330"/>
      <c r="W436" s="330"/>
      <c r="X436" s="330"/>
      <c r="Y436" s="330"/>
      <c r="Z436" s="619"/>
      <c r="AA436" s="619"/>
      <c r="AB436" s="619"/>
      <c r="AC436" s="619"/>
      <c r="AD436" s="60"/>
    </row>
    <row r="437" spans="1:30" x14ac:dyDescent="0.25">
      <c r="A437" s="443"/>
      <c r="B437" s="443"/>
      <c r="C437" s="443"/>
      <c r="D437" s="330"/>
      <c r="E437" s="330"/>
      <c r="F437" s="330"/>
      <c r="G437" s="330"/>
      <c r="H437" s="330"/>
      <c r="I437" s="330"/>
      <c r="J437" s="330"/>
      <c r="K437" s="330"/>
      <c r="L437" s="330"/>
      <c r="M437" s="330"/>
      <c r="N437" s="330"/>
      <c r="O437" s="330"/>
      <c r="P437" s="330"/>
      <c r="Q437" s="330"/>
      <c r="R437" s="330"/>
      <c r="S437" s="330"/>
      <c r="T437" s="330"/>
      <c r="U437" s="330"/>
      <c r="V437" s="330"/>
      <c r="W437" s="330"/>
      <c r="X437" s="330"/>
      <c r="Y437" s="330"/>
      <c r="Z437" s="619"/>
      <c r="AA437" s="619"/>
      <c r="AB437" s="619"/>
      <c r="AC437" s="619"/>
      <c r="AD437" s="60"/>
    </row>
    <row r="438" spans="1:30" x14ac:dyDescent="0.25">
      <c r="A438" s="443"/>
      <c r="B438" s="443"/>
      <c r="C438" s="443"/>
      <c r="D438" s="330"/>
      <c r="E438" s="330"/>
      <c r="F438" s="330"/>
      <c r="G438" s="330"/>
      <c r="H438" s="330"/>
      <c r="I438" s="330"/>
      <c r="J438" s="330"/>
      <c r="K438" s="330"/>
      <c r="L438" s="330"/>
      <c r="M438" s="330"/>
      <c r="N438" s="330"/>
      <c r="O438" s="330"/>
      <c r="P438" s="330"/>
      <c r="Q438" s="330"/>
      <c r="R438" s="330"/>
      <c r="S438" s="330"/>
      <c r="T438" s="330"/>
      <c r="U438" s="330"/>
      <c r="V438" s="330"/>
      <c r="W438" s="330"/>
      <c r="X438" s="330"/>
      <c r="Y438" s="330"/>
      <c r="Z438" s="619"/>
      <c r="AA438" s="619"/>
      <c r="AB438" s="619"/>
      <c r="AC438" s="619"/>
      <c r="AD438" s="60"/>
    </row>
    <row r="439" spans="1:30" x14ac:dyDescent="0.25">
      <c r="A439" s="443"/>
      <c r="B439" s="443"/>
      <c r="C439" s="443"/>
      <c r="D439" s="330"/>
      <c r="E439" s="330"/>
      <c r="F439" s="330"/>
      <c r="G439" s="330"/>
      <c r="H439" s="330"/>
      <c r="I439" s="330"/>
      <c r="J439" s="330"/>
      <c r="K439" s="330"/>
      <c r="L439" s="330"/>
      <c r="M439" s="330"/>
      <c r="N439" s="330"/>
      <c r="O439" s="330"/>
      <c r="P439" s="330"/>
      <c r="Q439" s="330"/>
      <c r="R439" s="330"/>
      <c r="S439" s="330"/>
      <c r="T439" s="330"/>
      <c r="U439" s="330"/>
      <c r="V439" s="330"/>
      <c r="W439" s="330"/>
      <c r="X439" s="330"/>
      <c r="Y439" s="330"/>
      <c r="Z439" s="619"/>
      <c r="AA439" s="619"/>
      <c r="AB439" s="619"/>
      <c r="AC439" s="619"/>
      <c r="AD439" s="60"/>
    </row>
    <row r="440" spans="1:30" x14ac:dyDescent="0.25">
      <c r="A440" s="443"/>
      <c r="B440" s="443"/>
      <c r="C440" s="443"/>
      <c r="D440" s="330"/>
      <c r="E440" s="330"/>
      <c r="F440" s="330"/>
      <c r="G440" s="330"/>
      <c r="H440" s="330"/>
      <c r="I440" s="330"/>
      <c r="J440" s="330"/>
      <c r="K440" s="330"/>
      <c r="L440" s="330"/>
      <c r="M440" s="330"/>
      <c r="N440" s="330"/>
      <c r="O440" s="330"/>
      <c r="P440" s="330"/>
      <c r="Q440" s="330"/>
      <c r="R440" s="330"/>
      <c r="S440" s="330"/>
      <c r="T440" s="330"/>
      <c r="U440" s="330"/>
      <c r="V440" s="330"/>
      <c r="W440" s="330"/>
      <c r="X440" s="330"/>
      <c r="Y440" s="330"/>
      <c r="Z440" s="619"/>
      <c r="AA440" s="619"/>
      <c r="AB440" s="619"/>
      <c r="AC440" s="619"/>
      <c r="AD440" s="60"/>
    </row>
    <row r="441" spans="1:30" x14ac:dyDescent="0.25">
      <c r="A441" s="443"/>
      <c r="B441" s="443"/>
      <c r="C441" s="443"/>
      <c r="D441" s="330"/>
      <c r="E441" s="330"/>
      <c r="F441" s="330"/>
      <c r="G441" s="330"/>
      <c r="H441" s="330"/>
      <c r="I441" s="330"/>
      <c r="J441" s="330"/>
      <c r="K441" s="330"/>
      <c r="L441" s="330"/>
      <c r="M441" s="330"/>
      <c r="N441" s="330"/>
      <c r="O441" s="330"/>
      <c r="P441" s="330"/>
      <c r="Q441" s="330"/>
      <c r="R441" s="330"/>
      <c r="S441" s="330"/>
      <c r="T441" s="330"/>
      <c r="U441" s="330"/>
      <c r="V441" s="330"/>
      <c r="W441" s="330"/>
      <c r="X441" s="330"/>
      <c r="Y441" s="330"/>
      <c r="Z441" s="619"/>
      <c r="AA441" s="619"/>
      <c r="AB441" s="619"/>
      <c r="AC441" s="619"/>
      <c r="AD441" s="60"/>
    </row>
    <row r="442" spans="1:30" x14ac:dyDescent="0.25">
      <c r="A442" s="443"/>
      <c r="B442" s="443"/>
      <c r="C442" s="443"/>
      <c r="D442" s="330"/>
      <c r="E442" s="330"/>
      <c r="F442" s="330"/>
      <c r="G442" s="330"/>
      <c r="H442" s="330"/>
      <c r="I442" s="330"/>
      <c r="J442" s="330"/>
      <c r="K442" s="330"/>
      <c r="L442" s="330"/>
      <c r="M442" s="330"/>
      <c r="N442" s="330"/>
      <c r="O442" s="330"/>
      <c r="P442" s="330"/>
      <c r="Q442" s="330"/>
      <c r="R442" s="330"/>
      <c r="S442" s="330"/>
      <c r="T442" s="330"/>
      <c r="U442" s="330"/>
      <c r="V442" s="330"/>
      <c r="W442" s="330"/>
      <c r="X442" s="330"/>
      <c r="Y442" s="330"/>
      <c r="Z442" s="619"/>
      <c r="AA442" s="619"/>
      <c r="AB442" s="619"/>
      <c r="AC442" s="619"/>
      <c r="AD442" s="60"/>
    </row>
    <row r="443" spans="1:30" x14ac:dyDescent="0.25">
      <c r="A443" s="443"/>
      <c r="B443" s="443"/>
      <c r="C443" s="443"/>
      <c r="D443" s="330"/>
      <c r="E443" s="330"/>
      <c r="F443" s="330"/>
      <c r="G443" s="330"/>
      <c r="H443" s="330"/>
      <c r="I443" s="330"/>
      <c r="J443" s="330"/>
      <c r="K443" s="330"/>
      <c r="L443" s="330"/>
      <c r="M443" s="330"/>
      <c r="N443" s="330"/>
      <c r="O443" s="330"/>
      <c r="P443" s="330"/>
      <c r="Q443" s="330"/>
      <c r="R443" s="330"/>
      <c r="S443" s="330"/>
      <c r="T443" s="330"/>
      <c r="U443" s="330"/>
      <c r="V443" s="330"/>
      <c r="W443" s="330"/>
      <c r="X443" s="330"/>
      <c r="Y443" s="330"/>
      <c r="Z443" s="619"/>
      <c r="AA443" s="619"/>
      <c r="AB443" s="619"/>
      <c r="AC443" s="619"/>
      <c r="AD443" s="60"/>
    </row>
    <row r="444" spans="1:30" x14ac:dyDescent="0.25">
      <c r="A444" s="443"/>
      <c r="B444" s="443"/>
      <c r="C444" s="443"/>
      <c r="D444" s="330"/>
      <c r="E444" s="330"/>
      <c r="F444" s="330"/>
      <c r="G444" s="330"/>
      <c r="H444" s="330"/>
      <c r="I444" s="330"/>
      <c r="J444" s="330"/>
      <c r="K444" s="330"/>
      <c r="L444" s="330"/>
      <c r="M444" s="330"/>
      <c r="N444" s="330"/>
      <c r="O444" s="330"/>
      <c r="P444" s="330"/>
      <c r="Q444" s="330"/>
      <c r="R444" s="330"/>
      <c r="S444" s="330"/>
      <c r="T444" s="330"/>
      <c r="U444" s="330"/>
      <c r="V444" s="330"/>
      <c r="W444" s="330"/>
      <c r="X444" s="330"/>
      <c r="Y444" s="330"/>
      <c r="Z444" s="619"/>
      <c r="AA444" s="619"/>
      <c r="AB444" s="619"/>
      <c r="AC444" s="619"/>
      <c r="AD444" s="60"/>
    </row>
    <row r="445" spans="1:30" x14ac:dyDescent="0.25">
      <c r="A445" s="443"/>
      <c r="B445" s="443"/>
      <c r="C445" s="443"/>
      <c r="D445" s="330"/>
      <c r="E445" s="330"/>
      <c r="F445" s="330"/>
      <c r="G445" s="330"/>
      <c r="H445" s="330"/>
      <c r="I445" s="330"/>
      <c r="J445" s="330"/>
      <c r="K445" s="330"/>
      <c r="L445" s="330"/>
      <c r="M445" s="330"/>
      <c r="N445" s="330"/>
      <c r="O445" s="330"/>
      <c r="P445" s="330"/>
      <c r="Q445" s="330"/>
      <c r="R445" s="330"/>
      <c r="S445" s="330"/>
      <c r="T445" s="330"/>
      <c r="U445" s="330"/>
      <c r="V445" s="330"/>
      <c r="W445" s="330"/>
      <c r="X445" s="330"/>
      <c r="Y445" s="330"/>
      <c r="Z445" s="619"/>
      <c r="AA445" s="619"/>
      <c r="AB445" s="619"/>
      <c r="AC445" s="619"/>
      <c r="AD445" s="60"/>
    </row>
    <row r="446" spans="1:30" x14ac:dyDescent="0.25">
      <c r="A446" s="443"/>
      <c r="B446" s="443"/>
      <c r="C446" s="443"/>
      <c r="D446" s="330"/>
      <c r="E446" s="330"/>
      <c r="F446" s="330"/>
      <c r="G446" s="330"/>
      <c r="H446" s="330"/>
      <c r="I446" s="330"/>
      <c r="J446" s="330"/>
      <c r="K446" s="330"/>
      <c r="L446" s="330"/>
      <c r="M446" s="330"/>
      <c r="N446" s="330"/>
      <c r="O446" s="330"/>
      <c r="P446" s="330"/>
      <c r="Q446" s="330"/>
      <c r="R446" s="330"/>
      <c r="S446" s="330"/>
      <c r="T446" s="330"/>
      <c r="U446" s="330"/>
      <c r="V446" s="330"/>
      <c r="W446" s="330"/>
      <c r="X446" s="330"/>
      <c r="Y446" s="330"/>
      <c r="Z446" s="619"/>
      <c r="AA446" s="619"/>
      <c r="AB446" s="619"/>
      <c r="AC446" s="619"/>
      <c r="AD446" s="60"/>
    </row>
    <row r="447" spans="1:30" x14ac:dyDescent="0.25">
      <c r="A447" s="443"/>
      <c r="B447" s="443"/>
      <c r="C447" s="443"/>
      <c r="D447" s="330"/>
      <c r="E447" s="330"/>
      <c r="F447" s="330"/>
      <c r="G447" s="330"/>
      <c r="H447" s="330"/>
      <c r="I447" s="330"/>
      <c r="J447" s="330"/>
      <c r="K447" s="330"/>
      <c r="L447" s="330"/>
      <c r="M447" s="330"/>
      <c r="N447" s="330"/>
      <c r="O447" s="330"/>
      <c r="P447" s="330"/>
      <c r="Q447" s="330"/>
      <c r="R447" s="330"/>
      <c r="S447" s="330"/>
      <c r="T447" s="330"/>
      <c r="U447" s="330"/>
      <c r="V447" s="330"/>
      <c r="W447" s="330"/>
      <c r="X447" s="330"/>
      <c r="Y447" s="330"/>
      <c r="Z447" s="619"/>
      <c r="AA447" s="619"/>
      <c r="AB447" s="619"/>
      <c r="AC447" s="619"/>
      <c r="AD447" s="60"/>
    </row>
    <row r="448" spans="1:30" x14ac:dyDescent="0.25">
      <c r="A448" s="443"/>
      <c r="B448" s="443"/>
      <c r="C448" s="443"/>
      <c r="D448" s="330"/>
      <c r="E448" s="330"/>
      <c r="F448" s="330"/>
      <c r="G448" s="330"/>
      <c r="H448" s="330"/>
      <c r="I448" s="330"/>
      <c r="J448" s="330"/>
      <c r="K448" s="330"/>
      <c r="L448" s="330"/>
      <c r="M448" s="330"/>
      <c r="N448" s="330"/>
      <c r="O448" s="330"/>
      <c r="P448" s="330"/>
      <c r="Q448" s="330"/>
      <c r="R448" s="330"/>
      <c r="S448" s="330"/>
      <c r="T448" s="330"/>
      <c r="U448" s="330"/>
      <c r="V448" s="330"/>
      <c r="W448" s="330"/>
      <c r="X448" s="330"/>
      <c r="Y448" s="330"/>
      <c r="Z448" s="619"/>
      <c r="AA448" s="619"/>
      <c r="AB448" s="619"/>
      <c r="AC448" s="619"/>
      <c r="AD448" s="60"/>
    </row>
    <row r="449" spans="1:30" x14ac:dyDescent="0.25">
      <c r="A449" s="443"/>
      <c r="B449" s="443"/>
      <c r="C449" s="443"/>
      <c r="D449" s="330"/>
      <c r="E449" s="330"/>
      <c r="F449" s="330"/>
      <c r="G449" s="330"/>
      <c r="H449" s="330"/>
      <c r="I449" s="330"/>
      <c r="J449" s="330"/>
      <c r="K449" s="330"/>
      <c r="L449" s="330"/>
      <c r="M449" s="330"/>
      <c r="N449" s="330"/>
      <c r="O449" s="330"/>
      <c r="P449" s="330"/>
      <c r="Q449" s="330"/>
      <c r="R449" s="330"/>
      <c r="S449" s="330"/>
      <c r="T449" s="330"/>
      <c r="U449" s="330"/>
      <c r="V449" s="330"/>
      <c r="W449" s="330"/>
      <c r="X449" s="330"/>
      <c r="Y449" s="330"/>
      <c r="Z449" s="619"/>
      <c r="AA449" s="619"/>
      <c r="AB449" s="619"/>
      <c r="AC449" s="619"/>
      <c r="AD449" s="60"/>
    </row>
    <row r="450" spans="1:30" x14ac:dyDescent="0.25">
      <c r="A450" s="443"/>
      <c r="B450" s="443"/>
      <c r="C450" s="443"/>
      <c r="D450" s="330"/>
      <c r="E450" s="330"/>
      <c r="F450" s="330"/>
      <c r="G450" s="330"/>
      <c r="H450" s="330"/>
      <c r="I450" s="330"/>
      <c r="J450" s="330"/>
      <c r="K450" s="330"/>
      <c r="L450" s="330"/>
      <c r="M450" s="330"/>
      <c r="N450" s="330"/>
      <c r="O450" s="330"/>
      <c r="P450" s="330"/>
      <c r="Q450" s="330"/>
      <c r="R450" s="330"/>
      <c r="S450" s="330"/>
      <c r="T450" s="330"/>
      <c r="U450" s="330"/>
      <c r="V450" s="330"/>
      <c r="W450" s="330"/>
      <c r="X450" s="330"/>
      <c r="Y450" s="330"/>
      <c r="Z450" s="619"/>
      <c r="AA450" s="619"/>
      <c r="AB450" s="619"/>
      <c r="AC450" s="619"/>
      <c r="AD450" s="60"/>
    </row>
    <row r="451" spans="1:30" x14ac:dyDescent="0.25">
      <c r="A451" s="443"/>
      <c r="B451" s="443"/>
      <c r="C451" s="443"/>
      <c r="D451" s="330"/>
      <c r="E451" s="330"/>
      <c r="F451" s="330"/>
      <c r="G451" s="330"/>
      <c r="H451" s="330"/>
      <c r="I451" s="330"/>
      <c r="J451" s="330"/>
      <c r="K451" s="330"/>
      <c r="L451" s="330"/>
      <c r="M451" s="330"/>
      <c r="N451" s="330"/>
      <c r="O451" s="330"/>
      <c r="P451" s="330"/>
      <c r="Q451" s="330"/>
      <c r="R451" s="330"/>
      <c r="S451" s="330"/>
      <c r="T451" s="330"/>
      <c r="U451" s="330"/>
      <c r="V451" s="330"/>
      <c r="W451" s="330"/>
      <c r="X451" s="330"/>
      <c r="Y451" s="330"/>
      <c r="Z451" s="619"/>
      <c r="AA451" s="619"/>
      <c r="AB451" s="619"/>
      <c r="AC451" s="619"/>
      <c r="AD451" s="60"/>
    </row>
    <row r="452" spans="1:30" x14ac:dyDescent="0.25">
      <c r="A452" s="443"/>
      <c r="B452" s="443"/>
      <c r="C452" s="443"/>
      <c r="D452" s="330"/>
      <c r="E452" s="330"/>
      <c r="F452" s="330"/>
      <c r="G452" s="330"/>
      <c r="H452" s="330"/>
      <c r="I452" s="330"/>
      <c r="J452" s="330"/>
      <c r="K452" s="330"/>
      <c r="L452" s="330"/>
      <c r="M452" s="330"/>
      <c r="N452" s="330"/>
      <c r="O452" s="330"/>
      <c r="P452" s="330"/>
      <c r="Q452" s="330"/>
      <c r="R452" s="330"/>
      <c r="S452" s="330"/>
      <c r="T452" s="330"/>
      <c r="U452" s="330"/>
      <c r="V452" s="330"/>
      <c r="W452" s="330"/>
      <c r="X452" s="330"/>
      <c r="Y452" s="330"/>
      <c r="Z452" s="619"/>
      <c r="AA452" s="619"/>
      <c r="AB452" s="619"/>
      <c r="AC452" s="619"/>
      <c r="AD452" s="60"/>
    </row>
    <row r="453" spans="1:30" x14ac:dyDescent="0.25">
      <c r="A453" s="443"/>
      <c r="B453" s="443"/>
      <c r="C453" s="443"/>
      <c r="D453" s="330"/>
      <c r="E453" s="330"/>
      <c r="F453" s="330"/>
      <c r="G453" s="330"/>
      <c r="H453" s="330"/>
      <c r="I453" s="330"/>
      <c r="J453" s="330"/>
      <c r="K453" s="330"/>
      <c r="L453" s="330"/>
      <c r="M453" s="330"/>
      <c r="N453" s="330"/>
      <c r="O453" s="330"/>
      <c r="P453" s="330"/>
      <c r="Q453" s="330"/>
      <c r="R453" s="330"/>
      <c r="S453" s="330"/>
      <c r="T453" s="330"/>
      <c r="U453" s="330"/>
      <c r="V453" s="330"/>
      <c r="W453" s="330"/>
      <c r="X453" s="330"/>
      <c r="Y453" s="330"/>
      <c r="Z453" s="619"/>
      <c r="AA453" s="619"/>
      <c r="AB453" s="619"/>
      <c r="AC453" s="619"/>
      <c r="AD453" s="60"/>
    </row>
    <row r="454" spans="1:30" x14ac:dyDescent="0.25">
      <c r="A454" s="443"/>
      <c r="B454" s="443"/>
      <c r="C454" s="443"/>
      <c r="D454" s="330"/>
      <c r="E454" s="330"/>
      <c r="F454" s="330"/>
      <c r="G454" s="330"/>
      <c r="H454" s="330"/>
      <c r="I454" s="330"/>
      <c r="J454" s="330"/>
      <c r="K454" s="330"/>
      <c r="L454" s="330"/>
      <c r="M454" s="330"/>
      <c r="N454" s="330"/>
      <c r="O454" s="330"/>
      <c r="P454" s="330"/>
      <c r="Q454" s="330"/>
      <c r="R454" s="330"/>
      <c r="S454" s="330"/>
      <c r="T454" s="330"/>
      <c r="U454" s="330"/>
      <c r="V454" s="330"/>
      <c r="W454" s="330"/>
      <c r="X454" s="330"/>
      <c r="Y454" s="330"/>
      <c r="Z454" s="619"/>
      <c r="AA454" s="619"/>
      <c r="AB454" s="619"/>
      <c r="AC454" s="619"/>
      <c r="AD454" s="60"/>
    </row>
    <row r="455" spans="1:30" x14ac:dyDescent="0.25">
      <c r="A455" s="443"/>
      <c r="B455" s="443"/>
      <c r="C455" s="443"/>
      <c r="D455" s="330"/>
      <c r="E455" s="330"/>
      <c r="F455" s="330"/>
      <c r="G455" s="330"/>
      <c r="H455" s="330"/>
      <c r="I455" s="330"/>
      <c r="J455" s="330"/>
      <c r="K455" s="330"/>
      <c r="L455" s="330"/>
      <c r="M455" s="330"/>
      <c r="N455" s="330"/>
      <c r="O455" s="330"/>
      <c r="P455" s="330"/>
      <c r="Q455" s="330"/>
      <c r="R455" s="330"/>
      <c r="S455" s="330"/>
      <c r="T455" s="330"/>
      <c r="U455" s="330"/>
      <c r="V455" s="330"/>
      <c r="W455" s="330"/>
      <c r="X455" s="330"/>
      <c r="Y455" s="330"/>
      <c r="Z455" s="619"/>
      <c r="AA455" s="619"/>
      <c r="AB455" s="619"/>
      <c r="AC455" s="619"/>
      <c r="AD455" s="60"/>
    </row>
    <row r="456" spans="1:30" x14ac:dyDescent="0.25">
      <c r="A456" s="443"/>
      <c r="B456" s="443"/>
      <c r="C456" s="443"/>
      <c r="D456" s="330"/>
      <c r="E456" s="330"/>
      <c r="F456" s="330"/>
      <c r="G456" s="330"/>
      <c r="H456" s="330"/>
      <c r="I456" s="330"/>
      <c r="J456" s="330"/>
      <c r="K456" s="330"/>
      <c r="L456" s="330"/>
      <c r="M456" s="330"/>
      <c r="N456" s="330"/>
      <c r="O456" s="330"/>
      <c r="P456" s="330"/>
      <c r="Q456" s="330"/>
      <c r="R456" s="330"/>
      <c r="S456" s="330"/>
      <c r="T456" s="330"/>
      <c r="U456" s="330"/>
      <c r="V456" s="330"/>
      <c r="W456" s="330"/>
      <c r="X456" s="330"/>
      <c r="Y456" s="330"/>
      <c r="Z456" s="619"/>
      <c r="AA456" s="619"/>
      <c r="AB456" s="619"/>
      <c r="AC456" s="619"/>
      <c r="AD456" s="60"/>
    </row>
    <row r="457" spans="1:30" x14ac:dyDescent="0.25">
      <c r="A457" s="443"/>
      <c r="B457" s="443"/>
      <c r="C457" s="443"/>
      <c r="D457" s="330"/>
      <c r="E457" s="330"/>
      <c r="F457" s="330"/>
      <c r="G457" s="330"/>
      <c r="H457" s="330"/>
      <c r="I457" s="330"/>
      <c r="J457" s="330"/>
      <c r="K457" s="330"/>
      <c r="L457" s="330"/>
      <c r="M457" s="330"/>
      <c r="N457" s="330"/>
      <c r="O457" s="330"/>
      <c r="P457" s="330"/>
      <c r="Q457" s="330"/>
      <c r="R457" s="330"/>
      <c r="S457" s="330"/>
      <c r="T457" s="330"/>
      <c r="U457" s="330"/>
      <c r="V457" s="330"/>
      <c r="W457" s="330"/>
      <c r="X457" s="330"/>
      <c r="Y457" s="330"/>
      <c r="Z457" s="619"/>
      <c r="AA457" s="619"/>
      <c r="AB457" s="619"/>
      <c r="AC457" s="619"/>
      <c r="AD457" s="60"/>
    </row>
    <row r="458" spans="1:30" x14ac:dyDescent="0.25">
      <c r="A458" s="443"/>
      <c r="B458" s="443"/>
      <c r="C458" s="443"/>
      <c r="D458" s="330"/>
      <c r="E458" s="330"/>
      <c r="F458" s="330"/>
      <c r="G458" s="330"/>
      <c r="H458" s="330"/>
      <c r="I458" s="330"/>
      <c r="J458" s="330"/>
      <c r="K458" s="330"/>
      <c r="L458" s="330"/>
      <c r="M458" s="330"/>
      <c r="N458" s="330"/>
      <c r="O458" s="330"/>
      <c r="P458" s="330"/>
      <c r="Q458" s="330"/>
      <c r="R458" s="330"/>
      <c r="S458" s="330"/>
      <c r="T458" s="330"/>
      <c r="U458" s="330"/>
      <c r="V458" s="330"/>
      <c r="W458" s="330"/>
      <c r="X458" s="330"/>
      <c r="Y458" s="330"/>
      <c r="Z458" s="619"/>
      <c r="AA458" s="619"/>
      <c r="AB458" s="619"/>
      <c r="AC458" s="619"/>
      <c r="AD458" s="60"/>
    </row>
    <row r="459" spans="1:30" x14ac:dyDescent="0.25">
      <c r="A459" s="443"/>
      <c r="B459" s="443"/>
      <c r="C459" s="443"/>
      <c r="D459" s="330"/>
      <c r="E459" s="330"/>
      <c r="F459" s="330"/>
      <c r="G459" s="330"/>
      <c r="H459" s="330"/>
      <c r="I459" s="330"/>
      <c r="J459" s="330"/>
      <c r="K459" s="330"/>
      <c r="L459" s="330"/>
      <c r="M459" s="330"/>
      <c r="N459" s="330"/>
      <c r="O459" s="330"/>
      <c r="P459" s="330"/>
      <c r="Q459" s="330"/>
      <c r="R459" s="330"/>
      <c r="S459" s="330"/>
      <c r="T459" s="330"/>
      <c r="U459" s="330"/>
      <c r="V459" s="330"/>
      <c r="W459" s="330"/>
      <c r="X459" s="330"/>
      <c r="Y459" s="330"/>
      <c r="Z459" s="619"/>
      <c r="AA459" s="619"/>
      <c r="AB459" s="619"/>
      <c r="AC459" s="619"/>
      <c r="AD459" s="60"/>
    </row>
    <row r="460" spans="1:30" x14ac:dyDescent="0.25">
      <c r="A460" s="443"/>
      <c r="B460" s="443"/>
      <c r="C460" s="443"/>
      <c r="D460" s="330"/>
      <c r="E460" s="330"/>
      <c r="F460" s="330"/>
      <c r="G460" s="330"/>
      <c r="H460" s="330"/>
      <c r="I460" s="330"/>
      <c r="J460" s="330"/>
      <c r="K460" s="330"/>
      <c r="L460" s="330"/>
      <c r="M460" s="330"/>
      <c r="N460" s="330"/>
      <c r="O460" s="330"/>
      <c r="P460" s="330"/>
      <c r="Q460" s="330"/>
      <c r="R460" s="330"/>
      <c r="S460" s="330"/>
      <c r="T460" s="330"/>
      <c r="U460" s="330"/>
      <c r="V460" s="330"/>
      <c r="W460" s="330"/>
      <c r="X460" s="330"/>
      <c r="Y460" s="330"/>
      <c r="Z460" s="619"/>
      <c r="AA460" s="619"/>
      <c r="AB460" s="619"/>
      <c r="AC460" s="619"/>
      <c r="AD460" s="60"/>
    </row>
    <row r="461" spans="1:30" x14ac:dyDescent="0.25">
      <c r="A461" s="443"/>
      <c r="B461" s="443"/>
      <c r="C461" s="443"/>
      <c r="D461" s="330"/>
      <c r="E461" s="330"/>
      <c r="F461" s="330"/>
      <c r="G461" s="330"/>
      <c r="H461" s="330"/>
      <c r="I461" s="330"/>
      <c r="J461" s="330"/>
      <c r="K461" s="330"/>
      <c r="L461" s="330"/>
      <c r="M461" s="330"/>
      <c r="N461" s="330"/>
      <c r="O461" s="330"/>
      <c r="P461" s="330"/>
      <c r="Q461" s="330"/>
      <c r="R461" s="330"/>
      <c r="S461" s="330"/>
      <c r="T461" s="330"/>
      <c r="U461" s="330"/>
      <c r="V461" s="330"/>
      <c r="W461" s="330"/>
      <c r="X461" s="330"/>
      <c r="Y461" s="330"/>
      <c r="Z461" s="619"/>
      <c r="AA461" s="619"/>
      <c r="AB461" s="619"/>
      <c r="AC461" s="619"/>
      <c r="AD461" s="60"/>
    </row>
    <row r="462" spans="1:30" x14ac:dyDescent="0.25">
      <c r="A462" s="443"/>
      <c r="B462" s="443"/>
      <c r="C462" s="443"/>
      <c r="D462" s="330"/>
      <c r="E462" s="330"/>
      <c r="F462" s="330"/>
      <c r="G462" s="330"/>
      <c r="H462" s="330"/>
      <c r="I462" s="330"/>
      <c r="J462" s="330"/>
      <c r="K462" s="330"/>
      <c r="L462" s="330"/>
      <c r="M462" s="330"/>
      <c r="N462" s="330"/>
      <c r="O462" s="330"/>
      <c r="P462" s="330"/>
      <c r="Q462" s="330"/>
      <c r="R462" s="330"/>
      <c r="S462" s="330"/>
      <c r="T462" s="330"/>
      <c r="U462" s="330"/>
      <c r="V462" s="330"/>
      <c r="W462" s="330"/>
      <c r="X462" s="330"/>
      <c r="Y462" s="330"/>
      <c r="Z462" s="619"/>
      <c r="AA462" s="619"/>
      <c r="AB462" s="619"/>
      <c r="AC462" s="619"/>
      <c r="AD462" s="60"/>
    </row>
    <row r="463" spans="1:30" x14ac:dyDescent="0.25">
      <c r="A463" s="443"/>
      <c r="B463" s="443"/>
      <c r="C463" s="443"/>
      <c r="D463" s="330"/>
      <c r="E463" s="330"/>
      <c r="F463" s="330"/>
      <c r="G463" s="330"/>
      <c r="H463" s="330"/>
      <c r="I463" s="330"/>
      <c r="J463" s="330"/>
      <c r="K463" s="330"/>
      <c r="L463" s="330"/>
      <c r="M463" s="330"/>
      <c r="N463" s="330"/>
      <c r="O463" s="330"/>
      <c r="P463" s="330"/>
      <c r="Q463" s="330"/>
      <c r="R463" s="330"/>
      <c r="S463" s="330"/>
      <c r="T463" s="330"/>
      <c r="U463" s="330"/>
      <c r="V463" s="330"/>
      <c r="W463" s="330"/>
      <c r="X463" s="330"/>
      <c r="Y463" s="330"/>
      <c r="Z463" s="619"/>
      <c r="AA463" s="619"/>
      <c r="AB463" s="619"/>
      <c r="AC463" s="619"/>
      <c r="AD463" s="60"/>
    </row>
    <row r="464" spans="1:30" x14ac:dyDescent="0.25">
      <c r="A464" s="443"/>
      <c r="B464" s="443"/>
      <c r="C464" s="443"/>
      <c r="D464" s="330"/>
      <c r="E464" s="330"/>
      <c r="F464" s="330"/>
      <c r="G464" s="330"/>
      <c r="H464" s="330"/>
      <c r="I464" s="330"/>
      <c r="J464" s="330"/>
      <c r="K464" s="330"/>
      <c r="L464" s="330"/>
      <c r="M464" s="330"/>
      <c r="N464" s="330"/>
      <c r="O464" s="330"/>
      <c r="P464" s="330"/>
      <c r="Q464" s="330"/>
      <c r="R464" s="330"/>
      <c r="S464" s="330"/>
      <c r="T464" s="330"/>
      <c r="U464" s="330"/>
      <c r="V464" s="330"/>
      <c r="W464" s="330"/>
      <c r="X464" s="330"/>
      <c r="Y464" s="330"/>
      <c r="Z464" s="619"/>
      <c r="AA464" s="619"/>
      <c r="AB464" s="619"/>
      <c r="AC464" s="619"/>
      <c r="AD464" s="60"/>
    </row>
    <row r="465" spans="1:30" x14ac:dyDescent="0.25">
      <c r="A465" s="443"/>
      <c r="B465" s="443"/>
      <c r="C465" s="443"/>
      <c r="D465" s="330"/>
      <c r="E465" s="330"/>
      <c r="F465" s="330"/>
      <c r="G465" s="330"/>
      <c r="H465" s="330"/>
      <c r="I465" s="330"/>
      <c r="J465" s="330"/>
      <c r="K465" s="330"/>
      <c r="L465" s="330"/>
      <c r="M465" s="330"/>
      <c r="N465" s="330"/>
      <c r="O465" s="330"/>
      <c r="P465" s="330"/>
      <c r="Q465" s="330"/>
      <c r="R465" s="330"/>
      <c r="S465" s="330"/>
      <c r="T465" s="330"/>
      <c r="U465" s="330"/>
      <c r="V465" s="330"/>
      <c r="W465" s="330"/>
      <c r="X465" s="330"/>
      <c r="Y465" s="330"/>
      <c r="Z465" s="619"/>
      <c r="AA465" s="619"/>
      <c r="AB465" s="619"/>
      <c r="AC465" s="619"/>
      <c r="AD465" s="60"/>
    </row>
    <row r="466" spans="1:30" x14ac:dyDescent="0.25">
      <c r="A466" s="443"/>
      <c r="B466" s="443"/>
      <c r="C466" s="443"/>
      <c r="D466" s="330"/>
      <c r="E466" s="330"/>
      <c r="F466" s="330"/>
      <c r="G466" s="330"/>
      <c r="H466" s="330"/>
      <c r="I466" s="330"/>
      <c r="J466" s="330"/>
      <c r="K466" s="330"/>
      <c r="L466" s="330"/>
      <c r="M466" s="330"/>
      <c r="N466" s="330"/>
      <c r="O466" s="330"/>
      <c r="P466" s="330"/>
      <c r="Q466" s="330"/>
      <c r="R466" s="330"/>
      <c r="S466" s="330"/>
      <c r="T466" s="330"/>
      <c r="U466" s="330"/>
      <c r="V466" s="330"/>
      <c r="W466" s="330"/>
      <c r="X466" s="330"/>
      <c r="Y466" s="330"/>
      <c r="Z466" s="619"/>
      <c r="AA466" s="619"/>
      <c r="AB466" s="619"/>
      <c r="AC466" s="619"/>
      <c r="AD466" s="60"/>
    </row>
    <row r="467" spans="1:30" x14ac:dyDescent="0.25">
      <c r="A467" s="443"/>
      <c r="B467" s="443"/>
      <c r="C467" s="443"/>
      <c r="D467" s="330"/>
      <c r="E467" s="330"/>
      <c r="F467" s="330"/>
      <c r="G467" s="330"/>
      <c r="H467" s="330"/>
      <c r="I467" s="330"/>
      <c r="J467" s="330"/>
      <c r="K467" s="330"/>
      <c r="L467" s="330"/>
      <c r="M467" s="330"/>
      <c r="N467" s="330"/>
      <c r="O467" s="330"/>
      <c r="P467" s="330"/>
      <c r="Q467" s="330"/>
      <c r="R467" s="330"/>
      <c r="S467" s="330"/>
      <c r="T467" s="330"/>
      <c r="U467" s="330"/>
      <c r="V467" s="330"/>
      <c r="W467" s="330"/>
      <c r="X467" s="330"/>
      <c r="Y467" s="330"/>
      <c r="Z467" s="619"/>
      <c r="AA467" s="619"/>
      <c r="AB467" s="619"/>
      <c r="AC467" s="619"/>
      <c r="AD467" s="60"/>
    </row>
    <row r="468" spans="1:30" x14ac:dyDescent="0.25">
      <c r="A468" s="443"/>
      <c r="B468" s="443"/>
      <c r="C468" s="443"/>
      <c r="D468" s="330"/>
      <c r="E468" s="330"/>
      <c r="F468" s="330"/>
      <c r="G468" s="330"/>
      <c r="H468" s="330"/>
      <c r="I468" s="330"/>
      <c r="J468" s="330"/>
      <c r="K468" s="330"/>
      <c r="L468" s="330"/>
      <c r="M468" s="330"/>
      <c r="N468" s="330"/>
      <c r="O468" s="330"/>
      <c r="P468" s="330"/>
      <c r="Q468" s="330"/>
      <c r="R468" s="330"/>
      <c r="S468" s="330"/>
      <c r="T468" s="330"/>
      <c r="U468" s="330"/>
      <c r="V468" s="330"/>
      <c r="W468" s="330"/>
      <c r="X468" s="330"/>
      <c r="Y468" s="330"/>
      <c r="Z468" s="619"/>
      <c r="AA468" s="619"/>
      <c r="AB468" s="619"/>
      <c r="AC468" s="619"/>
      <c r="AD468" s="60"/>
    </row>
    <row r="469" spans="1:30" x14ac:dyDescent="0.25">
      <c r="A469" s="443"/>
      <c r="B469" s="443"/>
      <c r="C469" s="443"/>
      <c r="D469" s="330"/>
      <c r="E469" s="330"/>
      <c r="F469" s="330"/>
      <c r="G469" s="330"/>
      <c r="H469" s="330"/>
      <c r="I469" s="330"/>
      <c r="J469" s="330"/>
      <c r="K469" s="330"/>
      <c r="L469" s="330"/>
      <c r="M469" s="330"/>
      <c r="N469" s="330"/>
      <c r="O469" s="330"/>
      <c r="P469" s="330"/>
      <c r="Q469" s="330"/>
      <c r="R469" s="330"/>
      <c r="S469" s="330"/>
      <c r="T469" s="330"/>
      <c r="U469" s="330"/>
      <c r="V469" s="330"/>
      <c r="W469" s="330"/>
      <c r="X469" s="330"/>
      <c r="Y469" s="330"/>
      <c r="Z469" s="619"/>
      <c r="AA469" s="619"/>
      <c r="AB469" s="619"/>
      <c r="AC469" s="619"/>
      <c r="AD469" s="60"/>
    </row>
    <row r="470" spans="1:30" x14ac:dyDescent="0.25">
      <c r="A470" s="443"/>
      <c r="B470" s="443"/>
      <c r="C470" s="443"/>
      <c r="D470" s="330"/>
      <c r="E470" s="330"/>
      <c r="F470" s="330"/>
      <c r="G470" s="330"/>
      <c r="H470" s="330"/>
      <c r="I470" s="330"/>
      <c r="J470" s="330"/>
      <c r="K470" s="330"/>
      <c r="L470" s="330"/>
      <c r="M470" s="330"/>
      <c r="N470" s="330"/>
      <c r="O470" s="330"/>
      <c r="P470" s="330"/>
      <c r="Q470" s="330"/>
      <c r="R470" s="330"/>
      <c r="S470" s="330"/>
      <c r="T470" s="330"/>
      <c r="U470" s="330"/>
      <c r="V470" s="330"/>
      <c r="W470" s="330"/>
      <c r="X470" s="330"/>
      <c r="Y470" s="330"/>
      <c r="Z470" s="619"/>
      <c r="AA470" s="619"/>
      <c r="AB470" s="619"/>
      <c r="AC470" s="619"/>
      <c r="AD470" s="60"/>
    </row>
    <row r="471" spans="1:30" x14ac:dyDescent="0.25">
      <c r="A471" s="443"/>
      <c r="B471" s="443"/>
      <c r="C471" s="443"/>
      <c r="D471" s="330"/>
      <c r="E471" s="330"/>
      <c r="F471" s="330"/>
      <c r="G471" s="330"/>
      <c r="H471" s="330"/>
      <c r="I471" s="330"/>
      <c r="J471" s="330"/>
      <c r="K471" s="330"/>
      <c r="L471" s="330"/>
      <c r="M471" s="330"/>
      <c r="N471" s="330"/>
      <c r="O471" s="330"/>
      <c r="P471" s="330"/>
      <c r="Q471" s="330"/>
      <c r="R471" s="330"/>
      <c r="S471" s="330"/>
      <c r="T471" s="330"/>
      <c r="U471" s="330"/>
      <c r="V471" s="330"/>
      <c r="W471" s="330"/>
      <c r="X471" s="330"/>
      <c r="Y471" s="330"/>
      <c r="Z471" s="619"/>
      <c r="AA471" s="619"/>
      <c r="AB471" s="619"/>
      <c r="AC471" s="619"/>
      <c r="AD471" s="60"/>
    </row>
    <row r="472" spans="1:30" x14ac:dyDescent="0.25">
      <c r="A472" s="443"/>
      <c r="B472" s="443"/>
      <c r="C472" s="443"/>
      <c r="D472" s="330"/>
      <c r="E472" s="330"/>
      <c r="F472" s="330"/>
      <c r="G472" s="330"/>
      <c r="H472" s="330"/>
      <c r="I472" s="330"/>
      <c r="J472" s="330"/>
      <c r="K472" s="330"/>
      <c r="L472" s="330"/>
      <c r="M472" s="330"/>
      <c r="N472" s="330"/>
      <c r="O472" s="330"/>
      <c r="P472" s="330"/>
      <c r="Q472" s="330"/>
      <c r="R472" s="330"/>
      <c r="S472" s="330"/>
      <c r="T472" s="330"/>
      <c r="U472" s="330"/>
      <c r="V472" s="330"/>
      <c r="W472" s="330"/>
      <c r="X472" s="330"/>
      <c r="Y472" s="330"/>
      <c r="Z472" s="619"/>
      <c r="AA472" s="619"/>
      <c r="AB472" s="619"/>
      <c r="AC472" s="619"/>
      <c r="AD472" s="60"/>
    </row>
    <row r="473" spans="1:30" x14ac:dyDescent="0.25">
      <c r="A473" s="443"/>
      <c r="B473" s="443"/>
      <c r="C473" s="443"/>
      <c r="D473" s="330"/>
      <c r="E473" s="330"/>
      <c r="F473" s="330"/>
      <c r="G473" s="330"/>
      <c r="H473" s="330"/>
      <c r="I473" s="330"/>
      <c r="J473" s="330"/>
      <c r="K473" s="330"/>
      <c r="L473" s="330"/>
      <c r="M473" s="330"/>
      <c r="N473" s="330"/>
      <c r="O473" s="330"/>
      <c r="P473" s="330"/>
      <c r="Q473" s="330"/>
      <c r="R473" s="330"/>
      <c r="S473" s="330"/>
      <c r="T473" s="330"/>
      <c r="U473" s="330"/>
      <c r="V473" s="330"/>
      <c r="W473" s="330"/>
      <c r="X473" s="330"/>
      <c r="Y473" s="330"/>
      <c r="Z473" s="619"/>
      <c r="AA473" s="619"/>
      <c r="AB473" s="619"/>
      <c r="AC473" s="619"/>
      <c r="AD473" s="60"/>
    </row>
    <row r="474" spans="1:30" x14ac:dyDescent="0.25">
      <c r="A474" s="443"/>
      <c r="B474" s="443"/>
      <c r="C474" s="443"/>
      <c r="D474" s="330"/>
      <c r="E474" s="330"/>
      <c r="F474" s="330"/>
      <c r="G474" s="330"/>
      <c r="H474" s="330"/>
      <c r="I474" s="330"/>
      <c r="J474" s="330"/>
      <c r="K474" s="330"/>
      <c r="L474" s="330"/>
      <c r="M474" s="330"/>
      <c r="N474" s="330"/>
      <c r="O474" s="330"/>
      <c r="P474" s="330"/>
      <c r="Q474" s="330"/>
      <c r="R474" s="330"/>
      <c r="S474" s="330"/>
      <c r="T474" s="330"/>
      <c r="U474" s="330"/>
      <c r="V474" s="330"/>
      <c r="W474" s="330"/>
      <c r="X474" s="330"/>
      <c r="Y474" s="330"/>
      <c r="Z474" s="619"/>
      <c r="AA474" s="619"/>
      <c r="AB474" s="619"/>
      <c r="AC474" s="619"/>
      <c r="AD474" s="60"/>
    </row>
    <row r="475" spans="1:30" x14ac:dyDescent="0.25">
      <c r="A475" s="443"/>
      <c r="B475" s="443"/>
      <c r="C475" s="443"/>
      <c r="D475" s="330"/>
      <c r="E475" s="330"/>
      <c r="F475" s="330"/>
      <c r="G475" s="330"/>
      <c r="H475" s="330"/>
      <c r="I475" s="330"/>
      <c r="J475" s="330"/>
      <c r="K475" s="330"/>
      <c r="L475" s="330"/>
      <c r="M475" s="330"/>
      <c r="N475" s="330"/>
      <c r="O475" s="330"/>
      <c r="P475" s="330"/>
      <c r="Q475" s="330"/>
      <c r="R475" s="330"/>
      <c r="S475" s="330"/>
      <c r="T475" s="330"/>
      <c r="U475" s="330"/>
      <c r="V475" s="330"/>
      <c r="W475" s="330"/>
      <c r="X475" s="330"/>
      <c r="Y475" s="330"/>
      <c r="Z475" s="619"/>
      <c r="AA475" s="619"/>
      <c r="AB475" s="619"/>
      <c r="AC475" s="619"/>
      <c r="AD475" s="60"/>
    </row>
    <row r="476" spans="1:30" x14ac:dyDescent="0.25">
      <c r="A476" s="443"/>
      <c r="B476" s="443"/>
      <c r="C476" s="443"/>
      <c r="D476" s="330"/>
      <c r="E476" s="330"/>
      <c r="F476" s="330"/>
      <c r="G476" s="330"/>
      <c r="H476" s="330"/>
      <c r="I476" s="330"/>
      <c r="J476" s="330"/>
      <c r="K476" s="330"/>
      <c r="L476" s="330"/>
      <c r="M476" s="330"/>
      <c r="N476" s="330"/>
      <c r="O476" s="330"/>
      <c r="P476" s="330"/>
      <c r="Q476" s="330"/>
      <c r="R476" s="330"/>
      <c r="S476" s="330"/>
      <c r="T476" s="330"/>
      <c r="U476" s="330"/>
      <c r="V476" s="330"/>
      <c r="W476" s="330"/>
      <c r="X476" s="330"/>
      <c r="Y476" s="330"/>
      <c r="Z476" s="619"/>
      <c r="AA476" s="619"/>
      <c r="AB476" s="619"/>
      <c r="AC476" s="619"/>
      <c r="AD476" s="60"/>
    </row>
    <row r="477" spans="1:30" x14ac:dyDescent="0.25">
      <c r="A477" s="443"/>
      <c r="B477" s="443"/>
      <c r="C477" s="443"/>
      <c r="D477" s="330"/>
      <c r="E477" s="330"/>
      <c r="F477" s="330"/>
      <c r="G477" s="330"/>
      <c r="H477" s="330"/>
      <c r="I477" s="330"/>
      <c r="J477" s="330"/>
      <c r="K477" s="330"/>
      <c r="L477" s="330"/>
      <c r="M477" s="330"/>
      <c r="N477" s="330"/>
      <c r="O477" s="330"/>
      <c r="P477" s="330"/>
      <c r="Q477" s="330"/>
      <c r="R477" s="330"/>
      <c r="S477" s="330"/>
      <c r="T477" s="330"/>
      <c r="U477" s="330"/>
      <c r="V477" s="330"/>
      <c r="W477" s="330"/>
      <c r="X477" s="330"/>
      <c r="Y477" s="330"/>
      <c r="Z477" s="619"/>
      <c r="AA477" s="619"/>
      <c r="AB477" s="619"/>
      <c r="AC477" s="619"/>
      <c r="AD477" s="60"/>
    </row>
    <row r="478" spans="1:30" x14ac:dyDescent="0.25">
      <c r="A478" s="443"/>
      <c r="B478" s="443"/>
      <c r="C478" s="443"/>
      <c r="D478" s="330"/>
      <c r="E478" s="330"/>
      <c r="F478" s="330"/>
      <c r="G478" s="330"/>
      <c r="H478" s="330"/>
      <c r="I478" s="330"/>
      <c r="J478" s="330"/>
      <c r="K478" s="330"/>
      <c r="L478" s="330"/>
      <c r="M478" s="330"/>
      <c r="N478" s="330"/>
      <c r="O478" s="330"/>
      <c r="P478" s="330"/>
      <c r="Q478" s="330"/>
      <c r="R478" s="330"/>
      <c r="S478" s="330"/>
      <c r="T478" s="330"/>
      <c r="U478" s="330"/>
      <c r="V478" s="330"/>
      <c r="W478" s="330"/>
      <c r="X478" s="330"/>
      <c r="Y478" s="330"/>
      <c r="Z478" s="619"/>
      <c r="AA478" s="619"/>
      <c r="AB478" s="619"/>
      <c r="AC478" s="619"/>
      <c r="AD478" s="60"/>
    </row>
    <row r="479" spans="1:30" x14ac:dyDescent="0.25">
      <c r="A479" s="443"/>
      <c r="B479" s="443"/>
      <c r="C479" s="443"/>
      <c r="D479" s="330"/>
      <c r="E479" s="330"/>
      <c r="F479" s="330"/>
      <c r="G479" s="330"/>
      <c r="H479" s="330"/>
      <c r="I479" s="330"/>
      <c r="J479" s="330"/>
      <c r="K479" s="330"/>
      <c r="L479" s="330"/>
      <c r="M479" s="330"/>
      <c r="N479" s="330"/>
      <c r="O479" s="330"/>
      <c r="P479" s="330"/>
      <c r="Q479" s="330"/>
      <c r="R479" s="330"/>
      <c r="S479" s="330"/>
      <c r="T479" s="330"/>
      <c r="U479" s="330"/>
      <c r="V479" s="330"/>
      <c r="W479" s="330"/>
      <c r="X479" s="330"/>
      <c r="Y479" s="330"/>
      <c r="Z479" s="619"/>
      <c r="AA479" s="619"/>
      <c r="AB479" s="619"/>
      <c r="AC479" s="619"/>
      <c r="AD479" s="60"/>
    </row>
    <row r="480" spans="1:30" x14ac:dyDescent="0.25">
      <c r="A480" s="443"/>
      <c r="B480" s="443"/>
      <c r="C480" s="443"/>
      <c r="D480" s="330"/>
      <c r="E480" s="330"/>
      <c r="F480" s="330"/>
      <c r="G480" s="330"/>
      <c r="H480" s="330"/>
      <c r="I480" s="330"/>
      <c r="J480" s="330"/>
      <c r="K480" s="330"/>
      <c r="L480" s="330"/>
      <c r="M480" s="330"/>
      <c r="N480" s="330"/>
      <c r="O480" s="330"/>
      <c r="P480" s="330"/>
      <c r="Q480" s="330"/>
      <c r="R480" s="330"/>
      <c r="S480" s="330"/>
      <c r="T480" s="330"/>
      <c r="U480" s="330"/>
      <c r="V480" s="330"/>
      <c r="W480" s="330"/>
      <c r="X480" s="330"/>
      <c r="Y480" s="330"/>
      <c r="Z480" s="619"/>
      <c r="AA480" s="619"/>
      <c r="AB480" s="619"/>
      <c r="AC480" s="619"/>
      <c r="AD480" s="60"/>
    </row>
    <row r="481" spans="1:30" x14ac:dyDescent="0.25">
      <c r="A481" s="443"/>
      <c r="B481" s="443"/>
      <c r="C481" s="443"/>
      <c r="D481" s="330"/>
      <c r="E481" s="330"/>
      <c r="F481" s="330"/>
      <c r="G481" s="330"/>
      <c r="H481" s="330"/>
      <c r="I481" s="330"/>
      <c r="J481" s="330"/>
      <c r="K481" s="330"/>
      <c r="L481" s="330"/>
      <c r="M481" s="330"/>
      <c r="N481" s="330"/>
      <c r="O481" s="330"/>
      <c r="P481" s="330"/>
      <c r="Q481" s="330"/>
      <c r="R481" s="330"/>
      <c r="S481" s="330"/>
      <c r="T481" s="330"/>
      <c r="U481" s="330"/>
      <c r="V481" s="330"/>
      <c r="W481" s="330"/>
      <c r="X481" s="330"/>
      <c r="Y481" s="330"/>
      <c r="Z481" s="619"/>
      <c r="AA481" s="619"/>
      <c r="AB481" s="619"/>
      <c r="AC481" s="619"/>
      <c r="AD481" s="60"/>
    </row>
    <row r="482" spans="1:30" x14ac:dyDescent="0.25">
      <c r="A482" s="443"/>
      <c r="B482" s="443"/>
      <c r="C482" s="443"/>
      <c r="D482" s="330"/>
      <c r="E482" s="330"/>
      <c r="F482" s="330"/>
      <c r="G482" s="330"/>
      <c r="H482" s="330"/>
      <c r="I482" s="330"/>
      <c r="J482" s="330"/>
      <c r="K482" s="330"/>
      <c r="L482" s="330"/>
      <c r="M482" s="330"/>
      <c r="N482" s="330"/>
      <c r="O482" s="330"/>
      <c r="P482" s="330"/>
      <c r="Q482" s="330"/>
      <c r="R482" s="330"/>
      <c r="S482" s="330"/>
      <c r="T482" s="330"/>
      <c r="U482" s="330"/>
      <c r="V482" s="330"/>
      <c r="W482" s="330"/>
      <c r="X482" s="330"/>
      <c r="Y482" s="330"/>
      <c r="Z482" s="619"/>
      <c r="AA482" s="619"/>
      <c r="AB482" s="619"/>
      <c r="AC482" s="619"/>
      <c r="AD482" s="60"/>
    </row>
    <row r="483" spans="1:30" x14ac:dyDescent="0.25">
      <c r="A483" s="443"/>
      <c r="B483" s="443"/>
      <c r="C483" s="443"/>
      <c r="D483" s="330"/>
      <c r="E483" s="330"/>
      <c r="F483" s="330"/>
      <c r="G483" s="330"/>
      <c r="H483" s="330"/>
      <c r="I483" s="330"/>
      <c r="J483" s="330"/>
      <c r="K483" s="330"/>
      <c r="L483" s="330"/>
      <c r="M483" s="330"/>
      <c r="N483" s="330"/>
      <c r="O483" s="330"/>
      <c r="P483" s="330"/>
      <c r="Q483" s="330"/>
      <c r="R483" s="330"/>
      <c r="S483" s="330"/>
      <c r="T483" s="330"/>
      <c r="U483" s="330"/>
      <c r="V483" s="330"/>
      <c r="W483" s="330"/>
      <c r="X483" s="330"/>
      <c r="Y483" s="330"/>
      <c r="Z483" s="619"/>
      <c r="AA483" s="619"/>
      <c r="AB483" s="619"/>
      <c r="AC483" s="619"/>
      <c r="AD483" s="60"/>
    </row>
    <row r="484" spans="1:30" x14ac:dyDescent="0.25">
      <c r="A484" s="443"/>
      <c r="B484" s="443"/>
      <c r="C484" s="443"/>
      <c r="D484" s="330"/>
      <c r="E484" s="330"/>
      <c r="F484" s="330"/>
      <c r="G484" s="330"/>
      <c r="H484" s="330"/>
      <c r="I484" s="330"/>
      <c r="J484" s="330"/>
      <c r="K484" s="330"/>
      <c r="L484" s="330"/>
      <c r="M484" s="330"/>
      <c r="N484" s="330"/>
      <c r="O484" s="330"/>
      <c r="P484" s="330"/>
      <c r="Q484" s="330"/>
      <c r="R484" s="330"/>
      <c r="S484" s="330"/>
      <c r="T484" s="330"/>
      <c r="U484" s="330"/>
      <c r="V484" s="330"/>
      <c r="W484" s="330"/>
      <c r="X484" s="330"/>
      <c r="Y484" s="330"/>
      <c r="Z484" s="619"/>
      <c r="AA484" s="619"/>
      <c r="AB484" s="619"/>
      <c r="AC484" s="619"/>
      <c r="AD484" s="60"/>
    </row>
    <row r="485" spans="1:30" x14ac:dyDescent="0.25">
      <c r="A485" s="443"/>
      <c r="B485" s="443"/>
      <c r="C485" s="443"/>
      <c r="D485" s="330"/>
      <c r="E485" s="330"/>
      <c r="F485" s="330"/>
      <c r="G485" s="330"/>
      <c r="H485" s="330"/>
      <c r="I485" s="330"/>
      <c r="J485" s="330"/>
      <c r="K485" s="330"/>
      <c r="L485" s="330"/>
      <c r="M485" s="330"/>
      <c r="N485" s="330"/>
      <c r="O485" s="330"/>
      <c r="P485" s="330"/>
      <c r="Q485" s="330"/>
      <c r="R485" s="330"/>
      <c r="S485" s="330"/>
      <c r="T485" s="330"/>
      <c r="U485" s="330"/>
      <c r="V485" s="330"/>
      <c r="W485" s="330"/>
      <c r="X485" s="330"/>
      <c r="Y485" s="330"/>
      <c r="Z485" s="619"/>
      <c r="AA485" s="619"/>
      <c r="AB485" s="619"/>
      <c r="AC485" s="619"/>
      <c r="AD485" s="60"/>
    </row>
    <row r="486" spans="1:30" x14ac:dyDescent="0.25">
      <c r="A486" s="443"/>
      <c r="B486" s="443"/>
      <c r="C486" s="443"/>
      <c r="D486" s="330"/>
      <c r="E486" s="330"/>
      <c r="F486" s="330"/>
      <c r="G486" s="330"/>
      <c r="H486" s="330"/>
      <c r="I486" s="330"/>
      <c r="J486" s="330"/>
      <c r="K486" s="330"/>
      <c r="L486" s="330"/>
      <c r="M486" s="330"/>
      <c r="N486" s="330"/>
      <c r="O486" s="330"/>
      <c r="P486" s="330"/>
      <c r="Q486" s="330"/>
      <c r="R486" s="330"/>
      <c r="S486" s="330"/>
      <c r="T486" s="330"/>
      <c r="U486" s="330"/>
      <c r="V486" s="330"/>
      <c r="W486" s="330"/>
      <c r="X486" s="330"/>
      <c r="Y486" s="330"/>
      <c r="Z486" s="619"/>
      <c r="AA486" s="619"/>
      <c r="AB486" s="619"/>
      <c r="AC486" s="619"/>
      <c r="AD486" s="60"/>
    </row>
    <row r="487" spans="1:30" x14ac:dyDescent="0.25">
      <c r="A487" s="443"/>
      <c r="B487" s="443"/>
      <c r="C487" s="443"/>
      <c r="D487" s="330"/>
      <c r="E487" s="330"/>
      <c r="F487" s="330"/>
      <c r="G487" s="330"/>
      <c r="H487" s="330"/>
      <c r="I487" s="330"/>
      <c r="J487" s="330"/>
      <c r="K487" s="330"/>
      <c r="L487" s="330"/>
      <c r="M487" s="330"/>
      <c r="N487" s="330"/>
      <c r="O487" s="330"/>
      <c r="P487" s="330"/>
      <c r="Q487" s="330"/>
      <c r="R487" s="330"/>
      <c r="S487" s="330"/>
      <c r="T487" s="330"/>
      <c r="U487" s="330"/>
      <c r="V487" s="330"/>
      <c r="W487" s="330"/>
      <c r="X487" s="330"/>
      <c r="Y487" s="330"/>
      <c r="Z487" s="619"/>
      <c r="AA487" s="619"/>
      <c r="AB487" s="619"/>
      <c r="AC487" s="619"/>
      <c r="AD487" s="60"/>
    </row>
    <row r="488" spans="1:30" x14ac:dyDescent="0.25">
      <c r="A488" s="443"/>
      <c r="B488" s="443"/>
      <c r="C488" s="443"/>
      <c r="D488" s="330"/>
      <c r="E488" s="330"/>
      <c r="F488" s="330"/>
      <c r="G488" s="330"/>
      <c r="H488" s="330"/>
      <c r="I488" s="330"/>
      <c r="J488" s="330"/>
      <c r="K488" s="330"/>
      <c r="L488" s="330"/>
      <c r="M488" s="330"/>
      <c r="N488" s="330"/>
      <c r="O488" s="330"/>
      <c r="P488" s="330"/>
      <c r="Q488" s="330"/>
      <c r="R488" s="330"/>
      <c r="S488" s="330"/>
      <c r="T488" s="330"/>
      <c r="U488" s="330"/>
      <c r="V488" s="330"/>
      <c r="W488" s="330"/>
      <c r="X488" s="330"/>
      <c r="Y488" s="330"/>
      <c r="Z488" s="619"/>
      <c r="AA488" s="619"/>
      <c r="AB488" s="619"/>
      <c r="AC488" s="619"/>
      <c r="AD488" s="60"/>
    </row>
    <row r="489" spans="1:30" x14ac:dyDescent="0.25">
      <c r="A489" s="443"/>
      <c r="B489" s="443"/>
      <c r="C489" s="443"/>
      <c r="D489" s="330"/>
      <c r="E489" s="330"/>
      <c r="F489" s="330"/>
      <c r="G489" s="330"/>
      <c r="H489" s="330"/>
      <c r="I489" s="330"/>
      <c r="J489" s="330"/>
      <c r="K489" s="330"/>
      <c r="L489" s="330"/>
      <c r="M489" s="330"/>
      <c r="N489" s="330"/>
      <c r="O489" s="330"/>
      <c r="P489" s="330"/>
      <c r="Q489" s="330"/>
      <c r="R489" s="330"/>
      <c r="S489" s="330"/>
      <c r="T489" s="330"/>
      <c r="U489" s="330"/>
      <c r="V489" s="330"/>
      <c r="W489" s="330"/>
      <c r="X489" s="330"/>
      <c r="Y489" s="330"/>
      <c r="Z489" s="619"/>
      <c r="AA489" s="619"/>
      <c r="AB489" s="619"/>
      <c r="AC489" s="619"/>
      <c r="AD489" s="60"/>
    </row>
    <row r="490" spans="1:30" x14ac:dyDescent="0.25">
      <c r="A490" s="443"/>
      <c r="B490" s="443"/>
      <c r="C490" s="443"/>
      <c r="D490" s="330"/>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619"/>
      <c r="AA490" s="619"/>
      <c r="AB490" s="619"/>
      <c r="AC490" s="619"/>
      <c r="AD490" s="60"/>
    </row>
    <row r="491" spans="1:30" x14ac:dyDescent="0.25">
      <c r="A491" s="443"/>
      <c r="B491" s="443"/>
      <c r="C491" s="443"/>
      <c r="D491" s="330"/>
      <c r="E491" s="330"/>
      <c r="F491" s="330"/>
      <c r="G491" s="330"/>
      <c r="H491" s="330"/>
      <c r="I491" s="330"/>
      <c r="J491" s="330"/>
      <c r="K491" s="330"/>
      <c r="L491" s="330"/>
      <c r="M491" s="330"/>
      <c r="N491" s="330"/>
      <c r="O491" s="330"/>
      <c r="P491" s="330"/>
      <c r="Q491" s="330"/>
      <c r="R491" s="330"/>
      <c r="S491" s="330"/>
      <c r="T491" s="330"/>
      <c r="U491" s="330"/>
      <c r="V491" s="330"/>
      <c r="W491" s="330"/>
      <c r="X491" s="330"/>
      <c r="Y491" s="330"/>
      <c r="Z491" s="619"/>
      <c r="AA491" s="619"/>
      <c r="AB491" s="619"/>
      <c r="AC491" s="619"/>
      <c r="AD491" s="60"/>
    </row>
    <row r="492" spans="1:30" x14ac:dyDescent="0.25">
      <c r="A492" s="443"/>
      <c r="B492" s="443"/>
      <c r="C492" s="443"/>
      <c r="D492" s="330"/>
      <c r="E492" s="330"/>
      <c r="F492" s="330"/>
      <c r="G492" s="330"/>
      <c r="H492" s="330"/>
      <c r="I492" s="330"/>
      <c r="J492" s="330"/>
      <c r="K492" s="330"/>
      <c r="L492" s="330"/>
      <c r="M492" s="330"/>
      <c r="N492" s="330"/>
      <c r="O492" s="330"/>
      <c r="P492" s="330"/>
      <c r="Q492" s="330"/>
      <c r="R492" s="330"/>
      <c r="S492" s="330"/>
      <c r="T492" s="330"/>
      <c r="U492" s="330"/>
      <c r="V492" s="330"/>
      <c r="W492" s="330"/>
      <c r="X492" s="330"/>
      <c r="Y492" s="330"/>
      <c r="Z492" s="619"/>
      <c r="AA492" s="619"/>
      <c r="AB492" s="619"/>
      <c r="AC492" s="619"/>
      <c r="AD492" s="60"/>
    </row>
    <row r="493" spans="1:30" x14ac:dyDescent="0.25">
      <c r="A493" s="443"/>
      <c r="B493" s="443"/>
      <c r="C493" s="443"/>
      <c r="D493" s="330"/>
      <c r="E493" s="330"/>
      <c r="F493" s="330"/>
      <c r="G493" s="330"/>
      <c r="H493" s="330"/>
      <c r="I493" s="330"/>
      <c r="J493" s="330"/>
      <c r="K493" s="330"/>
      <c r="L493" s="330"/>
      <c r="M493" s="330"/>
      <c r="N493" s="330"/>
      <c r="O493" s="330"/>
      <c r="P493" s="330"/>
      <c r="Q493" s="330"/>
      <c r="R493" s="330"/>
      <c r="S493" s="330"/>
      <c r="T493" s="330"/>
      <c r="U493" s="330"/>
      <c r="V493" s="330"/>
      <c r="W493" s="330"/>
      <c r="X493" s="330"/>
      <c r="Y493" s="330"/>
      <c r="Z493" s="619"/>
      <c r="AA493" s="619"/>
      <c r="AB493" s="619"/>
      <c r="AC493" s="619"/>
      <c r="AD493" s="60"/>
    </row>
    <row r="494" spans="1:30" x14ac:dyDescent="0.25">
      <c r="A494" s="443"/>
      <c r="B494" s="443"/>
      <c r="C494" s="443"/>
      <c r="D494" s="330"/>
      <c r="E494" s="330"/>
      <c r="F494" s="330"/>
      <c r="G494" s="330"/>
      <c r="H494" s="330"/>
      <c r="I494" s="330"/>
      <c r="J494" s="330"/>
      <c r="K494" s="330"/>
      <c r="L494" s="330"/>
      <c r="M494" s="330"/>
      <c r="N494" s="330"/>
      <c r="O494" s="330"/>
      <c r="P494" s="330"/>
      <c r="Q494" s="330"/>
      <c r="R494" s="330"/>
      <c r="S494" s="330"/>
      <c r="T494" s="330"/>
      <c r="U494" s="330"/>
      <c r="V494" s="330"/>
      <c r="W494" s="330"/>
      <c r="X494" s="330"/>
      <c r="Y494" s="330"/>
      <c r="Z494" s="619"/>
      <c r="AA494" s="619"/>
      <c r="AB494" s="619"/>
      <c r="AC494" s="619"/>
      <c r="AD494" s="60"/>
    </row>
    <row r="495" spans="1:30" x14ac:dyDescent="0.25">
      <c r="A495" s="443"/>
      <c r="B495" s="443"/>
      <c r="C495" s="443"/>
      <c r="D495" s="330"/>
      <c r="E495" s="330"/>
      <c r="F495" s="330"/>
      <c r="G495" s="330"/>
      <c r="H495" s="330"/>
      <c r="I495" s="330"/>
      <c r="J495" s="330"/>
      <c r="K495" s="330"/>
      <c r="L495" s="330"/>
      <c r="M495" s="330"/>
      <c r="N495" s="330"/>
      <c r="O495" s="330"/>
      <c r="P495" s="330"/>
      <c r="Q495" s="330"/>
      <c r="R495" s="330"/>
      <c r="S495" s="330"/>
      <c r="T495" s="330"/>
      <c r="U495" s="330"/>
      <c r="V495" s="330"/>
      <c r="W495" s="330"/>
      <c r="X495" s="330"/>
      <c r="Y495" s="330"/>
      <c r="Z495" s="619"/>
      <c r="AA495" s="619"/>
      <c r="AB495" s="619"/>
      <c r="AC495" s="619"/>
      <c r="AD495" s="60"/>
    </row>
    <row r="496" spans="1:30" x14ac:dyDescent="0.25">
      <c r="A496" s="443"/>
      <c r="B496" s="443"/>
      <c r="C496" s="443"/>
      <c r="D496" s="330"/>
      <c r="E496" s="330"/>
      <c r="F496" s="330"/>
      <c r="G496" s="330"/>
      <c r="H496" s="330"/>
      <c r="I496" s="330"/>
      <c r="J496" s="330"/>
      <c r="K496" s="330"/>
      <c r="L496" s="330"/>
      <c r="M496" s="330"/>
      <c r="N496" s="330"/>
      <c r="O496" s="330"/>
      <c r="P496" s="330"/>
      <c r="Q496" s="330"/>
      <c r="R496" s="330"/>
      <c r="S496" s="330"/>
      <c r="T496" s="330"/>
      <c r="U496" s="330"/>
      <c r="V496" s="330"/>
      <c r="W496" s="330"/>
      <c r="X496" s="330"/>
      <c r="Y496" s="330"/>
      <c r="Z496" s="619"/>
      <c r="AA496" s="619"/>
      <c r="AB496" s="619"/>
      <c r="AC496" s="619"/>
      <c r="AD496" s="60"/>
    </row>
    <row r="497" spans="1:30" x14ac:dyDescent="0.25">
      <c r="A497" s="443"/>
      <c r="B497" s="443"/>
      <c r="C497" s="443"/>
      <c r="D497" s="330"/>
      <c r="E497" s="330"/>
      <c r="F497" s="330"/>
      <c r="G497" s="330"/>
      <c r="H497" s="330"/>
      <c r="I497" s="330"/>
      <c r="J497" s="330"/>
      <c r="K497" s="330"/>
      <c r="L497" s="330"/>
      <c r="M497" s="330"/>
      <c r="N497" s="330"/>
      <c r="O497" s="330"/>
      <c r="P497" s="330"/>
      <c r="Q497" s="330"/>
      <c r="R497" s="330"/>
      <c r="S497" s="330"/>
      <c r="T497" s="330"/>
      <c r="U497" s="330"/>
      <c r="V497" s="330"/>
      <c r="W497" s="330"/>
      <c r="X497" s="330"/>
      <c r="Y497" s="330"/>
      <c r="Z497" s="619"/>
      <c r="AA497" s="619"/>
      <c r="AB497" s="619"/>
      <c r="AC497" s="619"/>
      <c r="AD497" s="60"/>
    </row>
    <row r="498" spans="1:30" x14ac:dyDescent="0.25">
      <c r="A498" s="443"/>
      <c r="B498" s="443"/>
      <c r="C498" s="443"/>
      <c r="D498" s="330"/>
      <c r="E498" s="330"/>
      <c r="F498" s="330"/>
      <c r="G498" s="330"/>
      <c r="H498" s="330"/>
      <c r="I498" s="330"/>
      <c r="J498" s="330"/>
      <c r="K498" s="330"/>
      <c r="L498" s="330"/>
      <c r="M498" s="330"/>
      <c r="N498" s="330"/>
      <c r="O498" s="330"/>
      <c r="P498" s="330"/>
      <c r="Q498" s="330"/>
      <c r="R498" s="330"/>
      <c r="S498" s="330"/>
      <c r="T498" s="330"/>
      <c r="U498" s="330"/>
      <c r="V498" s="330"/>
      <c r="W498" s="330"/>
      <c r="X498" s="330"/>
      <c r="Y498" s="330"/>
      <c r="Z498" s="619"/>
      <c r="AA498" s="619"/>
      <c r="AB498" s="619"/>
      <c r="AC498" s="619"/>
      <c r="AD498" s="60"/>
    </row>
    <row r="499" spans="1:30" x14ac:dyDescent="0.25">
      <c r="A499" s="443"/>
      <c r="B499" s="443"/>
      <c r="C499" s="443"/>
      <c r="D499" s="330"/>
      <c r="E499" s="330"/>
      <c r="F499" s="330"/>
      <c r="G499" s="330"/>
      <c r="H499" s="330"/>
      <c r="I499" s="330"/>
      <c r="J499" s="330"/>
      <c r="K499" s="330"/>
      <c r="L499" s="330"/>
      <c r="M499" s="330"/>
      <c r="N499" s="330"/>
      <c r="O499" s="330"/>
      <c r="P499" s="330"/>
      <c r="Q499" s="330"/>
      <c r="R499" s="330"/>
      <c r="S499" s="330"/>
      <c r="T499" s="330"/>
      <c r="U499" s="330"/>
      <c r="V499" s="330"/>
      <c r="W499" s="330"/>
      <c r="X499" s="330"/>
      <c r="Y499" s="330"/>
      <c r="Z499" s="619"/>
      <c r="AA499" s="619"/>
      <c r="AB499" s="619"/>
      <c r="AC499" s="619"/>
      <c r="AD499" s="60"/>
    </row>
    <row r="500" spans="1:30" x14ac:dyDescent="0.25">
      <c r="A500" s="443"/>
      <c r="B500" s="443"/>
      <c r="C500" s="443"/>
      <c r="D500" s="330"/>
      <c r="E500" s="330"/>
      <c r="F500" s="330"/>
      <c r="G500" s="330"/>
      <c r="H500" s="330"/>
      <c r="I500" s="330"/>
      <c r="J500" s="330"/>
      <c r="K500" s="330"/>
      <c r="L500" s="330"/>
      <c r="M500" s="330"/>
      <c r="N500" s="330"/>
      <c r="O500" s="330"/>
      <c r="P500" s="330"/>
      <c r="Q500" s="330"/>
      <c r="R500" s="330"/>
      <c r="S500" s="330"/>
      <c r="T500" s="330"/>
      <c r="U500" s="330"/>
      <c r="V500" s="330"/>
      <c r="W500" s="330"/>
      <c r="X500" s="330"/>
      <c r="Y500" s="330"/>
      <c r="Z500" s="619"/>
      <c r="AA500" s="619"/>
      <c r="AB500" s="619"/>
      <c r="AC500" s="619"/>
      <c r="AD500" s="60"/>
    </row>
  </sheetData>
  <sheetProtection algorithmName="SHA-512" hashValue="ZuR4vJpD9AXWsVuN5Kzys3baKA3PL3P2hV/ueQ+dH6RY8+/g/H82DTvzRvL70UF9BOVyk6AFP63pWmdUz553IQ==" saltValue="HC8KJS3gUciyAQ0HyE/lYQ==" spinCount="100000" sheet="1" objects="1" scenarios="1" selectLockedCells="1"/>
  <mergeCells count="2485">
    <mergeCell ref="D7:K7"/>
    <mergeCell ref="L7:T7"/>
    <mergeCell ref="Z7:AC7"/>
    <mergeCell ref="A8:C8"/>
    <mergeCell ref="D8:K8"/>
    <mergeCell ref="L8:T8"/>
    <mergeCell ref="U8:Y8"/>
    <mergeCell ref="Z8:AC8"/>
    <mergeCell ref="U7:Y7"/>
    <mergeCell ref="A7:C7"/>
    <mergeCell ref="A5:F5"/>
    <mergeCell ref="G5:K5"/>
    <mergeCell ref="L5:P5"/>
    <mergeCell ref="R5:T5"/>
    <mergeCell ref="U5:AC5"/>
    <mergeCell ref="A6:AC6"/>
    <mergeCell ref="A1:AC2"/>
    <mergeCell ref="A3:F3"/>
    <mergeCell ref="G3:P3"/>
    <mergeCell ref="R3:T3"/>
    <mergeCell ref="U3:AC3"/>
    <mergeCell ref="A4:F4"/>
    <mergeCell ref="G4:P4"/>
    <mergeCell ref="R4:T4"/>
    <mergeCell ref="U4:AC4"/>
    <mergeCell ref="A11:C11"/>
    <mergeCell ref="D11:K11"/>
    <mergeCell ref="L11:T11"/>
    <mergeCell ref="U11:Y11"/>
    <mergeCell ref="Z11:AC11"/>
    <mergeCell ref="A12:C12"/>
    <mergeCell ref="D12:K12"/>
    <mergeCell ref="L12:T12"/>
    <mergeCell ref="U12:Y12"/>
    <mergeCell ref="Z12:AC12"/>
    <mergeCell ref="A9:C9"/>
    <mergeCell ref="D9:K9"/>
    <mergeCell ref="L9:T9"/>
    <mergeCell ref="U9:Y9"/>
    <mergeCell ref="Z9:AC9"/>
    <mergeCell ref="A10:C10"/>
    <mergeCell ref="D10:K10"/>
    <mergeCell ref="L10:T10"/>
    <mergeCell ref="U10:Y10"/>
    <mergeCell ref="Z10:AC10"/>
    <mergeCell ref="A15:C15"/>
    <mergeCell ref="D15:K15"/>
    <mergeCell ref="L15:T15"/>
    <mergeCell ref="U15:Y15"/>
    <mergeCell ref="Z15:AC15"/>
    <mergeCell ref="A16:C16"/>
    <mergeCell ref="D16:K16"/>
    <mergeCell ref="L16:T16"/>
    <mergeCell ref="U16:Y16"/>
    <mergeCell ref="Z16:AC16"/>
    <mergeCell ref="A13:C13"/>
    <mergeCell ref="D13:K13"/>
    <mergeCell ref="L13:T13"/>
    <mergeCell ref="U13:Y13"/>
    <mergeCell ref="Z13:AC13"/>
    <mergeCell ref="A14:C14"/>
    <mergeCell ref="D14:K14"/>
    <mergeCell ref="L14:T14"/>
    <mergeCell ref="U14:Y14"/>
    <mergeCell ref="Z14:AC14"/>
    <mergeCell ref="A19:C19"/>
    <mergeCell ref="D19:K19"/>
    <mergeCell ref="L19:T19"/>
    <mergeCell ref="U19:Y19"/>
    <mergeCell ref="Z19:AC19"/>
    <mergeCell ref="A20:C20"/>
    <mergeCell ref="D20:K20"/>
    <mergeCell ref="L20:T20"/>
    <mergeCell ref="U20:Y20"/>
    <mergeCell ref="Z20:AC20"/>
    <mergeCell ref="A17:C17"/>
    <mergeCell ref="D17:K17"/>
    <mergeCell ref="L17:T17"/>
    <mergeCell ref="U17:Y17"/>
    <mergeCell ref="Z17:AC17"/>
    <mergeCell ref="A18:C18"/>
    <mergeCell ref="D18:K18"/>
    <mergeCell ref="L18:T18"/>
    <mergeCell ref="U18:Y18"/>
    <mergeCell ref="Z18:AC18"/>
    <mergeCell ref="A23:C23"/>
    <mergeCell ref="D23:K23"/>
    <mergeCell ref="L23:T23"/>
    <mergeCell ref="U23:Y23"/>
    <mergeCell ref="Z23:AC23"/>
    <mergeCell ref="A24:C24"/>
    <mergeCell ref="D24:K24"/>
    <mergeCell ref="L24:T24"/>
    <mergeCell ref="U24:Y24"/>
    <mergeCell ref="Z24:AC24"/>
    <mergeCell ref="A21:C21"/>
    <mergeCell ref="D21:K21"/>
    <mergeCell ref="L21:T21"/>
    <mergeCell ref="U21:Y21"/>
    <mergeCell ref="Z21:AC21"/>
    <mergeCell ref="A22:C22"/>
    <mergeCell ref="D22:K22"/>
    <mergeCell ref="L22:T22"/>
    <mergeCell ref="U22:Y22"/>
    <mergeCell ref="Z22:AC22"/>
    <mergeCell ref="A27:C27"/>
    <mergeCell ref="D27:K27"/>
    <mergeCell ref="L27:T27"/>
    <mergeCell ref="U27:Y27"/>
    <mergeCell ref="Z27:AC27"/>
    <mergeCell ref="A28:C28"/>
    <mergeCell ref="D28:K28"/>
    <mergeCell ref="L28:T28"/>
    <mergeCell ref="U28:Y28"/>
    <mergeCell ref="Z28:AC28"/>
    <mergeCell ref="A25:C25"/>
    <mergeCell ref="D25:K25"/>
    <mergeCell ref="L25:T25"/>
    <mergeCell ref="U25:Y25"/>
    <mergeCell ref="Z25:AC25"/>
    <mergeCell ref="A26:C26"/>
    <mergeCell ref="D26:K26"/>
    <mergeCell ref="L26:T26"/>
    <mergeCell ref="U26:Y26"/>
    <mergeCell ref="Z26:AC26"/>
    <mergeCell ref="A31:C31"/>
    <mergeCell ref="D31:K31"/>
    <mergeCell ref="L31:T31"/>
    <mergeCell ref="U31:Y31"/>
    <mergeCell ref="Z31:AC31"/>
    <mergeCell ref="A32:C32"/>
    <mergeCell ref="D32:K32"/>
    <mergeCell ref="L32:T32"/>
    <mergeCell ref="U32:Y32"/>
    <mergeCell ref="Z32:AC32"/>
    <mergeCell ref="A29:C29"/>
    <mergeCell ref="D29:K29"/>
    <mergeCell ref="L29:T29"/>
    <mergeCell ref="U29:Y29"/>
    <mergeCell ref="Z29:AC29"/>
    <mergeCell ref="A30:C30"/>
    <mergeCell ref="D30:K30"/>
    <mergeCell ref="L30:T30"/>
    <mergeCell ref="U30:Y30"/>
    <mergeCell ref="Z30:AC30"/>
    <mergeCell ref="A35:C35"/>
    <mergeCell ref="D35:K35"/>
    <mergeCell ref="L35:T35"/>
    <mergeCell ref="U35:Y35"/>
    <mergeCell ref="Z35:AC35"/>
    <mergeCell ref="A36:C36"/>
    <mergeCell ref="D36:K36"/>
    <mergeCell ref="L36:T36"/>
    <mergeCell ref="U36:Y36"/>
    <mergeCell ref="Z36:AC36"/>
    <mergeCell ref="A33:C33"/>
    <mergeCell ref="D33:K33"/>
    <mergeCell ref="L33:T33"/>
    <mergeCell ref="U33:Y33"/>
    <mergeCell ref="Z33:AC33"/>
    <mergeCell ref="A34:C34"/>
    <mergeCell ref="D34:K34"/>
    <mergeCell ref="L34:T34"/>
    <mergeCell ref="U34:Y34"/>
    <mergeCell ref="Z34:AC34"/>
    <mergeCell ref="A39:C39"/>
    <mergeCell ref="D39:K39"/>
    <mergeCell ref="L39:T39"/>
    <mergeCell ref="U39:Y39"/>
    <mergeCell ref="Z39:AC39"/>
    <mergeCell ref="A40:C40"/>
    <mergeCell ref="D40:K40"/>
    <mergeCell ref="L40:T40"/>
    <mergeCell ref="U40:Y40"/>
    <mergeCell ref="Z40:AC40"/>
    <mergeCell ref="A37:C37"/>
    <mergeCell ref="D37:K37"/>
    <mergeCell ref="L37:T37"/>
    <mergeCell ref="U37:Y37"/>
    <mergeCell ref="Z37:AC37"/>
    <mergeCell ref="A38:C38"/>
    <mergeCell ref="D38:K38"/>
    <mergeCell ref="L38:T38"/>
    <mergeCell ref="U38:Y38"/>
    <mergeCell ref="Z38:AC38"/>
    <mergeCell ref="A43:C43"/>
    <mergeCell ref="D43:K43"/>
    <mergeCell ref="L43:T43"/>
    <mergeCell ref="U43:Y43"/>
    <mergeCell ref="Z43:AC43"/>
    <mergeCell ref="A44:C44"/>
    <mergeCell ref="D44:K44"/>
    <mergeCell ref="L44:T44"/>
    <mergeCell ref="U44:Y44"/>
    <mergeCell ref="Z44:AC44"/>
    <mergeCell ref="A41:C41"/>
    <mergeCell ref="D41:K41"/>
    <mergeCell ref="L41:T41"/>
    <mergeCell ref="U41:Y41"/>
    <mergeCell ref="Z41:AC41"/>
    <mergeCell ref="A42:C42"/>
    <mergeCell ref="D42:K42"/>
    <mergeCell ref="L42:T42"/>
    <mergeCell ref="U42:Y42"/>
    <mergeCell ref="Z42:AC42"/>
    <mergeCell ref="A47:C47"/>
    <mergeCell ref="D47:K47"/>
    <mergeCell ref="L47:T47"/>
    <mergeCell ref="U47:Y47"/>
    <mergeCell ref="Z47:AC47"/>
    <mergeCell ref="A48:C48"/>
    <mergeCell ref="D48:K48"/>
    <mergeCell ref="L48:T48"/>
    <mergeCell ref="U48:Y48"/>
    <mergeCell ref="Z48:AC48"/>
    <mergeCell ref="A45:C45"/>
    <mergeCell ref="D45:K45"/>
    <mergeCell ref="L45:T45"/>
    <mergeCell ref="U45:Y45"/>
    <mergeCell ref="Z45:AC45"/>
    <mergeCell ref="A46:C46"/>
    <mergeCell ref="D46:K46"/>
    <mergeCell ref="L46:T46"/>
    <mergeCell ref="U46:Y46"/>
    <mergeCell ref="Z46:AC46"/>
    <mergeCell ref="A51:C51"/>
    <mergeCell ref="D51:K51"/>
    <mergeCell ref="L51:T51"/>
    <mergeCell ref="U51:Y51"/>
    <mergeCell ref="Z51:AC51"/>
    <mergeCell ref="A52:C52"/>
    <mergeCell ref="D52:K52"/>
    <mergeCell ref="L52:T52"/>
    <mergeCell ref="U52:Y52"/>
    <mergeCell ref="Z52:AC52"/>
    <mergeCell ref="A49:C49"/>
    <mergeCell ref="D49:K49"/>
    <mergeCell ref="L49:T49"/>
    <mergeCell ref="U49:Y49"/>
    <mergeCell ref="Z49:AC49"/>
    <mergeCell ref="A50:C50"/>
    <mergeCell ref="D50:K50"/>
    <mergeCell ref="L50:T50"/>
    <mergeCell ref="U50:Y50"/>
    <mergeCell ref="Z50:AC50"/>
    <mergeCell ref="A55:C55"/>
    <mergeCell ref="D55:K55"/>
    <mergeCell ref="L55:T55"/>
    <mergeCell ref="U55:Y55"/>
    <mergeCell ref="Z55:AC55"/>
    <mergeCell ref="A56:C56"/>
    <mergeCell ref="D56:K56"/>
    <mergeCell ref="L56:T56"/>
    <mergeCell ref="U56:Y56"/>
    <mergeCell ref="Z56:AC56"/>
    <mergeCell ref="A53:C53"/>
    <mergeCell ref="D53:K53"/>
    <mergeCell ref="L53:T53"/>
    <mergeCell ref="U53:Y53"/>
    <mergeCell ref="Z53:AC53"/>
    <mergeCell ref="A54:C54"/>
    <mergeCell ref="D54:K54"/>
    <mergeCell ref="L54:T54"/>
    <mergeCell ref="U54:Y54"/>
    <mergeCell ref="Z54:AC54"/>
    <mergeCell ref="A59:C59"/>
    <mergeCell ref="D59:K59"/>
    <mergeCell ref="L59:T59"/>
    <mergeCell ref="U59:Y59"/>
    <mergeCell ref="Z59:AC59"/>
    <mergeCell ref="A60:C60"/>
    <mergeCell ref="D60:K60"/>
    <mergeCell ref="L60:T60"/>
    <mergeCell ref="U60:Y60"/>
    <mergeCell ref="Z60:AC60"/>
    <mergeCell ref="A57:C57"/>
    <mergeCell ref="D57:K57"/>
    <mergeCell ref="L57:T57"/>
    <mergeCell ref="U57:Y57"/>
    <mergeCell ref="Z57:AC57"/>
    <mergeCell ref="A58:C58"/>
    <mergeCell ref="D58:K58"/>
    <mergeCell ref="L58:T58"/>
    <mergeCell ref="U58:Y58"/>
    <mergeCell ref="Z58:AC58"/>
    <mergeCell ref="A63:C63"/>
    <mergeCell ref="D63:K63"/>
    <mergeCell ref="L63:T63"/>
    <mergeCell ref="U63:Y63"/>
    <mergeCell ref="Z63:AC63"/>
    <mergeCell ref="A64:C64"/>
    <mergeCell ref="D64:K64"/>
    <mergeCell ref="L64:T64"/>
    <mergeCell ref="U64:Y64"/>
    <mergeCell ref="Z64:AC64"/>
    <mergeCell ref="A61:C61"/>
    <mergeCell ref="D61:K61"/>
    <mergeCell ref="L61:T61"/>
    <mergeCell ref="U61:Y61"/>
    <mergeCell ref="Z61:AC61"/>
    <mergeCell ref="A62:C62"/>
    <mergeCell ref="D62:K62"/>
    <mergeCell ref="L62:T62"/>
    <mergeCell ref="U62:Y62"/>
    <mergeCell ref="Z62:AC62"/>
    <mergeCell ref="A67:C67"/>
    <mergeCell ref="D67:K67"/>
    <mergeCell ref="L67:T67"/>
    <mergeCell ref="U67:Y67"/>
    <mergeCell ref="Z67:AC67"/>
    <mergeCell ref="A68:C68"/>
    <mergeCell ref="D68:K68"/>
    <mergeCell ref="L68:T68"/>
    <mergeCell ref="U68:Y68"/>
    <mergeCell ref="Z68:AC68"/>
    <mergeCell ref="A65:C65"/>
    <mergeCell ref="D65:K65"/>
    <mergeCell ref="L65:T65"/>
    <mergeCell ref="U65:Y65"/>
    <mergeCell ref="Z65:AC65"/>
    <mergeCell ref="A66:C66"/>
    <mergeCell ref="D66:K66"/>
    <mergeCell ref="L66:T66"/>
    <mergeCell ref="U66:Y66"/>
    <mergeCell ref="Z66:AC66"/>
    <mergeCell ref="A71:C71"/>
    <mergeCell ref="D71:K71"/>
    <mergeCell ref="L71:T71"/>
    <mergeCell ref="U71:Y71"/>
    <mergeCell ref="Z71:AC71"/>
    <mergeCell ref="A72:C72"/>
    <mergeCell ref="D72:K72"/>
    <mergeCell ref="L72:T72"/>
    <mergeCell ref="U72:Y72"/>
    <mergeCell ref="Z72:AC72"/>
    <mergeCell ref="A69:C69"/>
    <mergeCell ref="D69:K69"/>
    <mergeCell ref="L69:T69"/>
    <mergeCell ref="U69:Y69"/>
    <mergeCell ref="Z69:AC69"/>
    <mergeCell ref="A70:C70"/>
    <mergeCell ref="D70:K70"/>
    <mergeCell ref="L70:T70"/>
    <mergeCell ref="U70:Y70"/>
    <mergeCell ref="Z70:AC70"/>
    <mergeCell ref="A75:C75"/>
    <mergeCell ref="D75:K75"/>
    <mergeCell ref="L75:T75"/>
    <mergeCell ref="U75:Y75"/>
    <mergeCell ref="Z75:AC75"/>
    <mergeCell ref="A76:C76"/>
    <mergeCell ref="D76:K76"/>
    <mergeCell ref="L76:T76"/>
    <mergeCell ref="U76:Y76"/>
    <mergeCell ref="Z76:AC76"/>
    <mergeCell ref="A73:C73"/>
    <mergeCell ref="D73:K73"/>
    <mergeCell ref="L73:T73"/>
    <mergeCell ref="U73:Y73"/>
    <mergeCell ref="Z73:AC73"/>
    <mergeCell ref="A74:C74"/>
    <mergeCell ref="D74:K74"/>
    <mergeCell ref="L74:T74"/>
    <mergeCell ref="U74:Y74"/>
    <mergeCell ref="Z74:AC74"/>
    <mergeCell ref="A79:C79"/>
    <mergeCell ref="D79:K79"/>
    <mergeCell ref="L79:T79"/>
    <mergeCell ref="U79:Y79"/>
    <mergeCell ref="Z79:AC79"/>
    <mergeCell ref="A80:C80"/>
    <mergeCell ref="D80:K80"/>
    <mergeCell ref="L80:T80"/>
    <mergeCell ref="U80:Y80"/>
    <mergeCell ref="Z80:AC80"/>
    <mergeCell ref="A77:C77"/>
    <mergeCell ref="D77:K77"/>
    <mergeCell ref="L77:T77"/>
    <mergeCell ref="U77:Y77"/>
    <mergeCell ref="Z77:AC77"/>
    <mergeCell ref="A78:C78"/>
    <mergeCell ref="D78:K78"/>
    <mergeCell ref="L78:T78"/>
    <mergeCell ref="U78:Y78"/>
    <mergeCell ref="Z78:AC78"/>
    <mergeCell ref="A83:C83"/>
    <mergeCell ref="D83:K83"/>
    <mergeCell ref="L83:T83"/>
    <mergeCell ref="U83:Y83"/>
    <mergeCell ref="Z83:AC83"/>
    <mergeCell ref="A84:C84"/>
    <mergeCell ref="D84:K84"/>
    <mergeCell ref="L84:T84"/>
    <mergeCell ref="U84:Y84"/>
    <mergeCell ref="Z84:AC84"/>
    <mergeCell ref="A81:C81"/>
    <mergeCell ref="D81:K81"/>
    <mergeCell ref="L81:T81"/>
    <mergeCell ref="U81:Y81"/>
    <mergeCell ref="Z81:AC81"/>
    <mergeCell ref="A82:C82"/>
    <mergeCell ref="D82:K82"/>
    <mergeCell ref="L82:T82"/>
    <mergeCell ref="U82:Y82"/>
    <mergeCell ref="Z82:AC82"/>
    <mergeCell ref="A87:C87"/>
    <mergeCell ref="D87:K87"/>
    <mergeCell ref="L87:T87"/>
    <mergeCell ref="U87:Y87"/>
    <mergeCell ref="Z87:AC87"/>
    <mergeCell ref="A88:C88"/>
    <mergeCell ref="D88:K88"/>
    <mergeCell ref="L88:T88"/>
    <mergeCell ref="U88:Y88"/>
    <mergeCell ref="Z88:AC88"/>
    <mergeCell ref="A85:C85"/>
    <mergeCell ref="D85:K85"/>
    <mergeCell ref="L85:T85"/>
    <mergeCell ref="U85:Y85"/>
    <mergeCell ref="Z85:AC85"/>
    <mergeCell ref="A86:C86"/>
    <mergeCell ref="D86:K86"/>
    <mergeCell ref="L86:T86"/>
    <mergeCell ref="U86:Y86"/>
    <mergeCell ref="Z86:AC86"/>
    <mergeCell ref="A91:C91"/>
    <mergeCell ref="D91:K91"/>
    <mergeCell ref="L91:T91"/>
    <mergeCell ref="U91:Y91"/>
    <mergeCell ref="Z91:AC91"/>
    <mergeCell ref="A92:C92"/>
    <mergeCell ref="D92:K92"/>
    <mergeCell ref="L92:T92"/>
    <mergeCell ref="U92:Y92"/>
    <mergeCell ref="Z92:AC92"/>
    <mergeCell ref="A89:C89"/>
    <mergeCell ref="D89:K89"/>
    <mergeCell ref="L89:T89"/>
    <mergeCell ref="U89:Y89"/>
    <mergeCell ref="Z89:AC89"/>
    <mergeCell ref="A90:C90"/>
    <mergeCell ref="D90:K90"/>
    <mergeCell ref="L90:T90"/>
    <mergeCell ref="U90:Y90"/>
    <mergeCell ref="Z90:AC90"/>
    <mergeCell ref="A95:C95"/>
    <mergeCell ref="D95:K95"/>
    <mergeCell ref="L95:T95"/>
    <mergeCell ref="U95:Y95"/>
    <mergeCell ref="Z95:AC95"/>
    <mergeCell ref="A96:C96"/>
    <mergeCell ref="D96:K96"/>
    <mergeCell ref="L96:T96"/>
    <mergeCell ref="U96:Y96"/>
    <mergeCell ref="Z96:AC96"/>
    <mergeCell ref="A93:C93"/>
    <mergeCell ref="D93:K93"/>
    <mergeCell ref="L93:T93"/>
    <mergeCell ref="U93:Y93"/>
    <mergeCell ref="Z93:AC93"/>
    <mergeCell ref="A94:C94"/>
    <mergeCell ref="D94:K94"/>
    <mergeCell ref="L94:T94"/>
    <mergeCell ref="U94:Y94"/>
    <mergeCell ref="Z94:AC94"/>
    <mergeCell ref="A99:C99"/>
    <mergeCell ref="D99:K99"/>
    <mergeCell ref="L99:T99"/>
    <mergeCell ref="U99:Y99"/>
    <mergeCell ref="Z99:AC99"/>
    <mergeCell ref="A100:C100"/>
    <mergeCell ref="D100:K100"/>
    <mergeCell ref="L100:T100"/>
    <mergeCell ref="U100:Y100"/>
    <mergeCell ref="Z100:AC100"/>
    <mergeCell ref="A97:C97"/>
    <mergeCell ref="D97:K97"/>
    <mergeCell ref="L97:T97"/>
    <mergeCell ref="U97:Y97"/>
    <mergeCell ref="Z97:AC97"/>
    <mergeCell ref="A98:C98"/>
    <mergeCell ref="D98:K98"/>
    <mergeCell ref="L98:T98"/>
    <mergeCell ref="U98:Y98"/>
    <mergeCell ref="Z98:AC98"/>
    <mergeCell ref="A103:C103"/>
    <mergeCell ref="D103:K103"/>
    <mergeCell ref="L103:T103"/>
    <mergeCell ref="U103:Y103"/>
    <mergeCell ref="Z103:AC103"/>
    <mergeCell ref="A104:C104"/>
    <mergeCell ref="D104:K104"/>
    <mergeCell ref="L104:T104"/>
    <mergeCell ref="U104:Y104"/>
    <mergeCell ref="Z104:AC104"/>
    <mergeCell ref="A101:C101"/>
    <mergeCell ref="D101:K101"/>
    <mergeCell ref="L101:T101"/>
    <mergeCell ref="U101:Y101"/>
    <mergeCell ref="Z101:AC101"/>
    <mergeCell ref="A102:C102"/>
    <mergeCell ref="D102:K102"/>
    <mergeCell ref="L102:T102"/>
    <mergeCell ref="U102:Y102"/>
    <mergeCell ref="Z102:AC102"/>
    <mergeCell ref="A107:C107"/>
    <mergeCell ref="D107:K107"/>
    <mergeCell ref="L107:T107"/>
    <mergeCell ref="U107:Y107"/>
    <mergeCell ref="Z107:AC107"/>
    <mergeCell ref="A108:C108"/>
    <mergeCell ref="D108:K108"/>
    <mergeCell ref="L108:T108"/>
    <mergeCell ref="U108:Y108"/>
    <mergeCell ref="Z108:AC108"/>
    <mergeCell ref="A105:C105"/>
    <mergeCell ref="D105:K105"/>
    <mergeCell ref="L105:T105"/>
    <mergeCell ref="U105:Y105"/>
    <mergeCell ref="Z105:AC105"/>
    <mergeCell ref="A106:C106"/>
    <mergeCell ref="D106:K106"/>
    <mergeCell ref="L106:T106"/>
    <mergeCell ref="U106:Y106"/>
    <mergeCell ref="Z106:AC106"/>
    <mergeCell ref="A111:C111"/>
    <mergeCell ref="D111:K111"/>
    <mergeCell ref="L111:T111"/>
    <mergeCell ref="U111:Y111"/>
    <mergeCell ref="Z111:AC111"/>
    <mergeCell ref="A112:C112"/>
    <mergeCell ref="D112:K112"/>
    <mergeCell ref="L112:T112"/>
    <mergeCell ref="U112:Y112"/>
    <mergeCell ref="Z112:AC112"/>
    <mergeCell ref="A109:C109"/>
    <mergeCell ref="D109:K109"/>
    <mergeCell ref="L109:T109"/>
    <mergeCell ref="U109:Y109"/>
    <mergeCell ref="Z109:AC109"/>
    <mergeCell ref="A110:C110"/>
    <mergeCell ref="D110:K110"/>
    <mergeCell ref="L110:T110"/>
    <mergeCell ref="U110:Y110"/>
    <mergeCell ref="Z110:AC110"/>
    <mergeCell ref="A115:C115"/>
    <mergeCell ref="D115:K115"/>
    <mergeCell ref="L115:T115"/>
    <mergeCell ref="U115:Y115"/>
    <mergeCell ref="Z115:AC115"/>
    <mergeCell ref="A116:C116"/>
    <mergeCell ref="D116:K116"/>
    <mergeCell ref="L116:T116"/>
    <mergeCell ref="U116:Y116"/>
    <mergeCell ref="Z116:AC116"/>
    <mergeCell ref="A113:C113"/>
    <mergeCell ref="D113:K113"/>
    <mergeCell ref="L113:T113"/>
    <mergeCell ref="U113:Y113"/>
    <mergeCell ref="Z113:AC113"/>
    <mergeCell ref="A114:C114"/>
    <mergeCell ref="D114:K114"/>
    <mergeCell ref="L114:T114"/>
    <mergeCell ref="U114:Y114"/>
    <mergeCell ref="Z114:AC114"/>
    <mergeCell ref="A119:C119"/>
    <mergeCell ref="D119:K119"/>
    <mergeCell ref="L119:T119"/>
    <mergeCell ref="U119:Y119"/>
    <mergeCell ref="Z119:AC119"/>
    <mergeCell ref="A120:C120"/>
    <mergeCell ref="D120:K120"/>
    <mergeCell ref="L120:T120"/>
    <mergeCell ref="U120:Y120"/>
    <mergeCell ref="Z120:AC120"/>
    <mergeCell ref="A117:C117"/>
    <mergeCell ref="D117:K117"/>
    <mergeCell ref="L117:T117"/>
    <mergeCell ref="U117:Y117"/>
    <mergeCell ref="Z117:AC117"/>
    <mergeCell ref="A118:C118"/>
    <mergeCell ref="D118:K118"/>
    <mergeCell ref="L118:T118"/>
    <mergeCell ref="U118:Y118"/>
    <mergeCell ref="Z118:AC118"/>
    <mergeCell ref="A123:C123"/>
    <mergeCell ref="D123:K123"/>
    <mergeCell ref="L123:T123"/>
    <mergeCell ref="U123:Y123"/>
    <mergeCell ref="Z123:AC123"/>
    <mergeCell ref="A124:C124"/>
    <mergeCell ref="D124:K124"/>
    <mergeCell ref="L124:T124"/>
    <mergeCell ref="U124:Y124"/>
    <mergeCell ref="Z124:AC124"/>
    <mergeCell ref="A121:C121"/>
    <mergeCell ref="D121:K121"/>
    <mergeCell ref="L121:T121"/>
    <mergeCell ref="U121:Y121"/>
    <mergeCell ref="Z121:AC121"/>
    <mergeCell ref="A122:C122"/>
    <mergeCell ref="D122:K122"/>
    <mergeCell ref="L122:T122"/>
    <mergeCell ref="U122:Y122"/>
    <mergeCell ref="Z122:AC122"/>
    <mergeCell ref="A127:C127"/>
    <mergeCell ref="D127:K127"/>
    <mergeCell ref="L127:T127"/>
    <mergeCell ref="U127:Y127"/>
    <mergeCell ref="Z127:AC127"/>
    <mergeCell ref="A128:C128"/>
    <mergeCell ref="D128:K128"/>
    <mergeCell ref="L128:T128"/>
    <mergeCell ref="U128:Y128"/>
    <mergeCell ref="Z128:AC128"/>
    <mergeCell ref="A125:C125"/>
    <mergeCell ref="D125:K125"/>
    <mergeCell ref="L125:T125"/>
    <mergeCell ref="U125:Y125"/>
    <mergeCell ref="Z125:AC125"/>
    <mergeCell ref="A126:C126"/>
    <mergeCell ref="D126:K126"/>
    <mergeCell ref="L126:T126"/>
    <mergeCell ref="U126:Y126"/>
    <mergeCell ref="Z126:AC126"/>
    <mergeCell ref="A131:C131"/>
    <mergeCell ref="D131:K131"/>
    <mergeCell ref="L131:T131"/>
    <mergeCell ref="U131:Y131"/>
    <mergeCell ref="Z131:AC131"/>
    <mergeCell ref="A132:C132"/>
    <mergeCell ref="D132:K132"/>
    <mergeCell ref="L132:T132"/>
    <mergeCell ref="U132:Y132"/>
    <mergeCell ref="Z132:AC132"/>
    <mergeCell ref="A129:C129"/>
    <mergeCell ref="D129:K129"/>
    <mergeCell ref="L129:T129"/>
    <mergeCell ref="U129:Y129"/>
    <mergeCell ref="Z129:AC129"/>
    <mergeCell ref="A130:C130"/>
    <mergeCell ref="D130:K130"/>
    <mergeCell ref="L130:T130"/>
    <mergeCell ref="U130:Y130"/>
    <mergeCell ref="Z130:AC130"/>
    <mergeCell ref="A135:C135"/>
    <mergeCell ref="D135:K135"/>
    <mergeCell ref="L135:T135"/>
    <mergeCell ref="U135:Y135"/>
    <mergeCell ref="Z135:AC135"/>
    <mergeCell ref="A136:C136"/>
    <mergeCell ref="D136:K136"/>
    <mergeCell ref="L136:T136"/>
    <mergeCell ref="U136:Y136"/>
    <mergeCell ref="Z136:AC136"/>
    <mergeCell ref="A133:C133"/>
    <mergeCell ref="D133:K133"/>
    <mergeCell ref="L133:T133"/>
    <mergeCell ref="U133:Y133"/>
    <mergeCell ref="Z133:AC133"/>
    <mergeCell ref="A134:C134"/>
    <mergeCell ref="D134:K134"/>
    <mergeCell ref="L134:T134"/>
    <mergeCell ref="U134:Y134"/>
    <mergeCell ref="Z134:AC134"/>
    <mergeCell ref="A139:C139"/>
    <mergeCell ref="D139:K139"/>
    <mergeCell ref="L139:T139"/>
    <mergeCell ref="U139:Y139"/>
    <mergeCell ref="Z139:AC139"/>
    <mergeCell ref="A140:C140"/>
    <mergeCell ref="D140:K140"/>
    <mergeCell ref="L140:T140"/>
    <mergeCell ref="U140:Y140"/>
    <mergeCell ref="Z140:AC140"/>
    <mergeCell ref="A137:C137"/>
    <mergeCell ref="D137:K137"/>
    <mergeCell ref="L137:T137"/>
    <mergeCell ref="U137:Y137"/>
    <mergeCell ref="Z137:AC137"/>
    <mergeCell ref="A138:C138"/>
    <mergeCell ref="D138:K138"/>
    <mergeCell ref="L138:T138"/>
    <mergeCell ref="U138:Y138"/>
    <mergeCell ref="Z138:AC138"/>
    <mergeCell ref="A143:C143"/>
    <mergeCell ref="D143:K143"/>
    <mergeCell ref="L143:T143"/>
    <mergeCell ref="U143:Y143"/>
    <mergeCell ref="Z143:AC143"/>
    <mergeCell ref="A144:C144"/>
    <mergeCell ref="D144:K144"/>
    <mergeCell ref="L144:T144"/>
    <mergeCell ref="U144:Y144"/>
    <mergeCell ref="Z144:AC144"/>
    <mergeCell ref="A141:C141"/>
    <mergeCell ref="D141:K141"/>
    <mergeCell ref="L141:T141"/>
    <mergeCell ref="U141:Y141"/>
    <mergeCell ref="Z141:AC141"/>
    <mergeCell ref="A142:C142"/>
    <mergeCell ref="D142:K142"/>
    <mergeCell ref="L142:T142"/>
    <mergeCell ref="U142:Y142"/>
    <mergeCell ref="Z142:AC142"/>
    <mergeCell ref="A147:C147"/>
    <mergeCell ref="D147:K147"/>
    <mergeCell ref="L147:T147"/>
    <mergeCell ref="U147:Y147"/>
    <mergeCell ref="Z147:AC147"/>
    <mergeCell ref="A148:C148"/>
    <mergeCell ref="D148:K148"/>
    <mergeCell ref="L148:T148"/>
    <mergeCell ref="U148:Y148"/>
    <mergeCell ref="Z148:AC148"/>
    <mergeCell ref="A145:C145"/>
    <mergeCell ref="D145:K145"/>
    <mergeCell ref="L145:T145"/>
    <mergeCell ref="U145:Y145"/>
    <mergeCell ref="Z145:AC145"/>
    <mergeCell ref="A146:C146"/>
    <mergeCell ref="D146:K146"/>
    <mergeCell ref="L146:T146"/>
    <mergeCell ref="U146:Y146"/>
    <mergeCell ref="Z146:AC146"/>
    <mergeCell ref="A151:C151"/>
    <mergeCell ref="D151:K151"/>
    <mergeCell ref="L151:T151"/>
    <mergeCell ref="U151:Y151"/>
    <mergeCell ref="Z151:AC151"/>
    <mergeCell ref="A152:C152"/>
    <mergeCell ref="D152:K152"/>
    <mergeCell ref="L152:T152"/>
    <mergeCell ref="U152:Y152"/>
    <mergeCell ref="Z152:AC152"/>
    <mergeCell ref="A149:C149"/>
    <mergeCell ref="D149:K149"/>
    <mergeCell ref="L149:T149"/>
    <mergeCell ref="U149:Y149"/>
    <mergeCell ref="Z149:AC149"/>
    <mergeCell ref="A150:C150"/>
    <mergeCell ref="D150:K150"/>
    <mergeCell ref="L150:T150"/>
    <mergeCell ref="U150:Y150"/>
    <mergeCell ref="Z150:AC150"/>
    <mergeCell ref="A155:C155"/>
    <mergeCell ref="D155:K155"/>
    <mergeCell ref="L155:T155"/>
    <mergeCell ref="U155:Y155"/>
    <mergeCell ref="Z155:AC155"/>
    <mergeCell ref="A156:C156"/>
    <mergeCell ref="D156:K156"/>
    <mergeCell ref="L156:T156"/>
    <mergeCell ref="U156:Y156"/>
    <mergeCell ref="Z156:AC156"/>
    <mergeCell ref="A153:C153"/>
    <mergeCell ref="D153:K153"/>
    <mergeCell ref="L153:T153"/>
    <mergeCell ref="U153:Y153"/>
    <mergeCell ref="Z153:AC153"/>
    <mergeCell ref="A154:C154"/>
    <mergeCell ref="D154:K154"/>
    <mergeCell ref="L154:T154"/>
    <mergeCell ref="U154:Y154"/>
    <mergeCell ref="Z154:AC154"/>
    <mergeCell ref="A159:C159"/>
    <mergeCell ref="D159:K159"/>
    <mergeCell ref="L159:T159"/>
    <mergeCell ref="U159:Y159"/>
    <mergeCell ref="Z159:AC159"/>
    <mergeCell ref="A160:C160"/>
    <mergeCell ref="D160:K160"/>
    <mergeCell ref="L160:T160"/>
    <mergeCell ref="U160:Y160"/>
    <mergeCell ref="Z160:AC160"/>
    <mergeCell ref="A157:C157"/>
    <mergeCell ref="D157:K157"/>
    <mergeCell ref="L157:T157"/>
    <mergeCell ref="U157:Y157"/>
    <mergeCell ref="Z157:AC157"/>
    <mergeCell ref="A158:C158"/>
    <mergeCell ref="D158:K158"/>
    <mergeCell ref="L158:T158"/>
    <mergeCell ref="U158:Y158"/>
    <mergeCell ref="Z158:AC158"/>
    <mergeCell ref="A163:C163"/>
    <mergeCell ref="D163:K163"/>
    <mergeCell ref="L163:T163"/>
    <mergeCell ref="U163:Y163"/>
    <mergeCell ref="Z163:AC163"/>
    <mergeCell ref="A164:C164"/>
    <mergeCell ref="D164:K164"/>
    <mergeCell ref="L164:T164"/>
    <mergeCell ref="U164:Y164"/>
    <mergeCell ref="Z164:AC164"/>
    <mergeCell ref="A161:C161"/>
    <mergeCell ref="D161:K161"/>
    <mergeCell ref="L161:T161"/>
    <mergeCell ref="U161:Y161"/>
    <mergeCell ref="Z161:AC161"/>
    <mergeCell ref="A162:C162"/>
    <mergeCell ref="D162:K162"/>
    <mergeCell ref="L162:T162"/>
    <mergeCell ref="U162:Y162"/>
    <mergeCell ref="Z162:AC162"/>
    <mergeCell ref="A167:C167"/>
    <mergeCell ref="D167:K167"/>
    <mergeCell ref="L167:T167"/>
    <mergeCell ref="U167:Y167"/>
    <mergeCell ref="Z167:AC167"/>
    <mergeCell ref="A168:C168"/>
    <mergeCell ref="D168:K168"/>
    <mergeCell ref="L168:T168"/>
    <mergeCell ref="U168:Y168"/>
    <mergeCell ref="Z168:AC168"/>
    <mergeCell ref="A165:C165"/>
    <mergeCell ref="D165:K165"/>
    <mergeCell ref="L165:T165"/>
    <mergeCell ref="U165:Y165"/>
    <mergeCell ref="Z165:AC165"/>
    <mergeCell ref="A166:C166"/>
    <mergeCell ref="D166:K166"/>
    <mergeCell ref="L166:T166"/>
    <mergeCell ref="U166:Y166"/>
    <mergeCell ref="Z166:AC166"/>
    <mergeCell ref="A171:C171"/>
    <mergeCell ref="D171:K171"/>
    <mergeCell ref="L171:T171"/>
    <mergeCell ref="U171:Y171"/>
    <mergeCell ref="Z171:AC171"/>
    <mergeCell ref="A172:C172"/>
    <mergeCell ref="D172:K172"/>
    <mergeCell ref="L172:T172"/>
    <mergeCell ref="U172:Y172"/>
    <mergeCell ref="Z172:AC172"/>
    <mergeCell ref="A169:C169"/>
    <mergeCell ref="D169:K169"/>
    <mergeCell ref="L169:T169"/>
    <mergeCell ref="U169:Y169"/>
    <mergeCell ref="Z169:AC169"/>
    <mergeCell ref="A170:C170"/>
    <mergeCell ref="D170:K170"/>
    <mergeCell ref="L170:T170"/>
    <mergeCell ref="U170:Y170"/>
    <mergeCell ref="Z170:AC170"/>
    <mergeCell ref="A175:C175"/>
    <mergeCell ref="D175:K175"/>
    <mergeCell ref="L175:T175"/>
    <mergeCell ref="U175:Y175"/>
    <mergeCell ref="Z175:AC175"/>
    <mergeCell ref="A176:C176"/>
    <mergeCell ref="D176:K176"/>
    <mergeCell ref="L176:T176"/>
    <mergeCell ref="U176:Y176"/>
    <mergeCell ref="Z176:AC176"/>
    <mergeCell ref="A173:C173"/>
    <mergeCell ref="D173:K173"/>
    <mergeCell ref="L173:T173"/>
    <mergeCell ref="U173:Y173"/>
    <mergeCell ref="Z173:AC173"/>
    <mergeCell ref="A174:C174"/>
    <mergeCell ref="D174:K174"/>
    <mergeCell ref="L174:T174"/>
    <mergeCell ref="U174:Y174"/>
    <mergeCell ref="Z174:AC174"/>
    <mergeCell ref="A179:C179"/>
    <mergeCell ref="D179:K179"/>
    <mergeCell ref="L179:T179"/>
    <mergeCell ref="U179:Y179"/>
    <mergeCell ref="Z179:AC179"/>
    <mergeCell ref="A180:C180"/>
    <mergeCell ref="D180:K180"/>
    <mergeCell ref="L180:T180"/>
    <mergeCell ref="U180:Y180"/>
    <mergeCell ref="Z180:AC180"/>
    <mergeCell ref="A177:C177"/>
    <mergeCell ref="D177:K177"/>
    <mergeCell ref="L177:T177"/>
    <mergeCell ref="U177:Y177"/>
    <mergeCell ref="Z177:AC177"/>
    <mergeCell ref="A178:C178"/>
    <mergeCell ref="D178:K178"/>
    <mergeCell ref="L178:T178"/>
    <mergeCell ref="U178:Y178"/>
    <mergeCell ref="Z178:AC178"/>
    <mergeCell ref="A183:C183"/>
    <mergeCell ref="D183:K183"/>
    <mergeCell ref="L183:T183"/>
    <mergeCell ref="U183:Y183"/>
    <mergeCell ref="Z183:AC183"/>
    <mergeCell ref="A184:C184"/>
    <mergeCell ref="D184:K184"/>
    <mergeCell ref="L184:T184"/>
    <mergeCell ref="U184:Y184"/>
    <mergeCell ref="Z184:AC184"/>
    <mergeCell ref="A181:C181"/>
    <mergeCell ref="D181:K181"/>
    <mergeCell ref="L181:T181"/>
    <mergeCell ref="U181:Y181"/>
    <mergeCell ref="Z181:AC181"/>
    <mergeCell ref="A182:C182"/>
    <mergeCell ref="D182:K182"/>
    <mergeCell ref="L182:T182"/>
    <mergeCell ref="U182:Y182"/>
    <mergeCell ref="Z182:AC182"/>
    <mergeCell ref="A187:C187"/>
    <mergeCell ref="D187:K187"/>
    <mergeCell ref="L187:T187"/>
    <mergeCell ref="U187:Y187"/>
    <mergeCell ref="Z187:AC187"/>
    <mergeCell ref="A188:C188"/>
    <mergeCell ref="D188:K188"/>
    <mergeCell ref="L188:T188"/>
    <mergeCell ref="U188:Y188"/>
    <mergeCell ref="Z188:AC188"/>
    <mergeCell ref="A185:C185"/>
    <mergeCell ref="D185:K185"/>
    <mergeCell ref="L185:T185"/>
    <mergeCell ref="U185:Y185"/>
    <mergeCell ref="Z185:AC185"/>
    <mergeCell ref="A186:C186"/>
    <mergeCell ref="D186:K186"/>
    <mergeCell ref="L186:T186"/>
    <mergeCell ref="U186:Y186"/>
    <mergeCell ref="Z186:AC186"/>
    <mergeCell ref="A191:C191"/>
    <mergeCell ref="D191:K191"/>
    <mergeCell ref="L191:T191"/>
    <mergeCell ref="U191:Y191"/>
    <mergeCell ref="Z191:AC191"/>
    <mergeCell ref="A192:C192"/>
    <mergeCell ref="D192:K192"/>
    <mergeCell ref="L192:T192"/>
    <mergeCell ref="U192:Y192"/>
    <mergeCell ref="Z192:AC192"/>
    <mergeCell ref="A189:C189"/>
    <mergeCell ref="D189:K189"/>
    <mergeCell ref="L189:T189"/>
    <mergeCell ref="U189:Y189"/>
    <mergeCell ref="Z189:AC189"/>
    <mergeCell ref="A190:C190"/>
    <mergeCell ref="D190:K190"/>
    <mergeCell ref="L190:T190"/>
    <mergeCell ref="U190:Y190"/>
    <mergeCell ref="Z190:AC190"/>
    <mergeCell ref="A195:C195"/>
    <mergeCell ref="D195:K195"/>
    <mergeCell ref="L195:T195"/>
    <mergeCell ref="U195:Y195"/>
    <mergeCell ref="Z195:AC195"/>
    <mergeCell ref="A196:C196"/>
    <mergeCell ref="D196:K196"/>
    <mergeCell ref="L196:T196"/>
    <mergeCell ref="U196:Y196"/>
    <mergeCell ref="Z196:AC196"/>
    <mergeCell ref="A193:C193"/>
    <mergeCell ref="D193:K193"/>
    <mergeCell ref="L193:T193"/>
    <mergeCell ref="U193:Y193"/>
    <mergeCell ref="Z193:AC193"/>
    <mergeCell ref="A194:C194"/>
    <mergeCell ref="D194:K194"/>
    <mergeCell ref="L194:T194"/>
    <mergeCell ref="U194:Y194"/>
    <mergeCell ref="Z194:AC194"/>
    <mergeCell ref="A199:C199"/>
    <mergeCell ref="D199:K199"/>
    <mergeCell ref="L199:T199"/>
    <mergeCell ref="U199:Y199"/>
    <mergeCell ref="Z199:AC199"/>
    <mergeCell ref="A200:C200"/>
    <mergeCell ref="D200:K200"/>
    <mergeCell ref="L200:T200"/>
    <mergeCell ref="U200:Y200"/>
    <mergeCell ref="Z200:AC200"/>
    <mergeCell ref="A197:C197"/>
    <mergeCell ref="D197:K197"/>
    <mergeCell ref="L197:T197"/>
    <mergeCell ref="U197:Y197"/>
    <mergeCell ref="Z197:AC197"/>
    <mergeCell ref="A198:C198"/>
    <mergeCell ref="D198:K198"/>
    <mergeCell ref="L198:T198"/>
    <mergeCell ref="U198:Y198"/>
    <mergeCell ref="Z198:AC198"/>
    <mergeCell ref="A203:C203"/>
    <mergeCell ref="D203:K203"/>
    <mergeCell ref="L203:T203"/>
    <mergeCell ref="U203:Y203"/>
    <mergeCell ref="Z203:AC203"/>
    <mergeCell ref="A204:C204"/>
    <mergeCell ref="D204:K204"/>
    <mergeCell ref="L204:T204"/>
    <mergeCell ref="U204:Y204"/>
    <mergeCell ref="Z204:AC204"/>
    <mergeCell ref="A201:C201"/>
    <mergeCell ref="D201:K201"/>
    <mergeCell ref="L201:T201"/>
    <mergeCell ref="U201:Y201"/>
    <mergeCell ref="Z201:AC201"/>
    <mergeCell ref="A202:C202"/>
    <mergeCell ref="D202:K202"/>
    <mergeCell ref="L202:T202"/>
    <mergeCell ref="U202:Y202"/>
    <mergeCell ref="Z202:AC202"/>
    <mergeCell ref="A207:C207"/>
    <mergeCell ref="D207:K207"/>
    <mergeCell ref="L207:T207"/>
    <mergeCell ref="U207:Y207"/>
    <mergeCell ref="Z207:AC207"/>
    <mergeCell ref="A208:C208"/>
    <mergeCell ref="D208:K208"/>
    <mergeCell ref="L208:T208"/>
    <mergeCell ref="U208:Y208"/>
    <mergeCell ref="Z208:AC208"/>
    <mergeCell ref="A205:C205"/>
    <mergeCell ref="D205:K205"/>
    <mergeCell ref="L205:T205"/>
    <mergeCell ref="U205:Y205"/>
    <mergeCell ref="Z205:AC205"/>
    <mergeCell ref="A206:C206"/>
    <mergeCell ref="D206:K206"/>
    <mergeCell ref="L206:T206"/>
    <mergeCell ref="U206:Y206"/>
    <mergeCell ref="Z206:AC206"/>
    <mergeCell ref="A211:C211"/>
    <mergeCell ref="D211:K211"/>
    <mergeCell ref="L211:T211"/>
    <mergeCell ref="U211:Y211"/>
    <mergeCell ref="Z211:AC211"/>
    <mergeCell ref="A212:C212"/>
    <mergeCell ref="D212:K212"/>
    <mergeCell ref="L212:T212"/>
    <mergeCell ref="U212:Y212"/>
    <mergeCell ref="Z212:AC212"/>
    <mergeCell ref="A209:C209"/>
    <mergeCell ref="D209:K209"/>
    <mergeCell ref="L209:T209"/>
    <mergeCell ref="U209:Y209"/>
    <mergeCell ref="Z209:AC209"/>
    <mergeCell ref="A210:C210"/>
    <mergeCell ref="D210:K210"/>
    <mergeCell ref="L210:T210"/>
    <mergeCell ref="U210:Y210"/>
    <mergeCell ref="Z210:AC210"/>
    <mergeCell ref="A215:C215"/>
    <mergeCell ref="D215:K215"/>
    <mergeCell ref="L215:T215"/>
    <mergeCell ref="U215:Y215"/>
    <mergeCell ref="Z215:AC215"/>
    <mergeCell ref="A216:C216"/>
    <mergeCell ref="D216:K216"/>
    <mergeCell ref="L216:T216"/>
    <mergeCell ref="U216:Y216"/>
    <mergeCell ref="Z216:AC216"/>
    <mergeCell ref="A213:C213"/>
    <mergeCell ref="D213:K213"/>
    <mergeCell ref="L213:T213"/>
    <mergeCell ref="U213:Y213"/>
    <mergeCell ref="Z213:AC213"/>
    <mergeCell ref="A214:C214"/>
    <mergeCell ref="D214:K214"/>
    <mergeCell ref="L214:T214"/>
    <mergeCell ref="U214:Y214"/>
    <mergeCell ref="Z214:AC214"/>
    <mergeCell ref="A219:C219"/>
    <mergeCell ref="D219:K219"/>
    <mergeCell ref="L219:T219"/>
    <mergeCell ref="U219:Y219"/>
    <mergeCell ref="Z219:AC219"/>
    <mergeCell ref="A220:C220"/>
    <mergeCell ref="D220:K220"/>
    <mergeCell ref="L220:T220"/>
    <mergeCell ref="U220:Y220"/>
    <mergeCell ref="Z220:AC220"/>
    <mergeCell ref="A217:C217"/>
    <mergeCell ref="D217:K217"/>
    <mergeCell ref="L217:T217"/>
    <mergeCell ref="U217:Y217"/>
    <mergeCell ref="Z217:AC217"/>
    <mergeCell ref="A218:C218"/>
    <mergeCell ref="D218:K218"/>
    <mergeCell ref="L218:T218"/>
    <mergeCell ref="U218:Y218"/>
    <mergeCell ref="Z218:AC218"/>
    <mergeCell ref="A223:C223"/>
    <mergeCell ref="D223:K223"/>
    <mergeCell ref="L223:T223"/>
    <mergeCell ref="U223:Y223"/>
    <mergeCell ref="Z223:AC223"/>
    <mergeCell ref="A224:C224"/>
    <mergeCell ref="D224:K224"/>
    <mergeCell ref="L224:T224"/>
    <mergeCell ref="U224:Y224"/>
    <mergeCell ref="Z224:AC224"/>
    <mergeCell ref="A221:C221"/>
    <mergeCell ref="D221:K221"/>
    <mergeCell ref="L221:T221"/>
    <mergeCell ref="U221:Y221"/>
    <mergeCell ref="Z221:AC221"/>
    <mergeCell ref="A222:C222"/>
    <mergeCell ref="D222:K222"/>
    <mergeCell ref="L222:T222"/>
    <mergeCell ref="U222:Y222"/>
    <mergeCell ref="Z222:AC222"/>
    <mergeCell ref="A227:C227"/>
    <mergeCell ref="D227:K227"/>
    <mergeCell ref="L227:T227"/>
    <mergeCell ref="U227:Y227"/>
    <mergeCell ref="Z227:AC227"/>
    <mergeCell ref="A228:C228"/>
    <mergeCell ref="D228:K228"/>
    <mergeCell ref="L228:T228"/>
    <mergeCell ref="U228:Y228"/>
    <mergeCell ref="Z228:AC228"/>
    <mergeCell ref="A225:C225"/>
    <mergeCell ref="D225:K225"/>
    <mergeCell ref="L225:T225"/>
    <mergeCell ref="U225:Y225"/>
    <mergeCell ref="Z225:AC225"/>
    <mergeCell ref="A226:C226"/>
    <mergeCell ref="D226:K226"/>
    <mergeCell ref="L226:T226"/>
    <mergeCell ref="U226:Y226"/>
    <mergeCell ref="Z226:AC226"/>
    <mergeCell ref="A231:C231"/>
    <mergeCell ref="D231:K231"/>
    <mergeCell ref="L231:T231"/>
    <mergeCell ref="U231:Y231"/>
    <mergeCell ref="Z231:AC231"/>
    <mergeCell ref="A232:C232"/>
    <mergeCell ref="D232:K232"/>
    <mergeCell ref="L232:T232"/>
    <mergeCell ref="U232:Y232"/>
    <mergeCell ref="Z232:AC232"/>
    <mergeCell ref="A229:C229"/>
    <mergeCell ref="D229:K229"/>
    <mergeCell ref="L229:T229"/>
    <mergeCell ref="U229:Y229"/>
    <mergeCell ref="Z229:AC229"/>
    <mergeCell ref="A230:C230"/>
    <mergeCell ref="D230:K230"/>
    <mergeCell ref="L230:T230"/>
    <mergeCell ref="U230:Y230"/>
    <mergeCell ref="Z230:AC230"/>
    <mergeCell ref="A235:C235"/>
    <mergeCell ref="D235:K235"/>
    <mergeCell ref="L235:T235"/>
    <mergeCell ref="U235:Y235"/>
    <mergeCell ref="Z235:AC235"/>
    <mergeCell ref="A236:C236"/>
    <mergeCell ref="D236:K236"/>
    <mergeCell ref="L236:T236"/>
    <mergeCell ref="U236:Y236"/>
    <mergeCell ref="Z236:AC236"/>
    <mergeCell ref="A233:C233"/>
    <mergeCell ref="D233:K233"/>
    <mergeCell ref="L233:T233"/>
    <mergeCell ref="U233:Y233"/>
    <mergeCell ref="Z233:AC233"/>
    <mergeCell ref="A234:C234"/>
    <mergeCell ref="D234:K234"/>
    <mergeCell ref="L234:T234"/>
    <mergeCell ref="U234:Y234"/>
    <mergeCell ref="Z234:AC234"/>
    <mergeCell ref="A239:C239"/>
    <mergeCell ref="D239:K239"/>
    <mergeCell ref="L239:T239"/>
    <mergeCell ref="U239:Y239"/>
    <mergeCell ref="Z239:AC239"/>
    <mergeCell ref="A240:C240"/>
    <mergeCell ref="D240:K240"/>
    <mergeCell ref="L240:T240"/>
    <mergeCell ref="U240:Y240"/>
    <mergeCell ref="Z240:AC240"/>
    <mergeCell ref="A237:C237"/>
    <mergeCell ref="D237:K237"/>
    <mergeCell ref="L237:T237"/>
    <mergeCell ref="U237:Y237"/>
    <mergeCell ref="Z237:AC237"/>
    <mergeCell ref="A238:C238"/>
    <mergeCell ref="D238:K238"/>
    <mergeCell ref="L238:T238"/>
    <mergeCell ref="U238:Y238"/>
    <mergeCell ref="Z238:AC238"/>
    <mergeCell ref="A243:C243"/>
    <mergeCell ref="D243:K243"/>
    <mergeCell ref="L243:T243"/>
    <mergeCell ref="U243:Y243"/>
    <mergeCell ref="Z243:AC243"/>
    <mergeCell ref="A244:C244"/>
    <mergeCell ref="D244:K244"/>
    <mergeCell ref="L244:T244"/>
    <mergeCell ref="U244:Y244"/>
    <mergeCell ref="Z244:AC244"/>
    <mergeCell ref="A241:C241"/>
    <mergeCell ref="D241:K241"/>
    <mergeCell ref="L241:T241"/>
    <mergeCell ref="U241:Y241"/>
    <mergeCell ref="Z241:AC241"/>
    <mergeCell ref="A242:C242"/>
    <mergeCell ref="D242:K242"/>
    <mergeCell ref="L242:T242"/>
    <mergeCell ref="U242:Y242"/>
    <mergeCell ref="Z242:AC242"/>
    <mergeCell ref="A247:C247"/>
    <mergeCell ref="D247:K247"/>
    <mergeCell ref="L247:T247"/>
    <mergeCell ref="U247:Y247"/>
    <mergeCell ref="Z247:AC247"/>
    <mergeCell ref="A248:C248"/>
    <mergeCell ref="D248:K248"/>
    <mergeCell ref="L248:T248"/>
    <mergeCell ref="U248:Y248"/>
    <mergeCell ref="Z248:AC248"/>
    <mergeCell ref="A245:C245"/>
    <mergeCell ref="D245:K245"/>
    <mergeCell ref="L245:T245"/>
    <mergeCell ref="U245:Y245"/>
    <mergeCell ref="Z245:AC245"/>
    <mergeCell ref="A246:C246"/>
    <mergeCell ref="D246:K246"/>
    <mergeCell ref="L246:T246"/>
    <mergeCell ref="U246:Y246"/>
    <mergeCell ref="Z246:AC246"/>
    <mergeCell ref="A251:C251"/>
    <mergeCell ref="D251:K251"/>
    <mergeCell ref="L251:T251"/>
    <mergeCell ref="U251:Y251"/>
    <mergeCell ref="Z251:AC251"/>
    <mergeCell ref="A252:C252"/>
    <mergeCell ref="D252:K252"/>
    <mergeCell ref="L252:T252"/>
    <mergeCell ref="U252:Y252"/>
    <mergeCell ref="Z252:AC252"/>
    <mergeCell ref="A249:C249"/>
    <mergeCell ref="D249:K249"/>
    <mergeCell ref="L249:T249"/>
    <mergeCell ref="U249:Y249"/>
    <mergeCell ref="Z249:AC249"/>
    <mergeCell ref="A250:C250"/>
    <mergeCell ref="D250:K250"/>
    <mergeCell ref="L250:T250"/>
    <mergeCell ref="U250:Y250"/>
    <mergeCell ref="Z250:AC250"/>
    <mergeCell ref="A255:C255"/>
    <mergeCell ref="D255:K255"/>
    <mergeCell ref="L255:T255"/>
    <mergeCell ref="U255:Y255"/>
    <mergeCell ref="Z255:AC255"/>
    <mergeCell ref="A256:C256"/>
    <mergeCell ref="D256:K256"/>
    <mergeCell ref="L256:T256"/>
    <mergeCell ref="U256:Y256"/>
    <mergeCell ref="Z256:AC256"/>
    <mergeCell ref="A253:C253"/>
    <mergeCell ref="D253:K253"/>
    <mergeCell ref="L253:T253"/>
    <mergeCell ref="U253:Y253"/>
    <mergeCell ref="Z253:AC253"/>
    <mergeCell ref="A254:C254"/>
    <mergeCell ref="D254:K254"/>
    <mergeCell ref="L254:T254"/>
    <mergeCell ref="U254:Y254"/>
    <mergeCell ref="Z254:AC254"/>
    <mergeCell ref="A259:C259"/>
    <mergeCell ref="D259:K259"/>
    <mergeCell ref="L259:T259"/>
    <mergeCell ref="U259:Y259"/>
    <mergeCell ref="Z259:AC259"/>
    <mergeCell ref="A260:C260"/>
    <mergeCell ref="D260:K260"/>
    <mergeCell ref="L260:T260"/>
    <mergeCell ref="U260:Y260"/>
    <mergeCell ref="Z260:AC260"/>
    <mergeCell ref="A257:C257"/>
    <mergeCell ref="D257:K257"/>
    <mergeCell ref="L257:T257"/>
    <mergeCell ref="U257:Y257"/>
    <mergeCell ref="Z257:AC257"/>
    <mergeCell ref="A258:C258"/>
    <mergeCell ref="D258:K258"/>
    <mergeCell ref="L258:T258"/>
    <mergeCell ref="U258:Y258"/>
    <mergeCell ref="Z258:AC258"/>
    <mergeCell ref="A263:C263"/>
    <mergeCell ref="D263:K263"/>
    <mergeCell ref="L263:T263"/>
    <mergeCell ref="U263:Y263"/>
    <mergeCell ref="Z263:AC263"/>
    <mergeCell ref="A264:C264"/>
    <mergeCell ref="D264:K264"/>
    <mergeCell ref="L264:T264"/>
    <mergeCell ref="U264:Y264"/>
    <mergeCell ref="Z264:AC264"/>
    <mergeCell ref="A261:C261"/>
    <mergeCell ref="D261:K261"/>
    <mergeCell ref="L261:T261"/>
    <mergeCell ref="U261:Y261"/>
    <mergeCell ref="Z261:AC261"/>
    <mergeCell ref="A262:C262"/>
    <mergeCell ref="D262:K262"/>
    <mergeCell ref="L262:T262"/>
    <mergeCell ref="U262:Y262"/>
    <mergeCell ref="Z262:AC262"/>
    <mergeCell ref="A267:C267"/>
    <mergeCell ref="D267:K267"/>
    <mergeCell ref="L267:T267"/>
    <mergeCell ref="U267:Y267"/>
    <mergeCell ref="Z267:AC267"/>
    <mergeCell ref="A268:C268"/>
    <mergeCell ref="D268:K268"/>
    <mergeCell ref="L268:T268"/>
    <mergeCell ref="U268:Y268"/>
    <mergeCell ref="Z268:AC268"/>
    <mergeCell ref="A265:C265"/>
    <mergeCell ref="D265:K265"/>
    <mergeCell ref="L265:T265"/>
    <mergeCell ref="U265:Y265"/>
    <mergeCell ref="Z265:AC265"/>
    <mergeCell ref="A266:C266"/>
    <mergeCell ref="D266:K266"/>
    <mergeCell ref="L266:T266"/>
    <mergeCell ref="U266:Y266"/>
    <mergeCell ref="Z266:AC266"/>
    <mergeCell ref="A271:C271"/>
    <mergeCell ref="D271:K271"/>
    <mergeCell ref="L271:T271"/>
    <mergeCell ref="U271:Y271"/>
    <mergeCell ref="Z271:AC271"/>
    <mergeCell ref="A272:C272"/>
    <mergeCell ref="D272:K272"/>
    <mergeCell ref="L272:T272"/>
    <mergeCell ref="U272:Y272"/>
    <mergeCell ref="Z272:AC272"/>
    <mergeCell ref="A269:C269"/>
    <mergeCell ref="D269:K269"/>
    <mergeCell ref="L269:T269"/>
    <mergeCell ref="U269:Y269"/>
    <mergeCell ref="Z269:AC269"/>
    <mergeCell ref="A270:C270"/>
    <mergeCell ref="D270:K270"/>
    <mergeCell ref="L270:T270"/>
    <mergeCell ref="U270:Y270"/>
    <mergeCell ref="Z270:AC270"/>
    <mergeCell ref="A275:C275"/>
    <mergeCell ref="D275:K275"/>
    <mergeCell ref="L275:T275"/>
    <mergeCell ref="U275:Y275"/>
    <mergeCell ref="Z275:AC275"/>
    <mergeCell ref="A276:C276"/>
    <mergeCell ref="D276:K276"/>
    <mergeCell ref="L276:T276"/>
    <mergeCell ref="U276:Y276"/>
    <mergeCell ref="Z276:AC276"/>
    <mergeCell ref="A273:C273"/>
    <mergeCell ref="D273:K273"/>
    <mergeCell ref="L273:T273"/>
    <mergeCell ref="U273:Y273"/>
    <mergeCell ref="Z273:AC273"/>
    <mergeCell ref="A274:C274"/>
    <mergeCell ref="D274:K274"/>
    <mergeCell ref="L274:T274"/>
    <mergeCell ref="U274:Y274"/>
    <mergeCell ref="Z274:AC274"/>
    <mergeCell ref="A279:C279"/>
    <mergeCell ref="D279:K279"/>
    <mergeCell ref="L279:T279"/>
    <mergeCell ref="U279:Y279"/>
    <mergeCell ref="Z279:AC279"/>
    <mergeCell ref="A280:C280"/>
    <mergeCell ref="D280:K280"/>
    <mergeCell ref="L280:T280"/>
    <mergeCell ref="U280:Y280"/>
    <mergeCell ref="Z280:AC280"/>
    <mergeCell ref="A277:C277"/>
    <mergeCell ref="D277:K277"/>
    <mergeCell ref="L277:T277"/>
    <mergeCell ref="U277:Y277"/>
    <mergeCell ref="Z277:AC277"/>
    <mergeCell ref="A278:C278"/>
    <mergeCell ref="D278:K278"/>
    <mergeCell ref="L278:T278"/>
    <mergeCell ref="U278:Y278"/>
    <mergeCell ref="Z278:AC278"/>
    <mergeCell ref="A283:C283"/>
    <mergeCell ref="D283:K283"/>
    <mergeCell ref="L283:T283"/>
    <mergeCell ref="U283:Y283"/>
    <mergeCell ref="Z283:AC283"/>
    <mergeCell ref="A284:C284"/>
    <mergeCell ref="D284:K284"/>
    <mergeCell ref="L284:T284"/>
    <mergeCell ref="U284:Y284"/>
    <mergeCell ref="Z284:AC284"/>
    <mergeCell ref="A281:C281"/>
    <mergeCell ref="D281:K281"/>
    <mergeCell ref="L281:T281"/>
    <mergeCell ref="U281:Y281"/>
    <mergeCell ref="Z281:AC281"/>
    <mergeCell ref="A282:C282"/>
    <mergeCell ref="D282:K282"/>
    <mergeCell ref="L282:T282"/>
    <mergeCell ref="U282:Y282"/>
    <mergeCell ref="Z282:AC282"/>
    <mergeCell ref="A287:C287"/>
    <mergeCell ref="D287:K287"/>
    <mergeCell ref="L287:T287"/>
    <mergeCell ref="U287:Y287"/>
    <mergeCell ref="Z287:AC287"/>
    <mergeCell ref="A288:C288"/>
    <mergeCell ref="D288:K288"/>
    <mergeCell ref="L288:T288"/>
    <mergeCell ref="U288:Y288"/>
    <mergeCell ref="Z288:AC288"/>
    <mergeCell ref="A285:C285"/>
    <mergeCell ref="D285:K285"/>
    <mergeCell ref="L285:T285"/>
    <mergeCell ref="U285:Y285"/>
    <mergeCell ref="Z285:AC285"/>
    <mergeCell ref="A286:C286"/>
    <mergeCell ref="D286:K286"/>
    <mergeCell ref="L286:T286"/>
    <mergeCell ref="U286:Y286"/>
    <mergeCell ref="Z286:AC286"/>
    <mergeCell ref="A291:C291"/>
    <mergeCell ref="D291:K291"/>
    <mergeCell ref="L291:T291"/>
    <mergeCell ref="U291:Y291"/>
    <mergeCell ref="Z291:AC291"/>
    <mergeCell ref="A292:C292"/>
    <mergeCell ref="D292:K292"/>
    <mergeCell ref="L292:T292"/>
    <mergeCell ref="U292:Y292"/>
    <mergeCell ref="Z292:AC292"/>
    <mergeCell ref="A289:C289"/>
    <mergeCell ref="D289:K289"/>
    <mergeCell ref="L289:T289"/>
    <mergeCell ref="U289:Y289"/>
    <mergeCell ref="Z289:AC289"/>
    <mergeCell ref="A290:C290"/>
    <mergeCell ref="D290:K290"/>
    <mergeCell ref="L290:T290"/>
    <mergeCell ref="U290:Y290"/>
    <mergeCell ref="Z290:AC290"/>
    <mergeCell ref="A295:C295"/>
    <mergeCell ref="D295:K295"/>
    <mergeCell ref="L295:T295"/>
    <mergeCell ref="U295:Y295"/>
    <mergeCell ref="Z295:AC295"/>
    <mergeCell ref="A296:C296"/>
    <mergeCell ref="D296:K296"/>
    <mergeCell ref="L296:T296"/>
    <mergeCell ref="U296:Y296"/>
    <mergeCell ref="Z296:AC296"/>
    <mergeCell ref="A293:C293"/>
    <mergeCell ref="D293:K293"/>
    <mergeCell ref="L293:T293"/>
    <mergeCell ref="U293:Y293"/>
    <mergeCell ref="Z293:AC293"/>
    <mergeCell ref="A294:C294"/>
    <mergeCell ref="D294:K294"/>
    <mergeCell ref="L294:T294"/>
    <mergeCell ref="U294:Y294"/>
    <mergeCell ref="Z294:AC294"/>
    <mergeCell ref="A299:C299"/>
    <mergeCell ref="D299:K299"/>
    <mergeCell ref="L299:T299"/>
    <mergeCell ref="U299:Y299"/>
    <mergeCell ref="Z299:AC299"/>
    <mergeCell ref="A300:C300"/>
    <mergeCell ref="D300:K300"/>
    <mergeCell ref="L300:T300"/>
    <mergeCell ref="U300:Y300"/>
    <mergeCell ref="Z300:AC300"/>
    <mergeCell ref="A297:C297"/>
    <mergeCell ref="D297:K297"/>
    <mergeCell ref="L297:T297"/>
    <mergeCell ref="U297:Y297"/>
    <mergeCell ref="Z297:AC297"/>
    <mergeCell ref="A298:C298"/>
    <mergeCell ref="D298:K298"/>
    <mergeCell ref="L298:T298"/>
    <mergeCell ref="U298:Y298"/>
    <mergeCell ref="Z298:AC298"/>
    <mergeCell ref="A303:C303"/>
    <mergeCell ref="D303:K303"/>
    <mergeCell ref="L303:T303"/>
    <mergeCell ref="U303:Y303"/>
    <mergeCell ref="Z303:AC303"/>
    <mergeCell ref="A304:C304"/>
    <mergeCell ref="D304:K304"/>
    <mergeCell ref="L304:T304"/>
    <mergeCell ref="U304:Y304"/>
    <mergeCell ref="Z304:AC304"/>
    <mergeCell ref="A301:C301"/>
    <mergeCell ref="D301:K301"/>
    <mergeCell ref="L301:T301"/>
    <mergeCell ref="U301:Y301"/>
    <mergeCell ref="Z301:AC301"/>
    <mergeCell ref="A302:C302"/>
    <mergeCell ref="D302:K302"/>
    <mergeCell ref="L302:T302"/>
    <mergeCell ref="U302:Y302"/>
    <mergeCell ref="Z302:AC302"/>
    <mergeCell ref="A307:C307"/>
    <mergeCell ref="D307:K307"/>
    <mergeCell ref="L307:T307"/>
    <mergeCell ref="U307:Y307"/>
    <mergeCell ref="Z307:AC307"/>
    <mergeCell ref="A308:C308"/>
    <mergeCell ref="D308:K308"/>
    <mergeCell ref="L308:T308"/>
    <mergeCell ref="U308:Y308"/>
    <mergeCell ref="Z308:AC308"/>
    <mergeCell ref="A305:C305"/>
    <mergeCell ref="D305:K305"/>
    <mergeCell ref="L305:T305"/>
    <mergeCell ref="U305:Y305"/>
    <mergeCell ref="Z305:AC305"/>
    <mergeCell ref="A306:C306"/>
    <mergeCell ref="D306:K306"/>
    <mergeCell ref="L306:T306"/>
    <mergeCell ref="U306:Y306"/>
    <mergeCell ref="Z306:AC306"/>
    <mergeCell ref="A311:C311"/>
    <mergeCell ref="D311:K311"/>
    <mergeCell ref="L311:T311"/>
    <mergeCell ref="U311:Y311"/>
    <mergeCell ref="Z311:AC311"/>
    <mergeCell ref="A312:C312"/>
    <mergeCell ref="D312:K312"/>
    <mergeCell ref="L312:T312"/>
    <mergeCell ref="U312:Y312"/>
    <mergeCell ref="Z312:AC312"/>
    <mergeCell ref="A309:C309"/>
    <mergeCell ref="D309:K309"/>
    <mergeCell ref="L309:T309"/>
    <mergeCell ref="U309:Y309"/>
    <mergeCell ref="Z309:AC309"/>
    <mergeCell ref="A310:C310"/>
    <mergeCell ref="D310:K310"/>
    <mergeCell ref="L310:T310"/>
    <mergeCell ref="U310:Y310"/>
    <mergeCell ref="Z310:AC310"/>
    <mergeCell ref="A315:C315"/>
    <mergeCell ref="D315:K315"/>
    <mergeCell ref="L315:T315"/>
    <mergeCell ref="U315:Y315"/>
    <mergeCell ref="Z315:AC315"/>
    <mergeCell ref="A316:C316"/>
    <mergeCell ref="D316:K316"/>
    <mergeCell ref="L316:T316"/>
    <mergeCell ref="U316:Y316"/>
    <mergeCell ref="Z316:AC316"/>
    <mergeCell ref="A313:C313"/>
    <mergeCell ref="D313:K313"/>
    <mergeCell ref="L313:T313"/>
    <mergeCell ref="U313:Y313"/>
    <mergeCell ref="Z313:AC313"/>
    <mergeCell ref="A314:C314"/>
    <mergeCell ref="D314:K314"/>
    <mergeCell ref="L314:T314"/>
    <mergeCell ref="U314:Y314"/>
    <mergeCell ref="Z314:AC314"/>
    <mergeCell ref="A319:C319"/>
    <mergeCell ref="D319:K319"/>
    <mergeCell ref="L319:T319"/>
    <mergeCell ref="U319:Y319"/>
    <mergeCell ref="Z319:AC319"/>
    <mergeCell ref="A320:C320"/>
    <mergeCell ref="D320:K320"/>
    <mergeCell ref="L320:T320"/>
    <mergeCell ref="U320:Y320"/>
    <mergeCell ref="Z320:AC320"/>
    <mergeCell ref="A317:C317"/>
    <mergeCell ref="D317:K317"/>
    <mergeCell ref="L317:T317"/>
    <mergeCell ref="U317:Y317"/>
    <mergeCell ref="Z317:AC317"/>
    <mergeCell ref="A318:C318"/>
    <mergeCell ref="D318:K318"/>
    <mergeCell ref="L318:T318"/>
    <mergeCell ref="U318:Y318"/>
    <mergeCell ref="Z318:AC318"/>
    <mergeCell ref="A323:C323"/>
    <mergeCell ref="D323:K323"/>
    <mergeCell ref="L323:T323"/>
    <mergeCell ref="U323:Y323"/>
    <mergeCell ref="Z323:AC323"/>
    <mergeCell ref="A324:C324"/>
    <mergeCell ref="D324:K324"/>
    <mergeCell ref="L324:T324"/>
    <mergeCell ref="U324:Y324"/>
    <mergeCell ref="Z324:AC324"/>
    <mergeCell ref="A321:C321"/>
    <mergeCell ref="D321:K321"/>
    <mergeCell ref="L321:T321"/>
    <mergeCell ref="U321:Y321"/>
    <mergeCell ref="Z321:AC321"/>
    <mergeCell ref="A322:C322"/>
    <mergeCell ref="D322:K322"/>
    <mergeCell ref="L322:T322"/>
    <mergeCell ref="U322:Y322"/>
    <mergeCell ref="Z322:AC322"/>
    <mergeCell ref="A327:C327"/>
    <mergeCell ref="D327:K327"/>
    <mergeCell ref="L327:T327"/>
    <mergeCell ref="U327:Y327"/>
    <mergeCell ref="Z327:AC327"/>
    <mergeCell ref="A328:C328"/>
    <mergeCell ref="D328:K328"/>
    <mergeCell ref="L328:T328"/>
    <mergeCell ref="U328:Y328"/>
    <mergeCell ref="Z328:AC328"/>
    <mergeCell ref="A325:C325"/>
    <mergeCell ref="D325:K325"/>
    <mergeCell ref="L325:T325"/>
    <mergeCell ref="U325:Y325"/>
    <mergeCell ref="Z325:AC325"/>
    <mergeCell ref="A326:C326"/>
    <mergeCell ref="D326:K326"/>
    <mergeCell ref="L326:T326"/>
    <mergeCell ref="U326:Y326"/>
    <mergeCell ref="Z326:AC326"/>
    <mergeCell ref="A331:C331"/>
    <mergeCell ref="D331:K331"/>
    <mergeCell ref="L331:T331"/>
    <mergeCell ref="U331:Y331"/>
    <mergeCell ref="Z331:AC331"/>
    <mergeCell ref="A332:C332"/>
    <mergeCell ref="D332:K332"/>
    <mergeCell ref="L332:T332"/>
    <mergeCell ref="U332:Y332"/>
    <mergeCell ref="Z332:AC332"/>
    <mergeCell ref="A329:C329"/>
    <mergeCell ref="D329:K329"/>
    <mergeCell ref="L329:T329"/>
    <mergeCell ref="U329:Y329"/>
    <mergeCell ref="Z329:AC329"/>
    <mergeCell ref="A330:C330"/>
    <mergeCell ref="D330:K330"/>
    <mergeCell ref="L330:T330"/>
    <mergeCell ref="U330:Y330"/>
    <mergeCell ref="Z330:AC330"/>
    <mergeCell ref="A335:C335"/>
    <mergeCell ref="D335:K335"/>
    <mergeCell ref="L335:T335"/>
    <mergeCell ref="U335:Y335"/>
    <mergeCell ref="Z335:AC335"/>
    <mergeCell ref="A336:C336"/>
    <mergeCell ref="D336:K336"/>
    <mergeCell ref="L336:T336"/>
    <mergeCell ref="U336:Y336"/>
    <mergeCell ref="Z336:AC336"/>
    <mergeCell ref="A333:C333"/>
    <mergeCell ref="D333:K333"/>
    <mergeCell ref="L333:T333"/>
    <mergeCell ref="U333:Y333"/>
    <mergeCell ref="Z333:AC333"/>
    <mergeCell ref="A334:C334"/>
    <mergeCell ref="D334:K334"/>
    <mergeCell ref="L334:T334"/>
    <mergeCell ref="U334:Y334"/>
    <mergeCell ref="Z334:AC334"/>
    <mergeCell ref="A339:C339"/>
    <mergeCell ref="D339:K339"/>
    <mergeCell ref="L339:T339"/>
    <mergeCell ref="U339:Y339"/>
    <mergeCell ref="Z339:AC339"/>
    <mergeCell ref="A340:C340"/>
    <mergeCell ref="D340:K340"/>
    <mergeCell ref="L340:T340"/>
    <mergeCell ref="U340:Y340"/>
    <mergeCell ref="Z340:AC340"/>
    <mergeCell ref="A337:C337"/>
    <mergeCell ref="D337:K337"/>
    <mergeCell ref="L337:T337"/>
    <mergeCell ref="U337:Y337"/>
    <mergeCell ref="Z337:AC337"/>
    <mergeCell ref="A338:C338"/>
    <mergeCell ref="D338:K338"/>
    <mergeCell ref="L338:T338"/>
    <mergeCell ref="U338:Y338"/>
    <mergeCell ref="Z338:AC338"/>
    <mergeCell ref="A343:C343"/>
    <mergeCell ref="D343:K343"/>
    <mergeCell ref="L343:T343"/>
    <mergeCell ref="U343:Y343"/>
    <mergeCell ref="Z343:AC343"/>
    <mergeCell ref="A344:C344"/>
    <mergeCell ref="D344:K344"/>
    <mergeCell ref="L344:T344"/>
    <mergeCell ref="U344:Y344"/>
    <mergeCell ref="Z344:AC344"/>
    <mergeCell ref="A341:C341"/>
    <mergeCell ref="D341:K341"/>
    <mergeCell ref="L341:T341"/>
    <mergeCell ref="U341:Y341"/>
    <mergeCell ref="Z341:AC341"/>
    <mergeCell ref="A342:C342"/>
    <mergeCell ref="D342:K342"/>
    <mergeCell ref="L342:T342"/>
    <mergeCell ref="U342:Y342"/>
    <mergeCell ref="Z342:AC342"/>
    <mergeCell ref="A347:C347"/>
    <mergeCell ref="D347:K347"/>
    <mergeCell ref="L347:T347"/>
    <mergeCell ref="U347:Y347"/>
    <mergeCell ref="Z347:AC347"/>
    <mergeCell ref="A348:C348"/>
    <mergeCell ref="D348:K348"/>
    <mergeCell ref="L348:T348"/>
    <mergeCell ref="U348:Y348"/>
    <mergeCell ref="Z348:AC348"/>
    <mergeCell ref="A345:C345"/>
    <mergeCell ref="D345:K345"/>
    <mergeCell ref="L345:T345"/>
    <mergeCell ref="U345:Y345"/>
    <mergeCell ref="Z345:AC345"/>
    <mergeCell ref="A346:C346"/>
    <mergeCell ref="D346:K346"/>
    <mergeCell ref="L346:T346"/>
    <mergeCell ref="U346:Y346"/>
    <mergeCell ref="Z346:AC346"/>
    <mergeCell ref="A351:C351"/>
    <mergeCell ref="D351:K351"/>
    <mergeCell ref="L351:T351"/>
    <mergeCell ref="U351:Y351"/>
    <mergeCell ref="Z351:AC351"/>
    <mergeCell ref="A352:C352"/>
    <mergeCell ref="D352:K352"/>
    <mergeCell ref="L352:T352"/>
    <mergeCell ref="U352:Y352"/>
    <mergeCell ref="Z352:AC352"/>
    <mergeCell ref="A349:C349"/>
    <mergeCell ref="D349:K349"/>
    <mergeCell ref="L349:T349"/>
    <mergeCell ref="U349:Y349"/>
    <mergeCell ref="Z349:AC349"/>
    <mergeCell ref="A350:C350"/>
    <mergeCell ref="D350:K350"/>
    <mergeCell ref="L350:T350"/>
    <mergeCell ref="U350:Y350"/>
    <mergeCell ref="Z350:AC350"/>
    <mergeCell ref="A355:C355"/>
    <mergeCell ref="D355:K355"/>
    <mergeCell ref="L355:T355"/>
    <mergeCell ref="U355:Y355"/>
    <mergeCell ref="Z355:AC355"/>
    <mergeCell ref="A356:C356"/>
    <mergeCell ref="D356:K356"/>
    <mergeCell ref="L356:T356"/>
    <mergeCell ref="U356:Y356"/>
    <mergeCell ref="Z356:AC356"/>
    <mergeCell ref="A353:C353"/>
    <mergeCell ref="D353:K353"/>
    <mergeCell ref="L353:T353"/>
    <mergeCell ref="U353:Y353"/>
    <mergeCell ref="Z353:AC353"/>
    <mergeCell ref="A354:C354"/>
    <mergeCell ref="D354:K354"/>
    <mergeCell ref="L354:T354"/>
    <mergeCell ref="U354:Y354"/>
    <mergeCell ref="Z354:AC354"/>
    <mergeCell ref="A359:C359"/>
    <mergeCell ref="D359:K359"/>
    <mergeCell ref="L359:T359"/>
    <mergeCell ref="U359:Y359"/>
    <mergeCell ref="Z359:AC359"/>
    <mergeCell ref="A360:C360"/>
    <mergeCell ref="D360:K360"/>
    <mergeCell ref="L360:T360"/>
    <mergeCell ref="U360:Y360"/>
    <mergeCell ref="Z360:AC360"/>
    <mergeCell ref="A357:C357"/>
    <mergeCell ref="D357:K357"/>
    <mergeCell ref="L357:T357"/>
    <mergeCell ref="U357:Y357"/>
    <mergeCell ref="Z357:AC357"/>
    <mergeCell ref="A358:C358"/>
    <mergeCell ref="D358:K358"/>
    <mergeCell ref="L358:T358"/>
    <mergeCell ref="U358:Y358"/>
    <mergeCell ref="Z358:AC358"/>
    <mergeCell ref="A363:C363"/>
    <mergeCell ref="D363:K363"/>
    <mergeCell ref="L363:T363"/>
    <mergeCell ref="U363:Y363"/>
    <mergeCell ref="Z363:AC363"/>
    <mergeCell ref="A364:C364"/>
    <mergeCell ref="D364:K364"/>
    <mergeCell ref="L364:T364"/>
    <mergeCell ref="U364:Y364"/>
    <mergeCell ref="Z364:AC364"/>
    <mergeCell ref="A361:C361"/>
    <mergeCell ref="D361:K361"/>
    <mergeCell ref="L361:T361"/>
    <mergeCell ref="U361:Y361"/>
    <mergeCell ref="Z361:AC361"/>
    <mergeCell ref="A362:C362"/>
    <mergeCell ref="D362:K362"/>
    <mergeCell ref="L362:T362"/>
    <mergeCell ref="U362:Y362"/>
    <mergeCell ref="Z362:AC362"/>
    <mergeCell ref="A367:C367"/>
    <mergeCell ref="D367:K367"/>
    <mergeCell ref="L367:T367"/>
    <mergeCell ref="U367:Y367"/>
    <mergeCell ref="Z367:AC367"/>
    <mergeCell ref="A368:C368"/>
    <mergeCell ref="D368:K368"/>
    <mergeCell ref="L368:T368"/>
    <mergeCell ref="U368:Y368"/>
    <mergeCell ref="Z368:AC368"/>
    <mergeCell ref="A365:C365"/>
    <mergeCell ref="D365:K365"/>
    <mergeCell ref="L365:T365"/>
    <mergeCell ref="U365:Y365"/>
    <mergeCell ref="Z365:AC365"/>
    <mergeCell ref="A366:C366"/>
    <mergeCell ref="D366:K366"/>
    <mergeCell ref="L366:T366"/>
    <mergeCell ref="U366:Y366"/>
    <mergeCell ref="Z366:AC366"/>
    <mergeCell ref="A371:C371"/>
    <mergeCell ref="D371:K371"/>
    <mergeCell ref="L371:T371"/>
    <mergeCell ref="U371:Y371"/>
    <mergeCell ref="Z371:AC371"/>
    <mergeCell ref="A372:C372"/>
    <mergeCell ref="D372:K372"/>
    <mergeCell ref="L372:T372"/>
    <mergeCell ref="U372:Y372"/>
    <mergeCell ref="Z372:AC372"/>
    <mergeCell ref="A369:C369"/>
    <mergeCell ref="D369:K369"/>
    <mergeCell ref="L369:T369"/>
    <mergeCell ref="U369:Y369"/>
    <mergeCell ref="Z369:AC369"/>
    <mergeCell ref="A370:C370"/>
    <mergeCell ref="D370:K370"/>
    <mergeCell ref="L370:T370"/>
    <mergeCell ref="U370:Y370"/>
    <mergeCell ref="Z370:AC370"/>
    <mergeCell ref="A375:C375"/>
    <mergeCell ref="D375:K375"/>
    <mergeCell ref="L375:T375"/>
    <mergeCell ref="U375:Y375"/>
    <mergeCell ref="Z375:AC375"/>
    <mergeCell ref="A376:C376"/>
    <mergeCell ref="D376:K376"/>
    <mergeCell ref="L376:T376"/>
    <mergeCell ref="U376:Y376"/>
    <mergeCell ref="Z376:AC376"/>
    <mergeCell ref="A373:C373"/>
    <mergeCell ref="D373:K373"/>
    <mergeCell ref="L373:T373"/>
    <mergeCell ref="U373:Y373"/>
    <mergeCell ref="Z373:AC373"/>
    <mergeCell ref="A374:C374"/>
    <mergeCell ref="D374:K374"/>
    <mergeCell ref="L374:T374"/>
    <mergeCell ref="U374:Y374"/>
    <mergeCell ref="Z374:AC374"/>
    <mergeCell ref="A379:C379"/>
    <mergeCell ref="D379:K379"/>
    <mergeCell ref="L379:T379"/>
    <mergeCell ref="U379:Y379"/>
    <mergeCell ref="Z379:AC379"/>
    <mergeCell ref="A380:C380"/>
    <mergeCell ref="D380:K380"/>
    <mergeCell ref="L380:T380"/>
    <mergeCell ref="U380:Y380"/>
    <mergeCell ref="Z380:AC380"/>
    <mergeCell ref="A377:C377"/>
    <mergeCell ref="D377:K377"/>
    <mergeCell ref="L377:T377"/>
    <mergeCell ref="U377:Y377"/>
    <mergeCell ref="Z377:AC377"/>
    <mergeCell ref="A378:C378"/>
    <mergeCell ref="D378:K378"/>
    <mergeCell ref="L378:T378"/>
    <mergeCell ref="U378:Y378"/>
    <mergeCell ref="Z378:AC378"/>
    <mergeCell ref="A383:C383"/>
    <mergeCell ref="D383:K383"/>
    <mergeCell ref="L383:T383"/>
    <mergeCell ref="U383:Y383"/>
    <mergeCell ref="Z383:AC383"/>
    <mergeCell ref="A384:C384"/>
    <mergeCell ref="D384:K384"/>
    <mergeCell ref="L384:T384"/>
    <mergeCell ref="U384:Y384"/>
    <mergeCell ref="Z384:AC384"/>
    <mergeCell ref="A381:C381"/>
    <mergeCell ref="D381:K381"/>
    <mergeCell ref="L381:T381"/>
    <mergeCell ref="U381:Y381"/>
    <mergeCell ref="Z381:AC381"/>
    <mergeCell ref="A382:C382"/>
    <mergeCell ref="D382:K382"/>
    <mergeCell ref="L382:T382"/>
    <mergeCell ref="U382:Y382"/>
    <mergeCell ref="Z382:AC382"/>
    <mergeCell ref="A387:C387"/>
    <mergeCell ref="D387:K387"/>
    <mergeCell ref="L387:T387"/>
    <mergeCell ref="U387:Y387"/>
    <mergeCell ref="Z387:AC387"/>
    <mergeCell ref="A388:C388"/>
    <mergeCell ref="D388:K388"/>
    <mergeCell ref="L388:T388"/>
    <mergeCell ref="U388:Y388"/>
    <mergeCell ref="Z388:AC388"/>
    <mergeCell ref="A385:C385"/>
    <mergeCell ref="D385:K385"/>
    <mergeCell ref="L385:T385"/>
    <mergeCell ref="U385:Y385"/>
    <mergeCell ref="Z385:AC385"/>
    <mergeCell ref="A386:C386"/>
    <mergeCell ref="D386:K386"/>
    <mergeCell ref="L386:T386"/>
    <mergeCell ref="U386:Y386"/>
    <mergeCell ref="Z386:AC386"/>
    <mergeCell ref="A391:C391"/>
    <mergeCell ref="D391:K391"/>
    <mergeCell ref="L391:T391"/>
    <mergeCell ref="U391:Y391"/>
    <mergeCell ref="Z391:AC391"/>
    <mergeCell ref="A392:C392"/>
    <mergeCell ref="D392:K392"/>
    <mergeCell ref="L392:T392"/>
    <mergeCell ref="U392:Y392"/>
    <mergeCell ref="Z392:AC392"/>
    <mergeCell ref="A389:C389"/>
    <mergeCell ref="D389:K389"/>
    <mergeCell ref="L389:T389"/>
    <mergeCell ref="U389:Y389"/>
    <mergeCell ref="Z389:AC389"/>
    <mergeCell ref="A390:C390"/>
    <mergeCell ref="D390:K390"/>
    <mergeCell ref="L390:T390"/>
    <mergeCell ref="U390:Y390"/>
    <mergeCell ref="Z390:AC390"/>
    <mergeCell ref="A395:C395"/>
    <mergeCell ref="D395:K395"/>
    <mergeCell ref="L395:T395"/>
    <mergeCell ref="U395:Y395"/>
    <mergeCell ref="Z395:AC395"/>
    <mergeCell ref="A396:C396"/>
    <mergeCell ref="D396:K396"/>
    <mergeCell ref="L396:T396"/>
    <mergeCell ref="U396:Y396"/>
    <mergeCell ref="Z396:AC396"/>
    <mergeCell ref="A393:C393"/>
    <mergeCell ref="D393:K393"/>
    <mergeCell ref="L393:T393"/>
    <mergeCell ref="U393:Y393"/>
    <mergeCell ref="Z393:AC393"/>
    <mergeCell ref="A394:C394"/>
    <mergeCell ref="D394:K394"/>
    <mergeCell ref="L394:T394"/>
    <mergeCell ref="U394:Y394"/>
    <mergeCell ref="Z394:AC394"/>
    <mergeCell ref="A399:C399"/>
    <mergeCell ref="D399:K399"/>
    <mergeCell ref="L399:T399"/>
    <mergeCell ref="U399:Y399"/>
    <mergeCell ref="Z399:AC399"/>
    <mergeCell ref="A400:C400"/>
    <mergeCell ref="D400:K400"/>
    <mergeCell ref="L400:T400"/>
    <mergeCell ref="U400:Y400"/>
    <mergeCell ref="Z400:AC400"/>
    <mergeCell ref="A397:C397"/>
    <mergeCell ref="D397:K397"/>
    <mergeCell ref="L397:T397"/>
    <mergeCell ref="U397:Y397"/>
    <mergeCell ref="Z397:AC397"/>
    <mergeCell ref="A398:C398"/>
    <mergeCell ref="D398:K398"/>
    <mergeCell ref="L398:T398"/>
    <mergeCell ref="U398:Y398"/>
    <mergeCell ref="Z398:AC398"/>
    <mergeCell ref="A403:C403"/>
    <mergeCell ref="D403:K403"/>
    <mergeCell ref="L403:T403"/>
    <mergeCell ref="U403:Y403"/>
    <mergeCell ref="Z403:AC403"/>
    <mergeCell ref="A404:C404"/>
    <mergeCell ref="D404:K404"/>
    <mergeCell ref="L404:T404"/>
    <mergeCell ref="U404:Y404"/>
    <mergeCell ref="Z404:AC404"/>
    <mergeCell ref="A401:C401"/>
    <mergeCell ref="D401:K401"/>
    <mergeCell ref="L401:T401"/>
    <mergeCell ref="U401:Y401"/>
    <mergeCell ref="Z401:AC401"/>
    <mergeCell ref="A402:C402"/>
    <mergeCell ref="D402:K402"/>
    <mergeCell ref="L402:T402"/>
    <mergeCell ref="U402:Y402"/>
    <mergeCell ref="Z402:AC402"/>
    <mergeCell ref="A407:C407"/>
    <mergeCell ref="D407:K407"/>
    <mergeCell ref="L407:T407"/>
    <mergeCell ref="U407:Y407"/>
    <mergeCell ref="Z407:AC407"/>
    <mergeCell ref="A408:C408"/>
    <mergeCell ref="D408:K408"/>
    <mergeCell ref="L408:T408"/>
    <mergeCell ref="U408:Y408"/>
    <mergeCell ref="Z408:AC408"/>
    <mergeCell ref="A405:C405"/>
    <mergeCell ref="D405:K405"/>
    <mergeCell ref="L405:T405"/>
    <mergeCell ref="U405:Y405"/>
    <mergeCell ref="Z405:AC405"/>
    <mergeCell ref="A406:C406"/>
    <mergeCell ref="D406:K406"/>
    <mergeCell ref="L406:T406"/>
    <mergeCell ref="U406:Y406"/>
    <mergeCell ref="Z406:AC406"/>
    <mergeCell ref="A411:C411"/>
    <mergeCell ref="D411:K411"/>
    <mergeCell ref="L411:T411"/>
    <mergeCell ref="U411:Y411"/>
    <mergeCell ref="Z411:AC411"/>
    <mergeCell ref="A412:C412"/>
    <mergeCell ref="D412:K412"/>
    <mergeCell ref="L412:T412"/>
    <mergeCell ref="U412:Y412"/>
    <mergeCell ref="Z412:AC412"/>
    <mergeCell ref="A409:C409"/>
    <mergeCell ref="D409:K409"/>
    <mergeCell ref="L409:T409"/>
    <mergeCell ref="U409:Y409"/>
    <mergeCell ref="Z409:AC409"/>
    <mergeCell ref="A410:C410"/>
    <mergeCell ref="D410:K410"/>
    <mergeCell ref="L410:T410"/>
    <mergeCell ref="U410:Y410"/>
    <mergeCell ref="Z410:AC410"/>
    <mergeCell ref="A415:C415"/>
    <mergeCell ref="D415:K415"/>
    <mergeCell ref="L415:T415"/>
    <mergeCell ref="U415:Y415"/>
    <mergeCell ref="Z415:AC415"/>
    <mergeCell ref="A416:C416"/>
    <mergeCell ref="D416:K416"/>
    <mergeCell ref="L416:T416"/>
    <mergeCell ref="U416:Y416"/>
    <mergeCell ref="Z416:AC416"/>
    <mergeCell ref="A413:C413"/>
    <mergeCell ref="D413:K413"/>
    <mergeCell ref="L413:T413"/>
    <mergeCell ref="U413:Y413"/>
    <mergeCell ref="Z413:AC413"/>
    <mergeCell ref="A414:C414"/>
    <mergeCell ref="D414:K414"/>
    <mergeCell ref="L414:T414"/>
    <mergeCell ref="U414:Y414"/>
    <mergeCell ref="Z414:AC414"/>
    <mergeCell ref="A419:C419"/>
    <mergeCell ref="D419:K419"/>
    <mergeCell ref="L419:T419"/>
    <mergeCell ref="U419:Y419"/>
    <mergeCell ref="Z419:AC419"/>
    <mergeCell ref="A420:C420"/>
    <mergeCell ref="D420:K420"/>
    <mergeCell ref="L420:T420"/>
    <mergeCell ref="U420:Y420"/>
    <mergeCell ref="Z420:AC420"/>
    <mergeCell ref="A417:C417"/>
    <mergeCell ref="D417:K417"/>
    <mergeCell ref="L417:T417"/>
    <mergeCell ref="U417:Y417"/>
    <mergeCell ref="Z417:AC417"/>
    <mergeCell ref="A418:C418"/>
    <mergeCell ref="D418:K418"/>
    <mergeCell ref="L418:T418"/>
    <mergeCell ref="U418:Y418"/>
    <mergeCell ref="Z418:AC418"/>
    <mergeCell ref="A423:C423"/>
    <mergeCell ref="D423:K423"/>
    <mergeCell ref="L423:T423"/>
    <mergeCell ref="U423:Y423"/>
    <mergeCell ref="Z423:AC423"/>
    <mergeCell ref="A424:C424"/>
    <mergeCell ref="D424:K424"/>
    <mergeCell ref="L424:T424"/>
    <mergeCell ref="U424:Y424"/>
    <mergeCell ref="Z424:AC424"/>
    <mergeCell ref="A421:C421"/>
    <mergeCell ref="D421:K421"/>
    <mergeCell ref="L421:T421"/>
    <mergeCell ref="U421:Y421"/>
    <mergeCell ref="Z421:AC421"/>
    <mergeCell ref="A422:C422"/>
    <mergeCell ref="D422:K422"/>
    <mergeCell ref="L422:T422"/>
    <mergeCell ref="U422:Y422"/>
    <mergeCell ref="Z422:AC422"/>
    <mergeCell ref="A427:C427"/>
    <mergeCell ref="D427:K427"/>
    <mergeCell ref="L427:T427"/>
    <mergeCell ref="U427:Y427"/>
    <mergeCell ref="Z427:AC427"/>
    <mergeCell ref="A428:C428"/>
    <mergeCell ref="D428:K428"/>
    <mergeCell ref="L428:T428"/>
    <mergeCell ref="U428:Y428"/>
    <mergeCell ref="Z428:AC428"/>
    <mergeCell ref="A425:C425"/>
    <mergeCell ref="D425:K425"/>
    <mergeCell ref="L425:T425"/>
    <mergeCell ref="U425:Y425"/>
    <mergeCell ref="Z425:AC425"/>
    <mergeCell ref="A426:C426"/>
    <mergeCell ref="D426:K426"/>
    <mergeCell ref="L426:T426"/>
    <mergeCell ref="U426:Y426"/>
    <mergeCell ref="Z426:AC426"/>
    <mergeCell ref="A431:C431"/>
    <mergeCell ref="D431:K431"/>
    <mergeCell ref="L431:T431"/>
    <mergeCell ref="U431:Y431"/>
    <mergeCell ref="Z431:AC431"/>
    <mergeCell ref="A432:C432"/>
    <mergeCell ref="D432:K432"/>
    <mergeCell ref="L432:T432"/>
    <mergeCell ref="U432:Y432"/>
    <mergeCell ref="Z432:AC432"/>
    <mergeCell ref="A429:C429"/>
    <mergeCell ref="D429:K429"/>
    <mergeCell ref="L429:T429"/>
    <mergeCell ref="U429:Y429"/>
    <mergeCell ref="Z429:AC429"/>
    <mergeCell ref="A430:C430"/>
    <mergeCell ref="D430:K430"/>
    <mergeCell ref="L430:T430"/>
    <mergeCell ref="U430:Y430"/>
    <mergeCell ref="Z430:AC430"/>
    <mergeCell ref="A435:C435"/>
    <mergeCell ref="D435:K435"/>
    <mergeCell ref="L435:T435"/>
    <mergeCell ref="U435:Y435"/>
    <mergeCell ref="Z435:AC435"/>
    <mergeCell ref="A436:C436"/>
    <mergeCell ref="D436:K436"/>
    <mergeCell ref="L436:T436"/>
    <mergeCell ref="U436:Y436"/>
    <mergeCell ref="Z436:AC436"/>
    <mergeCell ref="A433:C433"/>
    <mergeCell ref="D433:K433"/>
    <mergeCell ref="L433:T433"/>
    <mergeCell ref="U433:Y433"/>
    <mergeCell ref="Z433:AC433"/>
    <mergeCell ref="A434:C434"/>
    <mergeCell ref="D434:K434"/>
    <mergeCell ref="L434:T434"/>
    <mergeCell ref="U434:Y434"/>
    <mergeCell ref="Z434:AC434"/>
    <mergeCell ref="A439:C439"/>
    <mergeCell ref="D439:K439"/>
    <mergeCell ref="L439:T439"/>
    <mergeCell ref="U439:Y439"/>
    <mergeCell ref="Z439:AC439"/>
    <mergeCell ref="A440:C440"/>
    <mergeCell ref="D440:K440"/>
    <mergeCell ref="L440:T440"/>
    <mergeCell ref="U440:Y440"/>
    <mergeCell ref="Z440:AC440"/>
    <mergeCell ref="A437:C437"/>
    <mergeCell ref="D437:K437"/>
    <mergeCell ref="L437:T437"/>
    <mergeCell ref="U437:Y437"/>
    <mergeCell ref="Z437:AC437"/>
    <mergeCell ref="A438:C438"/>
    <mergeCell ref="D438:K438"/>
    <mergeCell ref="L438:T438"/>
    <mergeCell ref="U438:Y438"/>
    <mergeCell ref="Z438:AC438"/>
    <mergeCell ref="A443:C443"/>
    <mergeCell ref="D443:K443"/>
    <mergeCell ref="L443:T443"/>
    <mergeCell ref="U443:Y443"/>
    <mergeCell ref="Z443:AC443"/>
    <mergeCell ref="A444:C444"/>
    <mergeCell ref="D444:K444"/>
    <mergeCell ref="L444:T444"/>
    <mergeCell ref="U444:Y444"/>
    <mergeCell ref="Z444:AC444"/>
    <mergeCell ref="A441:C441"/>
    <mergeCell ref="D441:K441"/>
    <mergeCell ref="L441:T441"/>
    <mergeCell ref="U441:Y441"/>
    <mergeCell ref="Z441:AC441"/>
    <mergeCell ref="A442:C442"/>
    <mergeCell ref="D442:K442"/>
    <mergeCell ref="L442:T442"/>
    <mergeCell ref="U442:Y442"/>
    <mergeCell ref="Z442:AC442"/>
    <mergeCell ref="A447:C447"/>
    <mergeCell ref="D447:K447"/>
    <mergeCell ref="L447:T447"/>
    <mergeCell ref="U447:Y447"/>
    <mergeCell ref="Z447:AC447"/>
    <mergeCell ref="A448:C448"/>
    <mergeCell ref="D448:K448"/>
    <mergeCell ref="L448:T448"/>
    <mergeCell ref="U448:Y448"/>
    <mergeCell ref="Z448:AC448"/>
    <mergeCell ref="A445:C445"/>
    <mergeCell ref="D445:K445"/>
    <mergeCell ref="L445:T445"/>
    <mergeCell ref="U445:Y445"/>
    <mergeCell ref="Z445:AC445"/>
    <mergeCell ref="A446:C446"/>
    <mergeCell ref="D446:K446"/>
    <mergeCell ref="L446:T446"/>
    <mergeCell ref="U446:Y446"/>
    <mergeCell ref="Z446:AC446"/>
    <mergeCell ref="A451:C451"/>
    <mergeCell ref="D451:K451"/>
    <mergeCell ref="L451:T451"/>
    <mergeCell ref="U451:Y451"/>
    <mergeCell ref="Z451:AC451"/>
    <mergeCell ref="A452:C452"/>
    <mergeCell ref="D452:K452"/>
    <mergeCell ref="L452:T452"/>
    <mergeCell ref="U452:Y452"/>
    <mergeCell ref="Z452:AC452"/>
    <mergeCell ref="A449:C449"/>
    <mergeCell ref="D449:K449"/>
    <mergeCell ref="L449:T449"/>
    <mergeCell ref="U449:Y449"/>
    <mergeCell ref="Z449:AC449"/>
    <mergeCell ref="A450:C450"/>
    <mergeCell ref="D450:K450"/>
    <mergeCell ref="L450:T450"/>
    <mergeCell ref="U450:Y450"/>
    <mergeCell ref="Z450:AC450"/>
    <mergeCell ref="A455:C455"/>
    <mergeCell ref="D455:K455"/>
    <mergeCell ref="L455:T455"/>
    <mergeCell ref="U455:Y455"/>
    <mergeCell ref="Z455:AC455"/>
    <mergeCell ref="A456:C456"/>
    <mergeCell ref="D456:K456"/>
    <mergeCell ref="L456:T456"/>
    <mergeCell ref="U456:Y456"/>
    <mergeCell ref="Z456:AC456"/>
    <mergeCell ref="A453:C453"/>
    <mergeCell ref="D453:K453"/>
    <mergeCell ref="L453:T453"/>
    <mergeCell ref="U453:Y453"/>
    <mergeCell ref="Z453:AC453"/>
    <mergeCell ref="A454:C454"/>
    <mergeCell ref="D454:K454"/>
    <mergeCell ref="L454:T454"/>
    <mergeCell ref="U454:Y454"/>
    <mergeCell ref="Z454:AC454"/>
    <mergeCell ref="A459:C459"/>
    <mergeCell ref="D459:K459"/>
    <mergeCell ref="L459:T459"/>
    <mergeCell ref="U459:Y459"/>
    <mergeCell ref="Z459:AC459"/>
    <mergeCell ref="A460:C460"/>
    <mergeCell ref="D460:K460"/>
    <mergeCell ref="L460:T460"/>
    <mergeCell ref="U460:Y460"/>
    <mergeCell ref="Z460:AC460"/>
    <mergeCell ref="A457:C457"/>
    <mergeCell ref="D457:K457"/>
    <mergeCell ref="L457:T457"/>
    <mergeCell ref="U457:Y457"/>
    <mergeCell ref="Z457:AC457"/>
    <mergeCell ref="A458:C458"/>
    <mergeCell ref="D458:K458"/>
    <mergeCell ref="L458:T458"/>
    <mergeCell ref="U458:Y458"/>
    <mergeCell ref="Z458:AC458"/>
    <mergeCell ref="A463:C463"/>
    <mergeCell ref="D463:K463"/>
    <mergeCell ref="L463:T463"/>
    <mergeCell ref="U463:Y463"/>
    <mergeCell ref="Z463:AC463"/>
    <mergeCell ref="A464:C464"/>
    <mergeCell ref="D464:K464"/>
    <mergeCell ref="L464:T464"/>
    <mergeCell ref="U464:Y464"/>
    <mergeCell ref="Z464:AC464"/>
    <mergeCell ref="A461:C461"/>
    <mergeCell ref="D461:K461"/>
    <mergeCell ref="L461:T461"/>
    <mergeCell ref="U461:Y461"/>
    <mergeCell ref="Z461:AC461"/>
    <mergeCell ref="A462:C462"/>
    <mergeCell ref="D462:K462"/>
    <mergeCell ref="L462:T462"/>
    <mergeCell ref="U462:Y462"/>
    <mergeCell ref="Z462:AC462"/>
    <mergeCell ref="A467:C467"/>
    <mergeCell ref="D467:K467"/>
    <mergeCell ref="L467:T467"/>
    <mergeCell ref="U467:Y467"/>
    <mergeCell ref="Z467:AC467"/>
    <mergeCell ref="A468:C468"/>
    <mergeCell ref="D468:K468"/>
    <mergeCell ref="L468:T468"/>
    <mergeCell ref="U468:Y468"/>
    <mergeCell ref="Z468:AC468"/>
    <mergeCell ref="A465:C465"/>
    <mergeCell ref="D465:K465"/>
    <mergeCell ref="L465:T465"/>
    <mergeCell ref="U465:Y465"/>
    <mergeCell ref="Z465:AC465"/>
    <mergeCell ref="A466:C466"/>
    <mergeCell ref="D466:K466"/>
    <mergeCell ref="L466:T466"/>
    <mergeCell ref="U466:Y466"/>
    <mergeCell ref="Z466:AC466"/>
    <mergeCell ref="A471:C471"/>
    <mergeCell ref="D471:K471"/>
    <mergeCell ref="L471:T471"/>
    <mergeCell ref="U471:Y471"/>
    <mergeCell ref="Z471:AC471"/>
    <mergeCell ref="A472:C472"/>
    <mergeCell ref="D472:K472"/>
    <mergeCell ref="L472:T472"/>
    <mergeCell ref="U472:Y472"/>
    <mergeCell ref="Z472:AC472"/>
    <mergeCell ref="A469:C469"/>
    <mergeCell ref="D469:K469"/>
    <mergeCell ref="L469:T469"/>
    <mergeCell ref="U469:Y469"/>
    <mergeCell ref="Z469:AC469"/>
    <mergeCell ref="A470:C470"/>
    <mergeCell ref="D470:K470"/>
    <mergeCell ref="L470:T470"/>
    <mergeCell ref="U470:Y470"/>
    <mergeCell ref="Z470:AC470"/>
    <mergeCell ref="A475:C475"/>
    <mergeCell ref="D475:K475"/>
    <mergeCell ref="L475:T475"/>
    <mergeCell ref="U475:Y475"/>
    <mergeCell ref="Z475:AC475"/>
    <mergeCell ref="A476:C476"/>
    <mergeCell ref="D476:K476"/>
    <mergeCell ref="L476:T476"/>
    <mergeCell ref="U476:Y476"/>
    <mergeCell ref="Z476:AC476"/>
    <mergeCell ref="A473:C473"/>
    <mergeCell ref="D473:K473"/>
    <mergeCell ref="L473:T473"/>
    <mergeCell ref="U473:Y473"/>
    <mergeCell ref="Z473:AC473"/>
    <mergeCell ref="A474:C474"/>
    <mergeCell ref="D474:K474"/>
    <mergeCell ref="L474:T474"/>
    <mergeCell ref="U474:Y474"/>
    <mergeCell ref="Z474:AC474"/>
    <mergeCell ref="A479:C479"/>
    <mergeCell ref="D479:K479"/>
    <mergeCell ref="L479:T479"/>
    <mergeCell ref="U479:Y479"/>
    <mergeCell ref="Z479:AC479"/>
    <mergeCell ref="A480:C480"/>
    <mergeCell ref="D480:K480"/>
    <mergeCell ref="L480:T480"/>
    <mergeCell ref="U480:Y480"/>
    <mergeCell ref="Z480:AC480"/>
    <mergeCell ref="A477:C477"/>
    <mergeCell ref="D477:K477"/>
    <mergeCell ref="L477:T477"/>
    <mergeCell ref="U477:Y477"/>
    <mergeCell ref="Z477:AC477"/>
    <mergeCell ref="A478:C478"/>
    <mergeCell ref="D478:K478"/>
    <mergeCell ref="L478:T478"/>
    <mergeCell ref="U478:Y478"/>
    <mergeCell ref="Z478:AC478"/>
    <mergeCell ref="A483:C483"/>
    <mergeCell ref="D483:K483"/>
    <mergeCell ref="L483:T483"/>
    <mergeCell ref="U483:Y483"/>
    <mergeCell ref="Z483:AC483"/>
    <mergeCell ref="A484:C484"/>
    <mergeCell ref="D484:K484"/>
    <mergeCell ref="L484:T484"/>
    <mergeCell ref="U484:Y484"/>
    <mergeCell ref="Z484:AC484"/>
    <mergeCell ref="A481:C481"/>
    <mergeCell ref="D481:K481"/>
    <mergeCell ref="L481:T481"/>
    <mergeCell ref="U481:Y481"/>
    <mergeCell ref="Z481:AC481"/>
    <mergeCell ref="A482:C482"/>
    <mergeCell ref="D482:K482"/>
    <mergeCell ref="L482:T482"/>
    <mergeCell ref="U482:Y482"/>
    <mergeCell ref="Z482:AC482"/>
    <mergeCell ref="A487:C487"/>
    <mergeCell ref="D487:K487"/>
    <mergeCell ref="L487:T487"/>
    <mergeCell ref="U487:Y487"/>
    <mergeCell ref="Z487:AC487"/>
    <mergeCell ref="A488:C488"/>
    <mergeCell ref="D488:K488"/>
    <mergeCell ref="L488:T488"/>
    <mergeCell ref="U488:Y488"/>
    <mergeCell ref="Z488:AC488"/>
    <mergeCell ref="A485:C485"/>
    <mergeCell ref="D485:K485"/>
    <mergeCell ref="L485:T485"/>
    <mergeCell ref="U485:Y485"/>
    <mergeCell ref="Z485:AC485"/>
    <mergeCell ref="A486:C486"/>
    <mergeCell ref="D486:K486"/>
    <mergeCell ref="L486:T486"/>
    <mergeCell ref="U486:Y486"/>
    <mergeCell ref="Z486:AC486"/>
    <mergeCell ref="A491:C491"/>
    <mergeCell ref="D491:K491"/>
    <mergeCell ref="L491:T491"/>
    <mergeCell ref="U491:Y491"/>
    <mergeCell ref="Z491:AC491"/>
    <mergeCell ref="A492:C492"/>
    <mergeCell ref="D492:K492"/>
    <mergeCell ref="L492:T492"/>
    <mergeCell ref="U492:Y492"/>
    <mergeCell ref="Z492:AC492"/>
    <mergeCell ref="A489:C489"/>
    <mergeCell ref="D489:K489"/>
    <mergeCell ref="L489:T489"/>
    <mergeCell ref="U489:Y489"/>
    <mergeCell ref="Z489:AC489"/>
    <mergeCell ref="A490:C490"/>
    <mergeCell ref="D490:K490"/>
    <mergeCell ref="L490:T490"/>
    <mergeCell ref="U490:Y490"/>
    <mergeCell ref="Z490:AC490"/>
    <mergeCell ref="A495:C495"/>
    <mergeCell ref="D495:K495"/>
    <mergeCell ref="L495:T495"/>
    <mergeCell ref="U495:Y495"/>
    <mergeCell ref="Z495:AC495"/>
    <mergeCell ref="A496:C496"/>
    <mergeCell ref="D496:K496"/>
    <mergeCell ref="L496:T496"/>
    <mergeCell ref="U496:Y496"/>
    <mergeCell ref="Z496:AC496"/>
    <mergeCell ref="A493:C493"/>
    <mergeCell ref="D493:K493"/>
    <mergeCell ref="L493:T493"/>
    <mergeCell ref="U493:Y493"/>
    <mergeCell ref="Z493:AC493"/>
    <mergeCell ref="A494:C494"/>
    <mergeCell ref="D494:K494"/>
    <mergeCell ref="L494:T494"/>
    <mergeCell ref="U494:Y494"/>
    <mergeCell ref="Z494:AC494"/>
    <mergeCell ref="A499:C499"/>
    <mergeCell ref="D499:K499"/>
    <mergeCell ref="L499:T499"/>
    <mergeCell ref="U499:Y499"/>
    <mergeCell ref="Z499:AC499"/>
    <mergeCell ref="A500:C500"/>
    <mergeCell ref="D500:K500"/>
    <mergeCell ref="L500:T500"/>
    <mergeCell ref="U500:Y500"/>
    <mergeCell ref="Z500:AC500"/>
    <mergeCell ref="A497:C497"/>
    <mergeCell ref="D497:K497"/>
    <mergeCell ref="L497:T497"/>
    <mergeCell ref="U497:Y497"/>
    <mergeCell ref="Z497:AC497"/>
    <mergeCell ref="A498:C498"/>
    <mergeCell ref="D498:K498"/>
    <mergeCell ref="L498:T498"/>
    <mergeCell ref="U498:Y498"/>
    <mergeCell ref="Z498:AC498"/>
  </mergeCells>
  <dataValidations count="1">
    <dataValidation type="list" allowBlank="1" showInputMessage="1" showErrorMessage="1" sqref="D8:K500" xr:uid="{00000000-0002-0000-0600-000000000000}">
      <formula1>Interactions</formula1>
    </dataValidation>
  </dataValidations>
  <pageMargins left="0.7" right="0.7" top="0.75" bottom="0.75" header="0.3" footer="0.3"/>
  <pageSetup scale="68" orientation="landscape" r:id="rId1"/>
  <headerFooter>
    <oddFooter>&amp;LRevised 2/28/19&amp;C&amp;A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249977111117893"/>
    <pageSetUpPr fitToPage="1"/>
  </sheetPr>
  <dimension ref="A1:BF500"/>
  <sheetViews>
    <sheetView zoomScale="80" zoomScaleNormal="80" workbookViewId="0">
      <pane ySplit="7" topLeftCell="A39" activePane="bottomLeft" state="frozen"/>
      <selection activeCell="D19" sqref="D19:K22"/>
      <selection pane="bottomLeft" activeCell="A39" sqref="A39:AC50"/>
    </sheetView>
  </sheetViews>
  <sheetFormatPr defaultRowHeight="15" x14ac:dyDescent="0.25"/>
  <cols>
    <col min="1" max="1" width="7.28515625" customWidth="1"/>
    <col min="2" max="3" width="6.7109375" customWidth="1"/>
    <col min="4" max="9" width="5.7109375" customWidth="1"/>
    <col min="10" max="27" width="6.28515625" customWidth="1"/>
    <col min="28" max="29" width="5.7109375" customWidth="1"/>
    <col min="30" max="30" width="62.7109375" customWidth="1"/>
    <col min="31" max="41" width="5.7109375" customWidth="1"/>
    <col min="51" max="51" width="6" customWidth="1"/>
    <col min="52" max="52" width="9.140625" hidden="1" customWidth="1"/>
    <col min="53" max="53" width="6.28515625" hidden="1" customWidth="1"/>
    <col min="54" max="54" width="9.140625" hidden="1" customWidth="1"/>
    <col min="55" max="55" width="6.85546875" hidden="1" customWidth="1"/>
    <col min="56" max="56" width="8.7109375" hidden="1" customWidth="1"/>
    <col min="57" max="57" width="9.140625" hidden="1" customWidth="1"/>
    <col min="58" max="58" width="10.85546875" hidden="1" customWidth="1"/>
    <col min="59" max="59" width="40.7109375" customWidth="1"/>
    <col min="60" max="60" width="60.7109375" customWidth="1"/>
  </cols>
  <sheetData>
    <row r="1" spans="1:30" ht="18.75" customHeight="1" x14ac:dyDescent="0.25">
      <c r="A1" s="365" t="s">
        <v>106</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177"/>
    </row>
    <row r="2" spans="1:30" x14ac:dyDescent="0.25">
      <c r="A2" s="365"/>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177"/>
    </row>
    <row r="3" spans="1:30" x14ac:dyDescent="0.25">
      <c r="A3" s="366" t="s">
        <v>107</v>
      </c>
      <c r="B3" s="367"/>
      <c r="C3" s="367"/>
      <c r="D3" s="367"/>
      <c r="E3" s="367"/>
      <c r="F3" s="368"/>
      <c r="G3" s="436" t="str">
        <f>Setup!G3</f>
        <v>Expanded School Mental Health</v>
      </c>
      <c r="H3" s="437"/>
      <c r="I3" s="437"/>
      <c r="J3" s="437"/>
      <c r="K3" s="437"/>
      <c r="L3" s="437"/>
      <c r="M3" s="437"/>
      <c r="N3" s="437"/>
      <c r="O3" s="437"/>
      <c r="P3" s="438"/>
      <c r="Q3" s="157"/>
      <c r="R3" s="366" t="s">
        <v>109</v>
      </c>
      <c r="S3" s="367"/>
      <c r="T3" s="368"/>
      <c r="U3" s="439">
        <f>Setup!U3</f>
        <v>0</v>
      </c>
      <c r="V3" s="439"/>
      <c r="W3" s="439"/>
      <c r="X3" s="439"/>
      <c r="Y3" s="439"/>
      <c r="Z3" s="439"/>
      <c r="AA3" s="439"/>
      <c r="AB3" s="439"/>
      <c r="AC3" s="439"/>
      <c r="AD3" s="177"/>
    </row>
    <row r="4" spans="1:30" x14ac:dyDescent="0.25">
      <c r="A4" s="366" t="s">
        <v>110</v>
      </c>
      <c r="B4" s="367"/>
      <c r="C4" s="367"/>
      <c r="D4" s="367"/>
      <c r="E4" s="367"/>
      <c r="F4" s="368"/>
      <c r="G4" s="440">
        <f>Setup!G4</f>
        <v>0</v>
      </c>
      <c r="H4" s="441"/>
      <c r="I4" s="441"/>
      <c r="J4" s="441"/>
      <c r="K4" s="441"/>
      <c r="L4" s="441"/>
      <c r="M4" s="441"/>
      <c r="N4" s="441"/>
      <c r="O4" s="441"/>
      <c r="P4" s="442"/>
      <c r="Q4" s="157"/>
      <c r="R4" s="366" t="s">
        <v>114</v>
      </c>
      <c r="S4" s="367"/>
      <c r="T4" s="368"/>
      <c r="U4" s="440">
        <f>Setup!U6</f>
        <v>0</v>
      </c>
      <c r="V4" s="441"/>
      <c r="W4" s="441"/>
      <c r="X4" s="441"/>
      <c r="Y4" s="441"/>
      <c r="Z4" s="441"/>
      <c r="AA4" s="441"/>
      <c r="AB4" s="441"/>
      <c r="AC4" s="442"/>
      <c r="AD4" s="177"/>
    </row>
    <row r="5" spans="1:30" ht="30" customHeight="1" x14ac:dyDescent="0.25">
      <c r="A5" s="355" t="s">
        <v>115</v>
      </c>
      <c r="B5" s="356"/>
      <c r="C5" s="356"/>
      <c r="D5" s="356"/>
      <c r="E5" s="356"/>
      <c r="F5" s="357"/>
      <c r="G5" s="420">
        <f>Setup!G7</f>
        <v>0</v>
      </c>
      <c r="H5" s="421"/>
      <c r="I5" s="421"/>
      <c r="J5" s="421"/>
      <c r="K5" s="422"/>
      <c r="L5" s="420">
        <f>Setup!L7</f>
        <v>0</v>
      </c>
      <c r="M5" s="421"/>
      <c r="N5" s="421"/>
      <c r="O5" s="421"/>
      <c r="P5" s="422"/>
      <c r="Q5" s="157"/>
      <c r="R5" s="343" t="s">
        <v>118</v>
      </c>
      <c r="S5" s="344"/>
      <c r="T5" s="345"/>
      <c r="U5" s="426">
        <f>Setup!U7</f>
        <v>0</v>
      </c>
      <c r="V5" s="427"/>
      <c r="W5" s="427"/>
      <c r="X5" s="427"/>
      <c r="Y5" s="427"/>
      <c r="Z5" s="427"/>
      <c r="AA5" s="427"/>
      <c r="AB5" s="427"/>
      <c r="AC5" s="428"/>
      <c r="AD5" s="177"/>
    </row>
    <row r="6" spans="1:30" ht="18.75" customHeight="1" x14ac:dyDescent="0.25">
      <c r="A6" s="607" t="s">
        <v>119</v>
      </c>
      <c r="B6" s="608"/>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9"/>
      <c r="AD6" s="177"/>
    </row>
    <row r="7" spans="1:30" x14ac:dyDescent="0.25">
      <c r="A7" s="629" t="s">
        <v>178</v>
      </c>
      <c r="B7" s="629"/>
      <c r="C7" s="629"/>
      <c r="D7" s="630" t="s">
        <v>511</v>
      </c>
      <c r="E7" s="630"/>
      <c r="F7" s="630"/>
      <c r="G7" s="630"/>
      <c r="H7" s="630"/>
      <c r="I7" s="630"/>
      <c r="J7" s="630"/>
      <c r="K7" s="630"/>
      <c r="L7" s="631" t="s">
        <v>512</v>
      </c>
      <c r="M7" s="631"/>
      <c r="N7" s="631"/>
      <c r="O7" s="631"/>
      <c r="P7" s="631"/>
      <c r="Q7" s="631"/>
      <c r="R7" s="631"/>
      <c r="S7" s="631"/>
      <c r="T7" s="631"/>
      <c r="U7" s="632" t="s">
        <v>513</v>
      </c>
      <c r="V7" s="633"/>
      <c r="W7" s="633"/>
      <c r="X7" s="633"/>
      <c r="Y7" s="634"/>
      <c r="Z7" s="623" t="s">
        <v>514</v>
      </c>
      <c r="AA7" s="623"/>
      <c r="AB7" s="623"/>
      <c r="AC7" s="623"/>
      <c r="AD7" s="285" t="s">
        <v>255</v>
      </c>
    </row>
    <row r="8" spans="1:30" x14ac:dyDescent="0.25">
      <c r="A8" s="443">
        <v>44014</v>
      </c>
      <c r="B8" s="443"/>
      <c r="C8" s="443"/>
      <c r="D8" s="330" t="s">
        <v>518</v>
      </c>
      <c r="E8" s="330"/>
      <c r="F8" s="330"/>
      <c r="G8" s="330"/>
      <c r="H8" s="330"/>
      <c r="I8" s="330"/>
      <c r="J8" s="330"/>
      <c r="K8" s="330"/>
      <c r="L8" s="330" t="s">
        <v>519</v>
      </c>
      <c r="M8" s="330"/>
      <c r="N8" s="330"/>
      <c r="O8" s="330"/>
      <c r="P8" s="330"/>
      <c r="Q8" s="330"/>
      <c r="R8" s="330"/>
      <c r="S8" s="330"/>
      <c r="T8" s="330"/>
      <c r="U8" s="330">
        <v>4</v>
      </c>
      <c r="V8" s="330"/>
      <c r="W8" s="330"/>
      <c r="X8" s="330"/>
      <c r="Y8" s="330"/>
      <c r="Z8" s="619">
        <v>180</v>
      </c>
      <c r="AA8" s="619"/>
      <c r="AB8" s="619"/>
      <c r="AC8" s="619"/>
      <c r="AD8" s="60"/>
    </row>
    <row r="9" spans="1:30" x14ac:dyDescent="0.25">
      <c r="A9" s="443">
        <v>44021</v>
      </c>
      <c r="B9" s="443"/>
      <c r="C9" s="443"/>
      <c r="D9" s="330" t="s">
        <v>518</v>
      </c>
      <c r="E9" s="330"/>
      <c r="F9" s="330"/>
      <c r="G9" s="330"/>
      <c r="H9" s="330"/>
      <c r="I9" s="330"/>
      <c r="J9" s="330"/>
      <c r="K9" s="330"/>
      <c r="L9" s="330" t="s">
        <v>519</v>
      </c>
      <c r="M9" s="330"/>
      <c r="N9" s="330"/>
      <c r="O9" s="330"/>
      <c r="P9" s="330"/>
      <c r="Q9" s="330"/>
      <c r="R9" s="330"/>
      <c r="S9" s="330"/>
      <c r="T9" s="330"/>
      <c r="U9" s="330">
        <v>4</v>
      </c>
      <c r="V9" s="330"/>
      <c r="W9" s="330"/>
      <c r="X9" s="330"/>
      <c r="Y9" s="330"/>
      <c r="Z9" s="619">
        <v>180</v>
      </c>
      <c r="AA9" s="619"/>
      <c r="AB9" s="619"/>
      <c r="AC9" s="619"/>
      <c r="AD9" s="60"/>
    </row>
    <row r="10" spans="1:30" x14ac:dyDescent="0.25">
      <c r="A10" s="443">
        <v>44028</v>
      </c>
      <c r="B10" s="443"/>
      <c r="C10" s="443"/>
      <c r="D10" s="330" t="s">
        <v>518</v>
      </c>
      <c r="E10" s="330"/>
      <c r="F10" s="330"/>
      <c r="G10" s="330"/>
      <c r="H10" s="330"/>
      <c r="I10" s="330"/>
      <c r="J10" s="330"/>
      <c r="K10" s="330"/>
      <c r="L10" s="330" t="s">
        <v>519</v>
      </c>
      <c r="M10" s="330"/>
      <c r="N10" s="330"/>
      <c r="O10" s="330"/>
      <c r="P10" s="330"/>
      <c r="Q10" s="330"/>
      <c r="R10" s="330"/>
      <c r="S10" s="330"/>
      <c r="T10" s="330"/>
      <c r="U10" s="330">
        <v>4</v>
      </c>
      <c r="V10" s="330"/>
      <c r="W10" s="330"/>
      <c r="X10" s="330"/>
      <c r="Y10" s="330"/>
      <c r="Z10" s="619">
        <v>180</v>
      </c>
      <c r="AA10" s="619"/>
      <c r="AB10" s="619"/>
      <c r="AC10" s="619"/>
      <c r="AD10" s="60"/>
    </row>
    <row r="11" spans="1:30" x14ac:dyDescent="0.25">
      <c r="A11" s="443">
        <v>44035</v>
      </c>
      <c r="B11" s="443"/>
      <c r="C11" s="443"/>
      <c r="D11" s="330" t="s">
        <v>518</v>
      </c>
      <c r="E11" s="330"/>
      <c r="F11" s="330"/>
      <c r="G11" s="330"/>
      <c r="H11" s="330"/>
      <c r="I11" s="330"/>
      <c r="J11" s="330"/>
      <c r="K11" s="330"/>
      <c r="L11" s="330" t="s">
        <v>519</v>
      </c>
      <c r="M11" s="330"/>
      <c r="N11" s="330"/>
      <c r="O11" s="330"/>
      <c r="P11" s="330"/>
      <c r="Q11" s="330"/>
      <c r="R11" s="330"/>
      <c r="S11" s="330"/>
      <c r="T11" s="330"/>
      <c r="U11" s="330">
        <v>4</v>
      </c>
      <c r="V11" s="330"/>
      <c r="W11" s="330"/>
      <c r="X11" s="330"/>
      <c r="Y11" s="330"/>
      <c r="Z11" s="619">
        <v>180</v>
      </c>
      <c r="AA11" s="619"/>
      <c r="AB11" s="619"/>
      <c r="AC11" s="619"/>
      <c r="AD11" s="60"/>
    </row>
    <row r="12" spans="1:30" x14ac:dyDescent="0.25">
      <c r="A12" s="443">
        <v>44042</v>
      </c>
      <c r="B12" s="443"/>
      <c r="C12" s="443"/>
      <c r="D12" s="330" t="s">
        <v>518</v>
      </c>
      <c r="E12" s="330"/>
      <c r="F12" s="330"/>
      <c r="G12" s="330"/>
      <c r="H12" s="330"/>
      <c r="I12" s="330"/>
      <c r="J12" s="330"/>
      <c r="K12" s="330"/>
      <c r="L12" s="330" t="s">
        <v>519</v>
      </c>
      <c r="M12" s="330"/>
      <c r="N12" s="330"/>
      <c r="O12" s="330"/>
      <c r="P12" s="330"/>
      <c r="Q12" s="330"/>
      <c r="R12" s="330"/>
      <c r="S12" s="330"/>
      <c r="T12" s="330"/>
      <c r="U12" s="330">
        <v>4</v>
      </c>
      <c r="V12" s="330"/>
      <c r="W12" s="330"/>
      <c r="X12" s="330"/>
      <c r="Y12" s="330"/>
      <c r="Z12" s="619">
        <v>180</v>
      </c>
      <c r="AA12" s="619"/>
      <c r="AB12" s="619"/>
      <c r="AC12" s="619"/>
      <c r="AD12" s="60"/>
    </row>
    <row r="13" spans="1:30" x14ac:dyDescent="0.25">
      <c r="A13" s="443">
        <v>44049</v>
      </c>
      <c r="B13" s="443"/>
      <c r="C13" s="443"/>
      <c r="D13" s="330" t="s">
        <v>518</v>
      </c>
      <c r="E13" s="330" t="s">
        <v>518</v>
      </c>
      <c r="F13" s="330" t="s">
        <v>518</v>
      </c>
      <c r="G13" s="330" t="s">
        <v>518</v>
      </c>
      <c r="H13" s="330" t="s">
        <v>518</v>
      </c>
      <c r="I13" s="330" t="s">
        <v>518</v>
      </c>
      <c r="J13" s="330" t="s">
        <v>518</v>
      </c>
      <c r="K13" s="330" t="s">
        <v>518</v>
      </c>
      <c r="L13" s="330" t="s">
        <v>519</v>
      </c>
      <c r="M13" s="330"/>
      <c r="N13" s="330"/>
      <c r="O13" s="330"/>
      <c r="P13" s="330"/>
      <c r="Q13" s="330"/>
      <c r="R13" s="330"/>
      <c r="S13" s="330"/>
      <c r="T13" s="330"/>
      <c r="U13" s="330">
        <v>4</v>
      </c>
      <c r="V13" s="330"/>
      <c r="W13" s="330"/>
      <c r="X13" s="330"/>
      <c r="Y13" s="330"/>
      <c r="Z13" s="619">
        <v>180</v>
      </c>
      <c r="AA13" s="619"/>
      <c r="AB13" s="619"/>
      <c r="AC13" s="619"/>
      <c r="AD13" s="60"/>
    </row>
    <row r="14" spans="1:30" x14ac:dyDescent="0.25">
      <c r="A14" s="443">
        <v>44056</v>
      </c>
      <c r="B14" s="443"/>
      <c r="C14" s="443"/>
      <c r="D14" s="330" t="s">
        <v>518</v>
      </c>
      <c r="E14" s="330" t="s">
        <v>518</v>
      </c>
      <c r="F14" s="330" t="s">
        <v>518</v>
      </c>
      <c r="G14" s="330" t="s">
        <v>518</v>
      </c>
      <c r="H14" s="330" t="s">
        <v>518</v>
      </c>
      <c r="I14" s="330" t="s">
        <v>518</v>
      </c>
      <c r="J14" s="330" t="s">
        <v>518</v>
      </c>
      <c r="K14" s="330" t="s">
        <v>518</v>
      </c>
      <c r="L14" s="330" t="s">
        <v>519</v>
      </c>
      <c r="M14" s="330"/>
      <c r="N14" s="330"/>
      <c r="O14" s="330"/>
      <c r="P14" s="330"/>
      <c r="Q14" s="330"/>
      <c r="R14" s="330"/>
      <c r="S14" s="330"/>
      <c r="T14" s="330"/>
      <c r="U14" s="330">
        <v>4</v>
      </c>
      <c r="V14" s="330"/>
      <c r="W14" s="330"/>
      <c r="X14" s="330"/>
      <c r="Y14" s="330"/>
      <c r="Z14" s="619">
        <v>180</v>
      </c>
      <c r="AA14" s="619"/>
      <c r="AB14" s="619"/>
      <c r="AC14" s="619"/>
      <c r="AD14" s="60"/>
    </row>
    <row r="15" spans="1:30" x14ac:dyDescent="0.25">
      <c r="A15" s="443">
        <v>44063</v>
      </c>
      <c r="B15" s="443"/>
      <c r="C15" s="443"/>
      <c r="D15" s="330" t="s">
        <v>518</v>
      </c>
      <c r="E15" s="330" t="s">
        <v>518</v>
      </c>
      <c r="F15" s="330" t="s">
        <v>518</v>
      </c>
      <c r="G15" s="330" t="s">
        <v>518</v>
      </c>
      <c r="H15" s="330" t="s">
        <v>518</v>
      </c>
      <c r="I15" s="330" t="s">
        <v>518</v>
      </c>
      <c r="J15" s="330" t="s">
        <v>518</v>
      </c>
      <c r="K15" s="330" t="s">
        <v>518</v>
      </c>
      <c r="L15" s="330" t="s">
        <v>519</v>
      </c>
      <c r="M15" s="330"/>
      <c r="N15" s="330"/>
      <c r="O15" s="330"/>
      <c r="P15" s="330"/>
      <c r="Q15" s="330"/>
      <c r="R15" s="330"/>
      <c r="S15" s="330"/>
      <c r="T15" s="330"/>
      <c r="U15" s="330">
        <v>4</v>
      </c>
      <c r="V15" s="330"/>
      <c r="W15" s="330"/>
      <c r="X15" s="330"/>
      <c r="Y15" s="330"/>
      <c r="Z15" s="619">
        <v>180</v>
      </c>
      <c r="AA15" s="619"/>
      <c r="AB15" s="619"/>
      <c r="AC15" s="619"/>
      <c r="AD15" s="60"/>
    </row>
    <row r="16" spans="1:30" x14ac:dyDescent="0.25">
      <c r="A16" s="443">
        <v>44070</v>
      </c>
      <c r="B16" s="443"/>
      <c r="C16" s="443"/>
      <c r="D16" s="330" t="s">
        <v>518</v>
      </c>
      <c r="E16" s="330" t="s">
        <v>518</v>
      </c>
      <c r="F16" s="330" t="s">
        <v>518</v>
      </c>
      <c r="G16" s="330" t="s">
        <v>518</v>
      </c>
      <c r="H16" s="330" t="s">
        <v>518</v>
      </c>
      <c r="I16" s="330" t="s">
        <v>518</v>
      </c>
      <c r="J16" s="330" t="s">
        <v>518</v>
      </c>
      <c r="K16" s="330" t="s">
        <v>518</v>
      </c>
      <c r="L16" s="330" t="s">
        <v>519</v>
      </c>
      <c r="M16" s="330"/>
      <c r="N16" s="330"/>
      <c r="O16" s="330"/>
      <c r="P16" s="330"/>
      <c r="Q16" s="330"/>
      <c r="R16" s="330"/>
      <c r="S16" s="330"/>
      <c r="T16" s="330"/>
      <c r="U16" s="330">
        <v>4</v>
      </c>
      <c r="V16" s="330"/>
      <c r="W16" s="330"/>
      <c r="X16" s="330"/>
      <c r="Y16" s="330"/>
      <c r="Z16" s="619">
        <v>180</v>
      </c>
      <c r="AA16" s="619"/>
      <c r="AB16" s="619"/>
      <c r="AC16" s="619"/>
      <c r="AD16" s="60"/>
    </row>
    <row r="17" spans="1:30" x14ac:dyDescent="0.25">
      <c r="A17" s="443">
        <v>44076</v>
      </c>
      <c r="B17" s="443"/>
      <c r="C17" s="443"/>
      <c r="D17" s="330" t="s">
        <v>518</v>
      </c>
      <c r="E17" s="330"/>
      <c r="F17" s="330"/>
      <c r="G17" s="330"/>
      <c r="H17" s="330"/>
      <c r="I17" s="330"/>
      <c r="J17" s="330"/>
      <c r="K17" s="330"/>
      <c r="L17" s="330" t="s">
        <v>519</v>
      </c>
      <c r="M17" s="330"/>
      <c r="N17" s="330"/>
      <c r="O17" s="330"/>
      <c r="P17" s="330"/>
      <c r="Q17" s="330"/>
      <c r="R17" s="330"/>
      <c r="S17" s="330"/>
      <c r="T17" s="330"/>
      <c r="U17" s="330">
        <v>4</v>
      </c>
      <c r="V17" s="330"/>
      <c r="W17" s="330"/>
      <c r="X17" s="330"/>
      <c r="Y17" s="330"/>
      <c r="Z17" s="619">
        <v>180</v>
      </c>
      <c r="AA17" s="619"/>
      <c r="AB17" s="619"/>
      <c r="AC17" s="619"/>
      <c r="AD17" s="60"/>
    </row>
    <row r="18" spans="1:30" x14ac:dyDescent="0.25">
      <c r="A18" s="443">
        <v>44083</v>
      </c>
      <c r="B18" s="443"/>
      <c r="C18" s="443"/>
      <c r="D18" s="330" t="s">
        <v>518</v>
      </c>
      <c r="E18" s="330"/>
      <c r="F18" s="330"/>
      <c r="G18" s="330"/>
      <c r="H18" s="330"/>
      <c r="I18" s="330"/>
      <c r="J18" s="330"/>
      <c r="K18" s="330"/>
      <c r="L18" s="330" t="s">
        <v>519</v>
      </c>
      <c r="M18" s="330"/>
      <c r="N18" s="330"/>
      <c r="O18" s="330"/>
      <c r="P18" s="330"/>
      <c r="Q18" s="330"/>
      <c r="R18" s="330"/>
      <c r="S18" s="330"/>
      <c r="T18" s="330"/>
      <c r="U18" s="330">
        <v>4</v>
      </c>
      <c r="V18" s="330"/>
      <c r="W18" s="330"/>
      <c r="X18" s="330"/>
      <c r="Y18" s="330"/>
      <c r="Z18" s="619">
        <v>180</v>
      </c>
      <c r="AA18" s="619"/>
      <c r="AB18" s="619"/>
      <c r="AC18" s="619"/>
      <c r="AD18" s="60"/>
    </row>
    <row r="19" spans="1:30" x14ac:dyDescent="0.25">
      <c r="A19" s="443">
        <v>44090</v>
      </c>
      <c r="B19" s="443"/>
      <c r="C19" s="443"/>
      <c r="D19" s="330" t="s">
        <v>518</v>
      </c>
      <c r="E19" s="330"/>
      <c r="F19" s="330"/>
      <c r="G19" s="330"/>
      <c r="H19" s="330"/>
      <c r="I19" s="330"/>
      <c r="J19" s="330"/>
      <c r="K19" s="330"/>
      <c r="L19" s="330" t="s">
        <v>519</v>
      </c>
      <c r="M19" s="330"/>
      <c r="N19" s="330"/>
      <c r="O19" s="330"/>
      <c r="P19" s="330"/>
      <c r="Q19" s="330"/>
      <c r="R19" s="330"/>
      <c r="S19" s="330"/>
      <c r="T19" s="330"/>
      <c r="U19" s="330">
        <v>4</v>
      </c>
      <c r="V19" s="330"/>
      <c r="W19" s="330"/>
      <c r="X19" s="330"/>
      <c r="Y19" s="330"/>
      <c r="Z19" s="619">
        <v>180</v>
      </c>
      <c r="AA19" s="619"/>
      <c r="AB19" s="619"/>
      <c r="AC19" s="619"/>
      <c r="AD19" s="60"/>
    </row>
    <row r="20" spans="1:30" x14ac:dyDescent="0.25">
      <c r="A20" s="443">
        <v>44097</v>
      </c>
      <c r="B20" s="443"/>
      <c r="C20" s="443"/>
      <c r="D20" s="330" t="s">
        <v>518</v>
      </c>
      <c r="E20" s="330"/>
      <c r="F20" s="330"/>
      <c r="G20" s="330"/>
      <c r="H20" s="330"/>
      <c r="I20" s="330"/>
      <c r="J20" s="330"/>
      <c r="K20" s="330"/>
      <c r="L20" s="330" t="s">
        <v>519</v>
      </c>
      <c r="M20" s="330"/>
      <c r="N20" s="330"/>
      <c r="O20" s="330"/>
      <c r="P20" s="330"/>
      <c r="Q20" s="330"/>
      <c r="R20" s="330"/>
      <c r="S20" s="330"/>
      <c r="T20" s="330"/>
      <c r="U20" s="330">
        <v>4</v>
      </c>
      <c r="V20" s="330"/>
      <c r="W20" s="330"/>
      <c r="X20" s="330"/>
      <c r="Y20" s="330"/>
      <c r="Z20" s="619">
        <v>180</v>
      </c>
      <c r="AA20" s="619"/>
      <c r="AB20" s="619"/>
      <c r="AC20" s="619"/>
      <c r="AD20" s="60"/>
    </row>
    <row r="21" spans="1:30" x14ac:dyDescent="0.25">
      <c r="A21" s="443">
        <v>44104</v>
      </c>
      <c r="B21" s="443"/>
      <c r="C21" s="443"/>
      <c r="D21" s="330" t="s">
        <v>518</v>
      </c>
      <c r="E21" s="330"/>
      <c r="F21" s="330"/>
      <c r="G21" s="330"/>
      <c r="H21" s="330"/>
      <c r="I21" s="330"/>
      <c r="J21" s="330"/>
      <c r="K21" s="330"/>
      <c r="L21" s="330" t="s">
        <v>519</v>
      </c>
      <c r="M21" s="330"/>
      <c r="N21" s="330"/>
      <c r="O21" s="330"/>
      <c r="P21" s="330"/>
      <c r="Q21" s="330"/>
      <c r="R21" s="330"/>
      <c r="S21" s="330"/>
      <c r="T21" s="330"/>
      <c r="U21" s="330">
        <v>4</v>
      </c>
      <c r="V21" s="330"/>
      <c r="W21" s="330"/>
      <c r="X21" s="330"/>
      <c r="Y21" s="330"/>
      <c r="Z21" s="619">
        <v>180</v>
      </c>
      <c r="AA21" s="619"/>
      <c r="AB21" s="619"/>
      <c r="AC21" s="619"/>
      <c r="AD21" s="60"/>
    </row>
    <row r="22" spans="1:30" x14ac:dyDescent="0.25">
      <c r="A22" s="443">
        <v>44125</v>
      </c>
      <c r="B22" s="443"/>
      <c r="C22" s="443"/>
      <c r="D22" s="330" t="s">
        <v>520</v>
      </c>
      <c r="E22" s="330"/>
      <c r="F22" s="330"/>
      <c r="G22" s="330"/>
      <c r="H22" s="330"/>
      <c r="I22" s="330"/>
      <c r="J22" s="330"/>
      <c r="K22" s="330"/>
      <c r="L22" s="330" t="s">
        <v>521</v>
      </c>
      <c r="M22" s="330"/>
      <c r="N22" s="330"/>
      <c r="O22" s="330"/>
      <c r="P22" s="330"/>
      <c r="Q22" s="330"/>
      <c r="R22" s="330"/>
      <c r="S22" s="330"/>
      <c r="T22" s="330"/>
      <c r="U22" s="330">
        <v>10</v>
      </c>
      <c r="V22" s="330"/>
      <c r="W22" s="330"/>
      <c r="X22" s="330"/>
      <c r="Y22" s="330"/>
      <c r="Z22" s="619">
        <v>120</v>
      </c>
      <c r="AA22" s="619"/>
      <c r="AB22" s="619"/>
      <c r="AC22" s="619"/>
      <c r="AD22" s="60" t="s">
        <v>522</v>
      </c>
    </row>
    <row r="23" spans="1:30" x14ac:dyDescent="0.25">
      <c r="A23" s="443">
        <v>44133</v>
      </c>
      <c r="B23" s="443"/>
      <c r="C23" s="443"/>
      <c r="D23" s="330" t="s">
        <v>520</v>
      </c>
      <c r="E23" s="330"/>
      <c r="F23" s="330"/>
      <c r="G23" s="330"/>
      <c r="H23" s="330"/>
      <c r="I23" s="330"/>
      <c r="J23" s="330"/>
      <c r="K23" s="330"/>
      <c r="L23" s="330" t="s">
        <v>523</v>
      </c>
      <c r="M23" s="330"/>
      <c r="N23" s="330"/>
      <c r="O23" s="330"/>
      <c r="P23" s="330"/>
      <c r="Q23" s="330"/>
      <c r="R23" s="330"/>
      <c r="S23" s="330"/>
      <c r="T23" s="330"/>
      <c r="U23" s="330">
        <v>2</v>
      </c>
      <c r="V23" s="330"/>
      <c r="W23" s="330"/>
      <c r="X23" s="330"/>
      <c r="Y23" s="330"/>
      <c r="Z23" s="619">
        <v>120</v>
      </c>
      <c r="AA23" s="619"/>
      <c r="AB23" s="619"/>
      <c r="AC23" s="619"/>
      <c r="AD23" s="60" t="s">
        <v>524</v>
      </c>
    </row>
    <row r="24" spans="1:30" x14ac:dyDescent="0.25">
      <c r="A24" s="443">
        <v>44111</v>
      </c>
      <c r="B24" s="443"/>
      <c r="C24" s="443"/>
      <c r="D24" s="330" t="s">
        <v>518</v>
      </c>
      <c r="E24" s="330"/>
      <c r="F24" s="330"/>
      <c r="G24" s="330"/>
      <c r="H24" s="330"/>
      <c r="I24" s="330"/>
      <c r="J24" s="330"/>
      <c r="K24" s="330"/>
      <c r="L24" s="330" t="s">
        <v>519</v>
      </c>
      <c r="M24" s="330"/>
      <c r="N24" s="330"/>
      <c r="O24" s="330"/>
      <c r="P24" s="330"/>
      <c r="Q24" s="330"/>
      <c r="R24" s="330"/>
      <c r="S24" s="330"/>
      <c r="T24" s="330"/>
      <c r="U24" s="330">
        <v>4</v>
      </c>
      <c r="V24" s="330"/>
      <c r="W24" s="330"/>
      <c r="X24" s="330"/>
      <c r="Y24" s="330"/>
      <c r="Z24" s="619">
        <v>180</v>
      </c>
      <c r="AA24" s="619"/>
      <c r="AB24" s="619"/>
      <c r="AC24" s="619"/>
      <c r="AD24" s="60"/>
    </row>
    <row r="25" spans="1:30" x14ac:dyDescent="0.25">
      <c r="A25" s="443">
        <v>44118</v>
      </c>
      <c r="B25" s="443"/>
      <c r="C25" s="443"/>
      <c r="D25" s="330" t="s">
        <v>518</v>
      </c>
      <c r="E25" s="330"/>
      <c r="F25" s="330"/>
      <c r="G25" s="330"/>
      <c r="H25" s="330"/>
      <c r="I25" s="330"/>
      <c r="J25" s="330"/>
      <c r="K25" s="330"/>
      <c r="L25" s="330" t="s">
        <v>519</v>
      </c>
      <c r="M25" s="330"/>
      <c r="N25" s="330"/>
      <c r="O25" s="330"/>
      <c r="P25" s="330"/>
      <c r="Q25" s="330"/>
      <c r="R25" s="330"/>
      <c r="S25" s="330"/>
      <c r="T25" s="330"/>
      <c r="U25" s="330">
        <v>4</v>
      </c>
      <c r="V25" s="330"/>
      <c r="W25" s="330"/>
      <c r="X25" s="330"/>
      <c r="Y25" s="330"/>
      <c r="Z25" s="619">
        <v>180</v>
      </c>
      <c r="AA25" s="619"/>
      <c r="AB25" s="619"/>
      <c r="AC25" s="619"/>
      <c r="AD25" s="60"/>
    </row>
    <row r="26" spans="1:30" x14ac:dyDescent="0.25">
      <c r="A26" s="443">
        <v>44125</v>
      </c>
      <c r="B26" s="443"/>
      <c r="C26" s="443"/>
      <c r="D26" s="330" t="s">
        <v>518</v>
      </c>
      <c r="E26" s="330"/>
      <c r="F26" s="330"/>
      <c r="G26" s="330"/>
      <c r="H26" s="330"/>
      <c r="I26" s="330"/>
      <c r="J26" s="330"/>
      <c r="K26" s="330"/>
      <c r="L26" s="330" t="s">
        <v>519</v>
      </c>
      <c r="M26" s="330"/>
      <c r="N26" s="330"/>
      <c r="O26" s="330"/>
      <c r="P26" s="330"/>
      <c r="Q26" s="330"/>
      <c r="R26" s="330"/>
      <c r="S26" s="330"/>
      <c r="T26" s="330"/>
      <c r="U26" s="330">
        <v>4</v>
      </c>
      <c r="V26" s="330"/>
      <c r="W26" s="330"/>
      <c r="X26" s="330"/>
      <c r="Y26" s="330"/>
      <c r="Z26" s="619">
        <v>180</v>
      </c>
      <c r="AA26" s="619"/>
      <c r="AB26" s="619"/>
      <c r="AC26" s="619"/>
      <c r="AD26" s="60"/>
    </row>
    <row r="27" spans="1:30" x14ac:dyDescent="0.25">
      <c r="A27" s="443">
        <v>44132</v>
      </c>
      <c r="B27" s="443"/>
      <c r="C27" s="443"/>
      <c r="D27" s="330" t="s">
        <v>518</v>
      </c>
      <c r="E27" s="330"/>
      <c r="F27" s="330"/>
      <c r="G27" s="330"/>
      <c r="H27" s="330"/>
      <c r="I27" s="330"/>
      <c r="J27" s="330"/>
      <c r="K27" s="330"/>
      <c r="L27" s="330" t="s">
        <v>519</v>
      </c>
      <c r="M27" s="330"/>
      <c r="N27" s="330"/>
      <c r="O27" s="330"/>
      <c r="P27" s="330"/>
      <c r="Q27" s="330"/>
      <c r="R27" s="330"/>
      <c r="S27" s="330"/>
      <c r="T27" s="330"/>
      <c r="U27" s="330">
        <v>4</v>
      </c>
      <c r="V27" s="330"/>
      <c r="W27" s="330"/>
      <c r="X27" s="330"/>
      <c r="Y27" s="330"/>
      <c r="Z27" s="619">
        <v>180</v>
      </c>
      <c r="AA27" s="619"/>
      <c r="AB27" s="619"/>
      <c r="AC27" s="619"/>
      <c r="AD27" s="60"/>
    </row>
    <row r="28" spans="1:30" x14ac:dyDescent="0.25">
      <c r="A28" s="443">
        <v>44139</v>
      </c>
      <c r="B28" s="443"/>
      <c r="C28" s="443"/>
      <c r="D28" s="330" t="s">
        <v>518</v>
      </c>
      <c r="E28" s="330"/>
      <c r="F28" s="330"/>
      <c r="G28" s="330"/>
      <c r="H28" s="330"/>
      <c r="I28" s="330"/>
      <c r="J28" s="330"/>
      <c r="K28" s="330"/>
      <c r="L28" s="330" t="s">
        <v>519</v>
      </c>
      <c r="M28" s="330"/>
      <c r="N28" s="330"/>
      <c r="O28" s="330"/>
      <c r="P28" s="330"/>
      <c r="Q28" s="330"/>
      <c r="R28" s="330"/>
      <c r="S28" s="330"/>
      <c r="T28" s="330"/>
      <c r="U28" s="330">
        <v>5</v>
      </c>
      <c r="V28" s="330"/>
      <c r="W28" s="330"/>
      <c r="X28" s="330"/>
      <c r="Y28" s="330"/>
      <c r="Z28" s="619">
        <v>120</v>
      </c>
      <c r="AA28" s="619"/>
      <c r="AB28" s="619"/>
      <c r="AC28" s="619"/>
      <c r="AD28" s="60"/>
    </row>
    <row r="29" spans="1:30" x14ac:dyDescent="0.25">
      <c r="A29" s="443">
        <v>44145</v>
      </c>
      <c r="B29" s="443"/>
      <c r="C29" s="443"/>
      <c r="D29" s="330" t="s">
        <v>518</v>
      </c>
      <c r="E29" s="330"/>
      <c r="F29" s="330"/>
      <c r="G29" s="330"/>
      <c r="H29" s="330"/>
      <c r="I29" s="330"/>
      <c r="J29" s="330"/>
      <c r="K29" s="330"/>
      <c r="L29" s="330" t="s">
        <v>519</v>
      </c>
      <c r="M29" s="330"/>
      <c r="N29" s="330"/>
      <c r="O29" s="330"/>
      <c r="P29" s="330"/>
      <c r="Q29" s="330"/>
      <c r="R29" s="330"/>
      <c r="S29" s="330"/>
      <c r="T29" s="330"/>
      <c r="U29" s="330">
        <v>5</v>
      </c>
      <c r="V29" s="330"/>
      <c r="W29" s="330"/>
      <c r="X29" s="330"/>
      <c r="Y29" s="330"/>
      <c r="Z29" s="619">
        <v>120</v>
      </c>
      <c r="AA29" s="619"/>
      <c r="AB29" s="619"/>
      <c r="AC29" s="619"/>
      <c r="AD29" s="60"/>
    </row>
    <row r="30" spans="1:30" x14ac:dyDescent="0.25">
      <c r="A30" s="443">
        <v>44153</v>
      </c>
      <c r="B30" s="443"/>
      <c r="C30" s="443"/>
      <c r="D30" s="330" t="s">
        <v>518</v>
      </c>
      <c r="E30" s="330"/>
      <c r="F30" s="330"/>
      <c r="G30" s="330"/>
      <c r="H30" s="330"/>
      <c r="I30" s="330"/>
      <c r="J30" s="330"/>
      <c r="K30" s="330"/>
      <c r="L30" s="330" t="s">
        <v>519</v>
      </c>
      <c r="M30" s="330"/>
      <c r="N30" s="330"/>
      <c r="O30" s="330"/>
      <c r="P30" s="330"/>
      <c r="Q30" s="330"/>
      <c r="R30" s="330"/>
      <c r="S30" s="330"/>
      <c r="T30" s="330"/>
      <c r="U30" s="330">
        <v>5</v>
      </c>
      <c r="V30" s="330"/>
      <c r="W30" s="330"/>
      <c r="X30" s="330"/>
      <c r="Y30" s="330"/>
      <c r="Z30" s="619">
        <v>120</v>
      </c>
      <c r="AA30" s="619"/>
      <c r="AB30" s="619"/>
      <c r="AC30" s="619"/>
      <c r="AD30" s="60"/>
    </row>
    <row r="31" spans="1:30" x14ac:dyDescent="0.25">
      <c r="A31" s="443">
        <v>44156</v>
      </c>
      <c r="B31" s="443"/>
      <c r="C31" s="443"/>
      <c r="D31" s="330" t="s">
        <v>518</v>
      </c>
      <c r="E31" s="330"/>
      <c r="F31" s="330"/>
      <c r="G31" s="330"/>
      <c r="H31" s="330"/>
      <c r="I31" s="330"/>
      <c r="J31" s="330"/>
      <c r="K31" s="330"/>
      <c r="L31" s="330" t="s">
        <v>525</v>
      </c>
      <c r="M31" s="330"/>
      <c r="N31" s="330"/>
      <c r="O31" s="330"/>
      <c r="P31" s="330"/>
      <c r="Q31" s="330"/>
      <c r="R31" s="330"/>
      <c r="S31" s="330"/>
      <c r="T31" s="330"/>
      <c r="U31" s="330">
        <v>25</v>
      </c>
      <c r="V31" s="330"/>
      <c r="W31" s="330"/>
      <c r="X31" s="330"/>
      <c r="Y31" s="330"/>
      <c r="Z31" s="619">
        <v>60</v>
      </c>
      <c r="AA31" s="619"/>
      <c r="AB31" s="619"/>
      <c r="AC31" s="619"/>
      <c r="AD31" s="60" t="s">
        <v>526</v>
      </c>
    </row>
    <row r="32" spans="1:30" x14ac:dyDescent="0.25">
      <c r="A32" s="443">
        <v>44167</v>
      </c>
      <c r="B32" s="443"/>
      <c r="C32" s="443"/>
      <c r="D32" s="330" t="s">
        <v>518</v>
      </c>
      <c r="E32" s="330"/>
      <c r="F32" s="330"/>
      <c r="G32" s="330"/>
      <c r="H32" s="330"/>
      <c r="I32" s="330"/>
      <c r="J32" s="330"/>
      <c r="K32" s="330"/>
      <c r="L32" s="330" t="s">
        <v>519</v>
      </c>
      <c r="M32" s="330"/>
      <c r="N32" s="330"/>
      <c r="O32" s="330"/>
      <c r="P32" s="330"/>
      <c r="Q32" s="330"/>
      <c r="R32" s="330"/>
      <c r="S32" s="330"/>
      <c r="T32" s="330"/>
      <c r="U32" s="330">
        <v>4</v>
      </c>
      <c r="V32" s="330"/>
      <c r="W32" s="330"/>
      <c r="X32" s="330"/>
      <c r="Y32" s="330"/>
      <c r="Z32" s="619">
        <v>120</v>
      </c>
      <c r="AA32" s="619"/>
      <c r="AB32" s="619"/>
      <c r="AC32" s="619"/>
      <c r="AD32" s="60"/>
    </row>
    <row r="33" spans="1:30" x14ac:dyDescent="0.25">
      <c r="A33" s="443">
        <v>44174</v>
      </c>
      <c r="B33" s="443"/>
      <c r="C33" s="443"/>
      <c r="D33" s="330" t="s">
        <v>518</v>
      </c>
      <c r="E33" s="330"/>
      <c r="F33" s="330"/>
      <c r="G33" s="330"/>
      <c r="H33" s="330"/>
      <c r="I33" s="330"/>
      <c r="J33" s="330"/>
      <c r="K33" s="330"/>
      <c r="L33" s="330" t="s">
        <v>519</v>
      </c>
      <c r="M33" s="330"/>
      <c r="N33" s="330"/>
      <c r="O33" s="330"/>
      <c r="P33" s="330"/>
      <c r="Q33" s="330"/>
      <c r="R33" s="330"/>
      <c r="S33" s="330"/>
      <c r="T33" s="330"/>
      <c r="U33" s="330">
        <v>4</v>
      </c>
      <c r="V33" s="330"/>
      <c r="W33" s="330"/>
      <c r="X33" s="330"/>
      <c r="Y33" s="330"/>
      <c r="Z33" s="619">
        <v>120</v>
      </c>
      <c r="AA33" s="619"/>
      <c r="AB33" s="619"/>
      <c r="AC33" s="619"/>
      <c r="AD33" s="60"/>
    </row>
    <row r="34" spans="1:30" x14ac:dyDescent="0.25">
      <c r="A34" s="443">
        <v>44181</v>
      </c>
      <c r="B34" s="443"/>
      <c r="C34" s="443"/>
      <c r="D34" s="330" t="s">
        <v>518</v>
      </c>
      <c r="E34" s="330"/>
      <c r="F34" s="330"/>
      <c r="G34" s="330"/>
      <c r="H34" s="330"/>
      <c r="I34" s="330"/>
      <c r="J34" s="330"/>
      <c r="K34" s="330"/>
      <c r="L34" s="330" t="s">
        <v>519</v>
      </c>
      <c r="M34" s="330"/>
      <c r="N34" s="330"/>
      <c r="O34" s="330"/>
      <c r="P34" s="330"/>
      <c r="Q34" s="330"/>
      <c r="R34" s="330"/>
      <c r="S34" s="330"/>
      <c r="T34" s="330"/>
      <c r="U34" s="330">
        <v>4</v>
      </c>
      <c r="V34" s="330"/>
      <c r="W34" s="330"/>
      <c r="X34" s="330"/>
      <c r="Y34" s="330"/>
      <c r="Z34" s="619">
        <v>120</v>
      </c>
      <c r="AA34" s="619"/>
      <c r="AB34" s="619"/>
      <c r="AC34" s="619"/>
      <c r="AD34" s="60"/>
    </row>
    <row r="35" spans="1:30" x14ac:dyDescent="0.25">
      <c r="A35" s="443">
        <v>44188</v>
      </c>
      <c r="B35" s="443"/>
      <c r="C35" s="443"/>
      <c r="D35" s="330" t="s">
        <v>518</v>
      </c>
      <c r="E35" s="330"/>
      <c r="F35" s="330"/>
      <c r="G35" s="330"/>
      <c r="H35" s="330"/>
      <c r="I35" s="330"/>
      <c r="J35" s="330"/>
      <c r="K35" s="330"/>
      <c r="L35" s="330" t="s">
        <v>519</v>
      </c>
      <c r="M35" s="330"/>
      <c r="N35" s="330"/>
      <c r="O35" s="330"/>
      <c r="P35" s="330"/>
      <c r="Q35" s="330"/>
      <c r="R35" s="330"/>
      <c r="S35" s="330"/>
      <c r="T35" s="330"/>
      <c r="U35" s="330">
        <v>4</v>
      </c>
      <c r="V35" s="330"/>
      <c r="W35" s="330"/>
      <c r="X35" s="330"/>
      <c r="Y35" s="330"/>
      <c r="Z35" s="619">
        <v>120</v>
      </c>
      <c r="AA35" s="619"/>
      <c r="AB35" s="619"/>
      <c r="AC35" s="619"/>
      <c r="AD35" s="60"/>
    </row>
    <row r="36" spans="1:30" x14ac:dyDescent="0.25">
      <c r="A36" s="443">
        <v>44202</v>
      </c>
      <c r="B36" s="443"/>
      <c r="C36" s="443"/>
      <c r="D36" s="330" t="s">
        <v>518</v>
      </c>
      <c r="E36" s="330"/>
      <c r="F36" s="330"/>
      <c r="G36" s="330"/>
      <c r="H36" s="330"/>
      <c r="I36" s="330"/>
      <c r="J36" s="330"/>
      <c r="K36" s="330"/>
      <c r="L36" s="330" t="s">
        <v>527</v>
      </c>
      <c r="M36" s="330"/>
      <c r="N36" s="330"/>
      <c r="O36" s="330"/>
      <c r="P36" s="330"/>
      <c r="Q36" s="330"/>
      <c r="R36" s="330"/>
      <c r="S36" s="330"/>
      <c r="T36" s="330"/>
      <c r="U36" s="330">
        <v>4</v>
      </c>
      <c r="V36" s="330"/>
      <c r="W36" s="330"/>
      <c r="X36" s="330"/>
      <c r="Y36" s="330"/>
      <c r="Z36" s="619">
        <v>60</v>
      </c>
      <c r="AA36" s="619"/>
      <c r="AB36" s="619"/>
      <c r="AC36" s="619"/>
      <c r="AD36" s="60"/>
    </row>
    <row r="37" spans="1:30" x14ac:dyDescent="0.25">
      <c r="A37" s="443">
        <v>44209</v>
      </c>
      <c r="B37" s="443"/>
      <c r="C37" s="443"/>
      <c r="D37" s="330" t="s">
        <v>518</v>
      </c>
      <c r="E37" s="330"/>
      <c r="F37" s="330"/>
      <c r="G37" s="330"/>
      <c r="H37" s="330"/>
      <c r="I37" s="330"/>
      <c r="J37" s="330"/>
      <c r="K37" s="330"/>
      <c r="L37" s="330" t="s">
        <v>527</v>
      </c>
      <c r="M37" s="330"/>
      <c r="N37" s="330"/>
      <c r="O37" s="330"/>
      <c r="P37" s="330"/>
      <c r="Q37" s="330"/>
      <c r="R37" s="330"/>
      <c r="S37" s="330"/>
      <c r="T37" s="330"/>
      <c r="U37" s="330">
        <v>4</v>
      </c>
      <c r="V37" s="330"/>
      <c r="W37" s="330"/>
      <c r="X37" s="330"/>
      <c r="Y37" s="330"/>
      <c r="Z37" s="619">
        <v>60</v>
      </c>
      <c r="AA37" s="619"/>
      <c r="AB37" s="619"/>
      <c r="AC37" s="619"/>
      <c r="AD37" s="60"/>
    </row>
    <row r="38" spans="1:30" x14ac:dyDescent="0.25">
      <c r="A38" s="443">
        <v>44216</v>
      </c>
      <c r="B38" s="443"/>
      <c r="C38" s="443"/>
      <c r="D38" s="330" t="s">
        <v>518</v>
      </c>
      <c r="E38" s="330"/>
      <c r="F38" s="330"/>
      <c r="G38" s="330"/>
      <c r="H38" s="330"/>
      <c r="I38" s="330"/>
      <c r="J38" s="330"/>
      <c r="K38" s="330"/>
      <c r="L38" s="330" t="s">
        <v>527</v>
      </c>
      <c r="M38" s="330"/>
      <c r="N38" s="330"/>
      <c r="O38" s="330"/>
      <c r="P38" s="330"/>
      <c r="Q38" s="330"/>
      <c r="R38" s="330"/>
      <c r="S38" s="330"/>
      <c r="T38" s="330"/>
      <c r="U38" s="330">
        <v>4</v>
      </c>
      <c r="V38" s="330"/>
      <c r="W38" s="330"/>
      <c r="X38" s="330"/>
      <c r="Y38" s="330"/>
      <c r="Z38" s="619">
        <v>60</v>
      </c>
      <c r="AA38" s="619"/>
      <c r="AB38" s="619"/>
      <c r="AC38" s="619"/>
      <c r="AD38" s="60"/>
    </row>
    <row r="39" spans="1:30" x14ac:dyDescent="0.25">
      <c r="A39" s="443"/>
      <c r="B39" s="443"/>
      <c r="C39" s="443"/>
      <c r="D39" s="330"/>
      <c r="E39" s="330"/>
      <c r="F39" s="330"/>
      <c r="G39" s="330"/>
      <c r="H39" s="330"/>
      <c r="I39" s="330"/>
      <c r="J39" s="330"/>
      <c r="K39" s="330"/>
      <c r="L39" s="330"/>
      <c r="M39" s="330"/>
      <c r="N39" s="330"/>
      <c r="O39" s="330"/>
      <c r="P39" s="330"/>
      <c r="Q39" s="330"/>
      <c r="R39" s="330"/>
      <c r="S39" s="330"/>
      <c r="T39" s="330"/>
      <c r="U39" s="330"/>
      <c r="V39" s="330"/>
      <c r="W39" s="330"/>
      <c r="X39" s="330"/>
      <c r="Y39" s="330"/>
      <c r="Z39" s="619"/>
      <c r="AA39" s="619"/>
      <c r="AB39" s="619"/>
      <c r="AC39" s="619"/>
      <c r="AD39" s="60"/>
    </row>
    <row r="40" spans="1:30" x14ac:dyDescent="0.25">
      <c r="A40" s="443"/>
      <c r="B40" s="443"/>
      <c r="C40" s="443"/>
      <c r="D40" s="330"/>
      <c r="E40" s="330"/>
      <c r="F40" s="330"/>
      <c r="G40" s="330"/>
      <c r="H40" s="330"/>
      <c r="I40" s="330"/>
      <c r="J40" s="330"/>
      <c r="K40" s="330"/>
      <c r="L40" s="330"/>
      <c r="M40" s="330"/>
      <c r="N40" s="330"/>
      <c r="O40" s="330"/>
      <c r="P40" s="330"/>
      <c r="Q40" s="330"/>
      <c r="R40" s="330"/>
      <c r="S40" s="330"/>
      <c r="T40" s="330"/>
      <c r="U40" s="330"/>
      <c r="V40" s="330"/>
      <c r="W40" s="330"/>
      <c r="X40" s="330"/>
      <c r="Y40" s="330"/>
      <c r="Z40" s="619"/>
      <c r="AA40" s="619"/>
      <c r="AB40" s="619"/>
      <c r="AC40" s="619"/>
      <c r="AD40" s="60"/>
    </row>
    <row r="41" spans="1:30" x14ac:dyDescent="0.25">
      <c r="A41" s="443"/>
      <c r="B41" s="443"/>
      <c r="C41" s="443"/>
      <c r="D41" s="330"/>
      <c r="E41" s="330"/>
      <c r="F41" s="330"/>
      <c r="G41" s="330"/>
      <c r="H41" s="330"/>
      <c r="I41" s="330"/>
      <c r="J41" s="330"/>
      <c r="K41" s="330"/>
      <c r="L41" s="330"/>
      <c r="M41" s="330"/>
      <c r="N41" s="330"/>
      <c r="O41" s="330"/>
      <c r="P41" s="330"/>
      <c r="Q41" s="330"/>
      <c r="R41" s="330"/>
      <c r="S41" s="330"/>
      <c r="T41" s="330"/>
      <c r="U41" s="330"/>
      <c r="V41" s="330"/>
      <c r="W41" s="330"/>
      <c r="X41" s="330"/>
      <c r="Y41" s="330"/>
      <c r="Z41" s="619"/>
      <c r="AA41" s="619"/>
      <c r="AB41" s="619"/>
      <c r="AC41" s="619"/>
      <c r="AD41" s="60"/>
    </row>
    <row r="42" spans="1:30" x14ac:dyDescent="0.25">
      <c r="A42" s="443"/>
      <c r="B42" s="443"/>
      <c r="C42" s="443"/>
      <c r="D42" s="330"/>
      <c r="E42" s="330"/>
      <c r="F42" s="330"/>
      <c r="G42" s="330"/>
      <c r="H42" s="330"/>
      <c r="I42" s="330"/>
      <c r="J42" s="330"/>
      <c r="K42" s="330"/>
      <c r="L42" s="330"/>
      <c r="M42" s="330"/>
      <c r="N42" s="330"/>
      <c r="O42" s="330"/>
      <c r="P42" s="330"/>
      <c r="Q42" s="330"/>
      <c r="R42" s="330"/>
      <c r="S42" s="330"/>
      <c r="T42" s="330"/>
      <c r="U42" s="330"/>
      <c r="V42" s="330"/>
      <c r="W42" s="330"/>
      <c r="X42" s="330"/>
      <c r="Y42" s="330"/>
      <c r="Z42" s="619"/>
      <c r="AA42" s="619"/>
      <c r="AB42" s="619"/>
      <c r="AC42" s="619"/>
      <c r="AD42" s="60"/>
    </row>
    <row r="43" spans="1:30" x14ac:dyDescent="0.25">
      <c r="A43" s="443"/>
      <c r="B43" s="443"/>
      <c r="C43" s="443"/>
      <c r="D43" s="330"/>
      <c r="E43" s="330"/>
      <c r="F43" s="330"/>
      <c r="G43" s="330"/>
      <c r="H43" s="330"/>
      <c r="I43" s="330"/>
      <c r="J43" s="330"/>
      <c r="K43" s="330"/>
      <c r="L43" s="330"/>
      <c r="M43" s="330"/>
      <c r="N43" s="330"/>
      <c r="O43" s="330"/>
      <c r="P43" s="330"/>
      <c r="Q43" s="330"/>
      <c r="R43" s="330"/>
      <c r="S43" s="330"/>
      <c r="T43" s="330"/>
      <c r="U43" s="330"/>
      <c r="V43" s="330"/>
      <c r="W43" s="330"/>
      <c r="X43" s="330"/>
      <c r="Y43" s="330"/>
      <c r="Z43" s="619"/>
      <c r="AA43" s="619"/>
      <c r="AB43" s="619"/>
      <c r="AC43" s="619"/>
      <c r="AD43" s="60"/>
    </row>
    <row r="44" spans="1:30" x14ac:dyDescent="0.25">
      <c r="A44" s="443"/>
      <c r="B44" s="443"/>
      <c r="C44" s="443"/>
      <c r="D44" s="330"/>
      <c r="E44" s="330"/>
      <c r="F44" s="330"/>
      <c r="G44" s="330"/>
      <c r="H44" s="330"/>
      <c r="I44" s="330"/>
      <c r="J44" s="330"/>
      <c r="K44" s="330"/>
      <c r="L44" s="330"/>
      <c r="M44" s="330"/>
      <c r="N44" s="330"/>
      <c r="O44" s="330"/>
      <c r="P44" s="330"/>
      <c r="Q44" s="330"/>
      <c r="R44" s="330"/>
      <c r="S44" s="330"/>
      <c r="T44" s="330"/>
      <c r="U44" s="330"/>
      <c r="V44" s="330"/>
      <c r="W44" s="330"/>
      <c r="X44" s="330"/>
      <c r="Y44" s="330"/>
      <c r="Z44" s="619"/>
      <c r="AA44" s="619"/>
      <c r="AB44" s="619"/>
      <c r="AC44" s="619"/>
      <c r="AD44" s="60"/>
    </row>
    <row r="45" spans="1:30" x14ac:dyDescent="0.25">
      <c r="A45" s="443"/>
      <c r="B45" s="443"/>
      <c r="C45" s="443"/>
      <c r="D45" s="330"/>
      <c r="E45" s="330"/>
      <c r="F45" s="330"/>
      <c r="G45" s="330"/>
      <c r="H45" s="330"/>
      <c r="I45" s="330"/>
      <c r="J45" s="330"/>
      <c r="K45" s="330"/>
      <c r="L45" s="330"/>
      <c r="M45" s="330"/>
      <c r="N45" s="330"/>
      <c r="O45" s="330"/>
      <c r="P45" s="330"/>
      <c r="Q45" s="330"/>
      <c r="R45" s="330"/>
      <c r="S45" s="330"/>
      <c r="T45" s="330"/>
      <c r="U45" s="330"/>
      <c r="V45" s="330"/>
      <c r="W45" s="330"/>
      <c r="X45" s="330"/>
      <c r="Y45" s="330"/>
      <c r="Z45" s="619"/>
      <c r="AA45" s="619"/>
      <c r="AB45" s="619"/>
      <c r="AC45" s="619"/>
      <c r="AD45" s="60"/>
    </row>
    <row r="46" spans="1:30" x14ac:dyDescent="0.25">
      <c r="A46" s="443"/>
      <c r="B46" s="443"/>
      <c r="C46" s="443"/>
      <c r="D46" s="330"/>
      <c r="E46" s="330"/>
      <c r="F46" s="330"/>
      <c r="G46" s="330"/>
      <c r="H46" s="330"/>
      <c r="I46" s="330"/>
      <c r="J46" s="330"/>
      <c r="K46" s="330"/>
      <c r="L46" s="330"/>
      <c r="M46" s="330"/>
      <c r="N46" s="330"/>
      <c r="O46" s="330"/>
      <c r="P46" s="330"/>
      <c r="Q46" s="330"/>
      <c r="R46" s="330"/>
      <c r="S46" s="330"/>
      <c r="T46" s="330"/>
      <c r="U46" s="330"/>
      <c r="V46" s="330"/>
      <c r="W46" s="330"/>
      <c r="X46" s="330"/>
      <c r="Y46" s="330"/>
      <c r="Z46" s="619"/>
      <c r="AA46" s="619"/>
      <c r="AB46" s="619"/>
      <c r="AC46" s="619"/>
      <c r="AD46" s="60"/>
    </row>
    <row r="47" spans="1:30" x14ac:dyDescent="0.25">
      <c r="A47" s="443"/>
      <c r="B47" s="443"/>
      <c r="C47" s="443"/>
      <c r="D47" s="330"/>
      <c r="E47" s="330"/>
      <c r="F47" s="330"/>
      <c r="G47" s="330"/>
      <c r="H47" s="330"/>
      <c r="I47" s="330"/>
      <c r="J47" s="330"/>
      <c r="K47" s="330"/>
      <c r="L47" s="330"/>
      <c r="M47" s="330"/>
      <c r="N47" s="330"/>
      <c r="O47" s="330"/>
      <c r="P47" s="330"/>
      <c r="Q47" s="330"/>
      <c r="R47" s="330"/>
      <c r="S47" s="330"/>
      <c r="T47" s="330"/>
      <c r="U47" s="330"/>
      <c r="V47" s="330"/>
      <c r="W47" s="330"/>
      <c r="X47" s="330"/>
      <c r="Y47" s="330"/>
      <c r="Z47" s="619"/>
      <c r="AA47" s="619"/>
      <c r="AB47" s="619"/>
      <c r="AC47" s="619"/>
      <c r="AD47" s="60"/>
    </row>
    <row r="48" spans="1:30" x14ac:dyDescent="0.25">
      <c r="A48" s="443"/>
      <c r="B48" s="443"/>
      <c r="C48" s="443"/>
      <c r="D48" s="330"/>
      <c r="E48" s="330"/>
      <c r="F48" s="330"/>
      <c r="G48" s="330"/>
      <c r="H48" s="330"/>
      <c r="I48" s="330"/>
      <c r="J48" s="330"/>
      <c r="K48" s="330"/>
      <c r="L48" s="330"/>
      <c r="M48" s="330"/>
      <c r="N48" s="330"/>
      <c r="O48" s="330"/>
      <c r="P48" s="330"/>
      <c r="Q48" s="330"/>
      <c r="R48" s="330"/>
      <c r="S48" s="330"/>
      <c r="T48" s="330"/>
      <c r="U48" s="330"/>
      <c r="V48" s="330"/>
      <c r="W48" s="330"/>
      <c r="X48" s="330"/>
      <c r="Y48" s="330"/>
      <c r="Z48" s="619"/>
      <c r="AA48" s="619"/>
      <c r="AB48" s="619"/>
      <c r="AC48" s="619"/>
      <c r="AD48" s="60"/>
    </row>
    <row r="49" spans="1:30" x14ac:dyDescent="0.25">
      <c r="A49" s="443"/>
      <c r="B49" s="443"/>
      <c r="C49" s="443"/>
      <c r="D49" s="330"/>
      <c r="E49" s="330"/>
      <c r="F49" s="330"/>
      <c r="G49" s="330"/>
      <c r="H49" s="330"/>
      <c r="I49" s="330"/>
      <c r="J49" s="330"/>
      <c r="K49" s="330"/>
      <c r="L49" s="330"/>
      <c r="M49" s="330"/>
      <c r="N49" s="330"/>
      <c r="O49" s="330"/>
      <c r="P49" s="330"/>
      <c r="Q49" s="330"/>
      <c r="R49" s="330"/>
      <c r="S49" s="330"/>
      <c r="T49" s="330"/>
      <c r="U49" s="330"/>
      <c r="V49" s="330"/>
      <c r="W49" s="330"/>
      <c r="X49" s="330"/>
      <c r="Y49" s="330"/>
      <c r="Z49" s="619"/>
      <c r="AA49" s="619"/>
      <c r="AB49" s="619"/>
      <c r="AC49" s="619"/>
      <c r="AD49" s="60"/>
    </row>
    <row r="50" spans="1:30" x14ac:dyDescent="0.25">
      <c r="A50" s="443"/>
      <c r="B50" s="443"/>
      <c r="C50" s="443"/>
      <c r="D50" s="330"/>
      <c r="E50" s="330"/>
      <c r="F50" s="330"/>
      <c r="G50" s="330"/>
      <c r="H50" s="330"/>
      <c r="I50" s="330"/>
      <c r="J50" s="330"/>
      <c r="K50" s="330"/>
      <c r="L50" s="330"/>
      <c r="M50" s="330"/>
      <c r="N50" s="330"/>
      <c r="O50" s="330"/>
      <c r="P50" s="330"/>
      <c r="Q50" s="330"/>
      <c r="R50" s="330"/>
      <c r="S50" s="330"/>
      <c r="T50" s="330"/>
      <c r="U50" s="330"/>
      <c r="V50" s="330"/>
      <c r="W50" s="330"/>
      <c r="X50" s="330"/>
      <c r="Y50" s="330"/>
      <c r="Z50" s="619"/>
      <c r="AA50" s="619"/>
      <c r="AB50" s="619"/>
      <c r="AC50" s="619"/>
      <c r="AD50" s="60"/>
    </row>
    <row r="51" spans="1:30" x14ac:dyDescent="0.25">
      <c r="A51" s="443"/>
      <c r="B51" s="443"/>
      <c r="C51" s="443"/>
      <c r="D51" s="330"/>
      <c r="E51" s="330"/>
      <c r="F51" s="330"/>
      <c r="G51" s="330"/>
      <c r="H51" s="330"/>
      <c r="I51" s="330"/>
      <c r="J51" s="330"/>
      <c r="K51" s="330"/>
      <c r="L51" s="330"/>
      <c r="M51" s="330"/>
      <c r="N51" s="330"/>
      <c r="O51" s="330"/>
      <c r="P51" s="330"/>
      <c r="Q51" s="330"/>
      <c r="R51" s="330"/>
      <c r="S51" s="330"/>
      <c r="T51" s="330"/>
      <c r="U51" s="330"/>
      <c r="V51" s="330"/>
      <c r="W51" s="330"/>
      <c r="X51" s="330"/>
      <c r="Y51" s="330"/>
      <c r="Z51" s="619"/>
      <c r="AA51" s="619"/>
      <c r="AB51" s="619"/>
      <c r="AC51" s="619"/>
      <c r="AD51" s="60"/>
    </row>
    <row r="52" spans="1:30" x14ac:dyDescent="0.25">
      <c r="A52" s="443"/>
      <c r="B52" s="443"/>
      <c r="C52" s="443"/>
      <c r="D52" s="330"/>
      <c r="E52" s="330"/>
      <c r="F52" s="330"/>
      <c r="G52" s="330"/>
      <c r="H52" s="330"/>
      <c r="I52" s="330"/>
      <c r="J52" s="330"/>
      <c r="K52" s="330"/>
      <c r="L52" s="330"/>
      <c r="M52" s="330"/>
      <c r="N52" s="330"/>
      <c r="O52" s="330"/>
      <c r="P52" s="330"/>
      <c r="Q52" s="330"/>
      <c r="R52" s="330"/>
      <c r="S52" s="330"/>
      <c r="T52" s="330"/>
      <c r="U52" s="330"/>
      <c r="V52" s="330"/>
      <c r="W52" s="330"/>
      <c r="X52" s="330"/>
      <c r="Y52" s="330"/>
      <c r="Z52" s="619"/>
      <c r="AA52" s="619"/>
      <c r="AB52" s="619"/>
      <c r="AC52" s="619"/>
      <c r="AD52" s="60"/>
    </row>
    <row r="53" spans="1:30" x14ac:dyDescent="0.25">
      <c r="A53" s="443"/>
      <c r="B53" s="443"/>
      <c r="C53" s="443"/>
      <c r="D53" s="330"/>
      <c r="E53" s="330"/>
      <c r="F53" s="330"/>
      <c r="G53" s="330"/>
      <c r="H53" s="330"/>
      <c r="I53" s="330"/>
      <c r="J53" s="330"/>
      <c r="K53" s="330"/>
      <c r="L53" s="330"/>
      <c r="M53" s="330"/>
      <c r="N53" s="330"/>
      <c r="O53" s="330"/>
      <c r="P53" s="330"/>
      <c r="Q53" s="330"/>
      <c r="R53" s="330"/>
      <c r="S53" s="330"/>
      <c r="T53" s="330"/>
      <c r="U53" s="330"/>
      <c r="V53" s="330"/>
      <c r="W53" s="330"/>
      <c r="X53" s="330"/>
      <c r="Y53" s="330"/>
      <c r="Z53" s="619"/>
      <c r="AA53" s="619"/>
      <c r="AB53" s="619"/>
      <c r="AC53" s="619"/>
      <c r="AD53" s="60"/>
    </row>
    <row r="54" spans="1:30" x14ac:dyDescent="0.25">
      <c r="A54" s="443"/>
      <c r="B54" s="443"/>
      <c r="C54" s="443"/>
      <c r="D54" s="330"/>
      <c r="E54" s="330"/>
      <c r="F54" s="330"/>
      <c r="G54" s="330"/>
      <c r="H54" s="330"/>
      <c r="I54" s="330"/>
      <c r="J54" s="330"/>
      <c r="K54" s="330"/>
      <c r="L54" s="330"/>
      <c r="M54" s="330"/>
      <c r="N54" s="330"/>
      <c r="O54" s="330"/>
      <c r="P54" s="330"/>
      <c r="Q54" s="330"/>
      <c r="R54" s="330"/>
      <c r="S54" s="330"/>
      <c r="T54" s="330"/>
      <c r="U54" s="330"/>
      <c r="V54" s="330"/>
      <c r="W54" s="330"/>
      <c r="X54" s="330"/>
      <c r="Y54" s="330"/>
      <c r="Z54" s="619"/>
      <c r="AA54" s="619"/>
      <c r="AB54" s="619"/>
      <c r="AC54" s="619"/>
      <c r="AD54" s="60"/>
    </row>
    <row r="55" spans="1:30" x14ac:dyDescent="0.25">
      <c r="A55" s="443"/>
      <c r="B55" s="443"/>
      <c r="C55" s="443"/>
      <c r="D55" s="330"/>
      <c r="E55" s="330"/>
      <c r="F55" s="330"/>
      <c r="G55" s="330"/>
      <c r="H55" s="330"/>
      <c r="I55" s="330"/>
      <c r="J55" s="330"/>
      <c r="K55" s="330"/>
      <c r="L55" s="330"/>
      <c r="M55" s="330"/>
      <c r="N55" s="330"/>
      <c r="O55" s="330"/>
      <c r="P55" s="330"/>
      <c r="Q55" s="330"/>
      <c r="R55" s="330"/>
      <c r="S55" s="330"/>
      <c r="T55" s="330"/>
      <c r="U55" s="330"/>
      <c r="V55" s="330"/>
      <c r="W55" s="330"/>
      <c r="X55" s="330"/>
      <c r="Y55" s="330"/>
      <c r="Z55" s="619"/>
      <c r="AA55" s="619"/>
      <c r="AB55" s="619"/>
      <c r="AC55" s="619"/>
      <c r="AD55" s="60"/>
    </row>
    <row r="56" spans="1:30" x14ac:dyDescent="0.25">
      <c r="A56" s="443"/>
      <c r="B56" s="443"/>
      <c r="C56" s="443"/>
      <c r="D56" s="330"/>
      <c r="E56" s="330"/>
      <c r="F56" s="330"/>
      <c r="G56" s="330"/>
      <c r="H56" s="330"/>
      <c r="I56" s="330"/>
      <c r="J56" s="330"/>
      <c r="K56" s="330"/>
      <c r="L56" s="330"/>
      <c r="M56" s="330"/>
      <c r="N56" s="330"/>
      <c r="O56" s="330"/>
      <c r="P56" s="330"/>
      <c r="Q56" s="330"/>
      <c r="R56" s="330"/>
      <c r="S56" s="330"/>
      <c r="T56" s="330"/>
      <c r="U56" s="330"/>
      <c r="V56" s="330"/>
      <c r="W56" s="330"/>
      <c r="X56" s="330"/>
      <c r="Y56" s="330"/>
      <c r="Z56" s="619"/>
      <c r="AA56" s="619"/>
      <c r="AB56" s="619"/>
      <c r="AC56" s="619"/>
      <c r="AD56" s="60"/>
    </row>
    <row r="57" spans="1:30" x14ac:dyDescent="0.25">
      <c r="A57" s="443"/>
      <c r="B57" s="443"/>
      <c r="C57" s="443"/>
      <c r="D57" s="330"/>
      <c r="E57" s="330"/>
      <c r="F57" s="330"/>
      <c r="G57" s="330"/>
      <c r="H57" s="330"/>
      <c r="I57" s="330"/>
      <c r="J57" s="330"/>
      <c r="K57" s="330"/>
      <c r="L57" s="330"/>
      <c r="M57" s="330"/>
      <c r="N57" s="330"/>
      <c r="O57" s="330"/>
      <c r="P57" s="330"/>
      <c r="Q57" s="330"/>
      <c r="R57" s="330"/>
      <c r="S57" s="330"/>
      <c r="T57" s="330"/>
      <c r="U57" s="330"/>
      <c r="V57" s="330"/>
      <c r="W57" s="330"/>
      <c r="X57" s="330"/>
      <c r="Y57" s="330"/>
      <c r="Z57" s="619"/>
      <c r="AA57" s="619"/>
      <c r="AB57" s="619"/>
      <c r="AC57" s="619"/>
      <c r="AD57" s="60"/>
    </row>
    <row r="58" spans="1:30" x14ac:dyDescent="0.25">
      <c r="A58" s="443"/>
      <c r="B58" s="443"/>
      <c r="C58" s="443"/>
      <c r="D58" s="330"/>
      <c r="E58" s="330"/>
      <c r="F58" s="330"/>
      <c r="G58" s="330"/>
      <c r="H58" s="330"/>
      <c r="I58" s="330"/>
      <c r="J58" s="330"/>
      <c r="K58" s="330"/>
      <c r="L58" s="330"/>
      <c r="M58" s="330"/>
      <c r="N58" s="330"/>
      <c r="O58" s="330"/>
      <c r="P58" s="330"/>
      <c r="Q58" s="330"/>
      <c r="R58" s="330"/>
      <c r="S58" s="330"/>
      <c r="T58" s="330"/>
      <c r="U58" s="330"/>
      <c r="V58" s="330"/>
      <c r="W58" s="330"/>
      <c r="X58" s="330"/>
      <c r="Y58" s="330"/>
      <c r="Z58" s="619"/>
      <c r="AA58" s="619"/>
      <c r="AB58" s="619"/>
      <c r="AC58" s="619"/>
      <c r="AD58" s="60"/>
    </row>
    <row r="59" spans="1:30" x14ac:dyDescent="0.25">
      <c r="A59" s="443"/>
      <c r="B59" s="443"/>
      <c r="C59" s="443"/>
      <c r="D59" s="330"/>
      <c r="E59" s="330"/>
      <c r="F59" s="330"/>
      <c r="G59" s="330"/>
      <c r="H59" s="330"/>
      <c r="I59" s="330"/>
      <c r="J59" s="330"/>
      <c r="K59" s="330"/>
      <c r="L59" s="330"/>
      <c r="M59" s="330"/>
      <c r="N59" s="330"/>
      <c r="O59" s="330"/>
      <c r="P59" s="330"/>
      <c r="Q59" s="330"/>
      <c r="R59" s="330"/>
      <c r="S59" s="330"/>
      <c r="T59" s="330"/>
      <c r="U59" s="330"/>
      <c r="V59" s="330"/>
      <c r="W59" s="330"/>
      <c r="X59" s="330"/>
      <c r="Y59" s="330"/>
      <c r="Z59" s="619"/>
      <c r="AA59" s="619"/>
      <c r="AB59" s="619"/>
      <c r="AC59" s="619"/>
      <c r="AD59" s="60"/>
    </row>
    <row r="60" spans="1:30" x14ac:dyDescent="0.25">
      <c r="A60" s="443"/>
      <c r="B60" s="443"/>
      <c r="C60" s="443"/>
      <c r="D60" s="330"/>
      <c r="E60" s="330"/>
      <c r="F60" s="330"/>
      <c r="G60" s="330"/>
      <c r="H60" s="330"/>
      <c r="I60" s="330"/>
      <c r="J60" s="330"/>
      <c r="K60" s="330"/>
      <c r="L60" s="330"/>
      <c r="M60" s="330"/>
      <c r="N60" s="330"/>
      <c r="O60" s="330"/>
      <c r="P60" s="330"/>
      <c r="Q60" s="330"/>
      <c r="R60" s="330"/>
      <c r="S60" s="330"/>
      <c r="T60" s="330"/>
      <c r="U60" s="330"/>
      <c r="V60" s="330"/>
      <c r="W60" s="330"/>
      <c r="X60" s="330"/>
      <c r="Y60" s="330"/>
      <c r="Z60" s="619"/>
      <c r="AA60" s="619"/>
      <c r="AB60" s="619"/>
      <c r="AC60" s="619"/>
      <c r="AD60" s="60"/>
    </row>
    <row r="61" spans="1:30" x14ac:dyDescent="0.25">
      <c r="A61" s="443"/>
      <c r="B61" s="443"/>
      <c r="C61" s="443"/>
      <c r="D61" s="330"/>
      <c r="E61" s="330"/>
      <c r="F61" s="330"/>
      <c r="G61" s="330"/>
      <c r="H61" s="330"/>
      <c r="I61" s="330"/>
      <c r="J61" s="330"/>
      <c r="K61" s="330"/>
      <c r="L61" s="330"/>
      <c r="M61" s="330"/>
      <c r="N61" s="330"/>
      <c r="O61" s="330"/>
      <c r="P61" s="330"/>
      <c r="Q61" s="330"/>
      <c r="R61" s="330"/>
      <c r="S61" s="330"/>
      <c r="T61" s="330"/>
      <c r="U61" s="330"/>
      <c r="V61" s="330"/>
      <c r="W61" s="330"/>
      <c r="X61" s="330"/>
      <c r="Y61" s="330"/>
      <c r="Z61" s="619"/>
      <c r="AA61" s="619"/>
      <c r="AB61" s="619"/>
      <c r="AC61" s="619"/>
      <c r="AD61" s="60"/>
    </row>
    <row r="62" spans="1:30" x14ac:dyDescent="0.25">
      <c r="A62" s="443"/>
      <c r="B62" s="443"/>
      <c r="C62" s="443"/>
      <c r="D62" s="330"/>
      <c r="E62" s="330"/>
      <c r="F62" s="330"/>
      <c r="G62" s="330"/>
      <c r="H62" s="330"/>
      <c r="I62" s="330"/>
      <c r="J62" s="330"/>
      <c r="K62" s="330"/>
      <c r="L62" s="330"/>
      <c r="M62" s="330"/>
      <c r="N62" s="330"/>
      <c r="O62" s="330"/>
      <c r="P62" s="330"/>
      <c r="Q62" s="330"/>
      <c r="R62" s="330"/>
      <c r="S62" s="330"/>
      <c r="T62" s="330"/>
      <c r="U62" s="330"/>
      <c r="V62" s="330"/>
      <c r="W62" s="330"/>
      <c r="X62" s="330"/>
      <c r="Y62" s="330"/>
      <c r="Z62" s="619"/>
      <c r="AA62" s="619"/>
      <c r="AB62" s="619"/>
      <c r="AC62" s="619"/>
      <c r="AD62" s="60"/>
    </row>
    <row r="63" spans="1:30" x14ac:dyDescent="0.25">
      <c r="A63" s="443"/>
      <c r="B63" s="443"/>
      <c r="C63" s="443"/>
      <c r="D63" s="330"/>
      <c r="E63" s="330"/>
      <c r="F63" s="330"/>
      <c r="G63" s="330"/>
      <c r="H63" s="330"/>
      <c r="I63" s="330"/>
      <c r="J63" s="330"/>
      <c r="K63" s="330"/>
      <c r="L63" s="330"/>
      <c r="M63" s="330"/>
      <c r="N63" s="330"/>
      <c r="O63" s="330"/>
      <c r="P63" s="330"/>
      <c r="Q63" s="330"/>
      <c r="R63" s="330"/>
      <c r="S63" s="330"/>
      <c r="T63" s="330"/>
      <c r="U63" s="330"/>
      <c r="V63" s="330"/>
      <c r="W63" s="330"/>
      <c r="X63" s="330"/>
      <c r="Y63" s="330"/>
      <c r="Z63" s="619"/>
      <c r="AA63" s="619"/>
      <c r="AB63" s="619"/>
      <c r="AC63" s="619"/>
      <c r="AD63" s="60"/>
    </row>
    <row r="64" spans="1:30" x14ac:dyDescent="0.25">
      <c r="A64" s="443"/>
      <c r="B64" s="443"/>
      <c r="C64" s="443"/>
      <c r="D64" s="330"/>
      <c r="E64" s="330"/>
      <c r="F64" s="330"/>
      <c r="G64" s="330"/>
      <c r="H64" s="330"/>
      <c r="I64" s="330"/>
      <c r="J64" s="330"/>
      <c r="K64" s="330"/>
      <c r="L64" s="330"/>
      <c r="M64" s="330"/>
      <c r="N64" s="330"/>
      <c r="O64" s="330"/>
      <c r="P64" s="330"/>
      <c r="Q64" s="330"/>
      <c r="R64" s="330"/>
      <c r="S64" s="330"/>
      <c r="T64" s="330"/>
      <c r="U64" s="330"/>
      <c r="V64" s="330"/>
      <c r="W64" s="330"/>
      <c r="X64" s="330"/>
      <c r="Y64" s="330"/>
      <c r="Z64" s="619"/>
      <c r="AA64" s="619"/>
      <c r="AB64" s="619"/>
      <c r="AC64" s="619"/>
      <c r="AD64" s="60"/>
    </row>
    <row r="65" spans="1:30" x14ac:dyDescent="0.25">
      <c r="A65" s="443"/>
      <c r="B65" s="443"/>
      <c r="C65" s="443"/>
      <c r="D65" s="330"/>
      <c r="E65" s="330"/>
      <c r="F65" s="330"/>
      <c r="G65" s="330"/>
      <c r="H65" s="330"/>
      <c r="I65" s="330"/>
      <c r="J65" s="330"/>
      <c r="K65" s="330"/>
      <c r="L65" s="330"/>
      <c r="M65" s="330"/>
      <c r="N65" s="330"/>
      <c r="O65" s="330"/>
      <c r="P65" s="330"/>
      <c r="Q65" s="330"/>
      <c r="R65" s="330"/>
      <c r="S65" s="330"/>
      <c r="T65" s="330"/>
      <c r="U65" s="330"/>
      <c r="V65" s="330"/>
      <c r="W65" s="330"/>
      <c r="X65" s="330"/>
      <c r="Y65" s="330"/>
      <c r="Z65" s="619"/>
      <c r="AA65" s="619"/>
      <c r="AB65" s="619"/>
      <c r="AC65" s="619"/>
      <c r="AD65" s="60"/>
    </row>
    <row r="66" spans="1:30" x14ac:dyDescent="0.25">
      <c r="A66" s="443"/>
      <c r="B66" s="443"/>
      <c r="C66" s="443"/>
      <c r="D66" s="330"/>
      <c r="E66" s="330"/>
      <c r="F66" s="330"/>
      <c r="G66" s="330"/>
      <c r="H66" s="330"/>
      <c r="I66" s="330"/>
      <c r="J66" s="330"/>
      <c r="K66" s="330"/>
      <c r="L66" s="330"/>
      <c r="M66" s="330"/>
      <c r="N66" s="330"/>
      <c r="O66" s="330"/>
      <c r="P66" s="330"/>
      <c r="Q66" s="330"/>
      <c r="R66" s="330"/>
      <c r="S66" s="330"/>
      <c r="T66" s="330"/>
      <c r="U66" s="330"/>
      <c r="V66" s="330"/>
      <c r="W66" s="330"/>
      <c r="X66" s="330"/>
      <c r="Y66" s="330"/>
      <c r="Z66" s="619"/>
      <c r="AA66" s="619"/>
      <c r="AB66" s="619"/>
      <c r="AC66" s="619"/>
      <c r="AD66" s="60"/>
    </row>
    <row r="67" spans="1:30" x14ac:dyDescent="0.25">
      <c r="A67" s="443"/>
      <c r="B67" s="443"/>
      <c r="C67" s="443"/>
      <c r="D67" s="330"/>
      <c r="E67" s="330"/>
      <c r="F67" s="330"/>
      <c r="G67" s="330"/>
      <c r="H67" s="330"/>
      <c r="I67" s="330"/>
      <c r="J67" s="330"/>
      <c r="K67" s="330"/>
      <c r="L67" s="330"/>
      <c r="M67" s="330"/>
      <c r="N67" s="330"/>
      <c r="O67" s="330"/>
      <c r="P67" s="330"/>
      <c r="Q67" s="330"/>
      <c r="R67" s="330"/>
      <c r="S67" s="330"/>
      <c r="T67" s="330"/>
      <c r="U67" s="330"/>
      <c r="V67" s="330"/>
      <c r="W67" s="330"/>
      <c r="X67" s="330"/>
      <c r="Y67" s="330"/>
      <c r="Z67" s="619"/>
      <c r="AA67" s="619"/>
      <c r="AB67" s="619"/>
      <c r="AC67" s="619"/>
      <c r="AD67" s="60"/>
    </row>
    <row r="68" spans="1:30" x14ac:dyDescent="0.25">
      <c r="A68" s="443"/>
      <c r="B68" s="443"/>
      <c r="C68" s="443"/>
      <c r="D68" s="330"/>
      <c r="E68" s="330"/>
      <c r="F68" s="330"/>
      <c r="G68" s="330"/>
      <c r="H68" s="330"/>
      <c r="I68" s="330"/>
      <c r="J68" s="330"/>
      <c r="K68" s="330"/>
      <c r="L68" s="330"/>
      <c r="M68" s="330"/>
      <c r="N68" s="330"/>
      <c r="O68" s="330"/>
      <c r="P68" s="330"/>
      <c r="Q68" s="330"/>
      <c r="R68" s="330"/>
      <c r="S68" s="330"/>
      <c r="T68" s="330"/>
      <c r="U68" s="330"/>
      <c r="V68" s="330"/>
      <c r="W68" s="330"/>
      <c r="X68" s="330"/>
      <c r="Y68" s="330"/>
      <c r="Z68" s="619"/>
      <c r="AA68" s="619"/>
      <c r="AB68" s="619"/>
      <c r="AC68" s="619"/>
      <c r="AD68" s="60"/>
    </row>
    <row r="69" spans="1:30" x14ac:dyDescent="0.25">
      <c r="A69" s="443"/>
      <c r="B69" s="443"/>
      <c r="C69" s="443"/>
      <c r="D69" s="330"/>
      <c r="E69" s="330"/>
      <c r="F69" s="330"/>
      <c r="G69" s="330"/>
      <c r="H69" s="330"/>
      <c r="I69" s="330"/>
      <c r="J69" s="330"/>
      <c r="K69" s="330"/>
      <c r="L69" s="330"/>
      <c r="M69" s="330"/>
      <c r="N69" s="330"/>
      <c r="O69" s="330"/>
      <c r="P69" s="330"/>
      <c r="Q69" s="330"/>
      <c r="R69" s="330"/>
      <c r="S69" s="330"/>
      <c r="T69" s="330"/>
      <c r="U69" s="330"/>
      <c r="V69" s="330"/>
      <c r="W69" s="330"/>
      <c r="X69" s="330"/>
      <c r="Y69" s="330"/>
      <c r="Z69" s="619"/>
      <c r="AA69" s="619"/>
      <c r="AB69" s="619"/>
      <c r="AC69" s="619"/>
      <c r="AD69" s="60"/>
    </row>
    <row r="70" spans="1:30" x14ac:dyDescent="0.25">
      <c r="A70" s="443"/>
      <c r="B70" s="443"/>
      <c r="C70" s="443"/>
      <c r="D70" s="330"/>
      <c r="E70" s="330"/>
      <c r="F70" s="330"/>
      <c r="G70" s="330"/>
      <c r="H70" s="330"/>
      <c r="I70" s="330"/>
      <c r="J70" s="330"/>
      <c r="K70" s="330"/>
      <c r="L70" s="330"/>
      <c r="M70" s="330"/>
      <c r="N70" s="330"/>
      <c r="O70" s="330"/>
      <c r="P70" s="330"/>
      <c r="Q70" s="330"/>
      <c r="R70" s="330"/>
      <c r="S70" s="330"/>
      <c r="T70" s="330"/>
      <c r="U70" s="330"/>
      <c r="V70" s="330"/>
      <c r="W70" s="330"/>
      <c r="X70" s="330"/>
      <c r="Y70" s="330"/>
      <c r="Z70" s="619"/>
      <c r="AA70" s="619"/>
      <c r="AB70" s="619"/>
      <c r="AC70" s="619"/>
      <c r="AD70" s="60"/>
    </row>
    <row r="71" spans="1:30" x14ac:dyDescent="0.25">
      <c r="A71" s="443"/>
      <c r="B71" s="443"/>
      <c r="C71" s="443"/>
      <c r="D71" s="330"/>
      <c r="E71" s="330"/>
      <c r="F71" s="330"/>
      <c r="G71" s="330"/>
      <c r="H71" s="330"/>
      <c r="I71" s="330"/>
      <c r="J71" s="330"/>
      <c r="K71" s="330"/>
      <c r="L71" s="330"/>
      <c r="M71" s="330"/>
      <c r="N71" s="330"/>
      <c r="O71" s="330"/>
      <c r="P71" s="330"/>
      <c r="Q71" s="330"/>
      <c r="R71" s="330"/>
      <c r="S71" s="330"/>
      <c r="T71" s="330"/>
      <c r="U71" s="330"/>
      <c r="V71" s="330"/>
      <c r="W71" s="330"/>
      <c r="X71" s="330"/>
      <c r="Y71" s="330"/>
      <c r="Z71" s="619"/>
      <c r="AA71" s="619"/>
      <c r="AB71" s="619"/>
      <c r="AC71" s="619"/>
      <c r="AD71" s="60"/>
    </row>
    <row r="72" spans="1:30" x14ac:dyDescent="0.25">
      <c r="A72" s="443"/>
      <c r="B72" s="443"/>
      <c r="C72" s="443"/>
      <c r="D72" s="330"/>
      <c r="E72" s="330"/>
      <c r="F72" s="330"/>
      <c r="G72" s="330"/>
      <c r="H72" s="330"/>
      <c r="I72" s="330"/>
      <c r="J72" s="330"/>
      <c r="K72" s="330"/>
      <c r="L72" s="330"/>
      <c r="M72" s="330"/>
      <c r="N72" s="330"/>
      <c r="O72" s="330"/>
      <c r="P72" s="330"/>
      <c r="Q72" s="330"/>
      <c r="R72" s="330"/>
      <c r="S72" s="330"/>
      <c r="T72" s="330"/>
      <c r="U72" s="330"/>
      <c r="V72" s="330"/>
      <c r="W72" s="330"/>
      <c r="X72" s="330"/>
      <c r="Y72" s="330"/>
      <c r="Z72" s="619"/>
      <c r="AA72" s="619"/>
      <c r="AB72" s="619"/>
      <c r="AC72" s="619"/>
      <c r="AD72" s="60"/>
    </row>
    <row r="73" spans="1:30" x14ac:dyDescent="0.25">
      <c r="A73" s="443"/>
      <c r="B73" s="443"/>
      <c r="C73" s="443"/>
      <c r="D73" s="330"/>
      <c r="E73" s="330"/>
      <c r="F73" s="330"/>
      <c r="G73" s="330"/>
      <c r="H73" s="330"/>
      <c r="I73" s="330"/>
      <c r="J73" s="330"/>
      <c r="K73" s="330"/>
      <c r="L73" s="330"/>
      <c r="M73" s="330"/>
      <c r="N73" s="330"/>
      <c r="O73" s="330"/>
      <c r="P73" s="330"/>
      <c r="Q73" s="330"/>
      <c r="R73" s="330"/>
      <c r="S73" s="330"/>
      <c r="T73" s="330"/>
      <c r="U73" s="330"/>
      <c r="V73" s="330"/>
      <c r="W73" s="330"/>
      <c r="X73" s="330"/>
      <c r="Y73" s="330"/>
      <c r="Z73" s="619"/>
      <c r="AA73" s="619"/>
      <c r="AB73" s="619"/>
      <c r="AC73" s="619"/>
      <c r="AD73" s="60"/>
    </row>
    <row r="74" spans="1:30" x14ac:dyDescent="0.25">
      <c r="A74" s="443"/>
      <c r="B74" s="443"/>
      <c r="C74" s="443"/>
      <c r="D74" s="330"/>
      <c r="E74" s="330"/>
      <c r="F74" s="330"/>
      <c r="G74" s="330"/>
      <c r="H74" s="330"/>
      <c r="I74" s="330"/>
      <c r="J74" s="330"/>
      <c r="K74" s="330"/>
      <c r="L74" s="330"/>
      <c r="M74" s="330"/>
      <c r="N74" s="330"/>
      <c r="O74" s="330"/>
      <c r="P74" s="330"/>
      <c r="Q74" s="330"/>
      <c r="R74" s="330"/>
      <c r="S74" s="330"/>
      <c r="T74" s="330"/>
      <c r="U74" s="330"/>
      <c r="V74" s="330"/>
      <c r="W74" s="330"/>
      <c r="X74" s="330"/>
      <c r="Y74" s="330"/>
      <c r="Z74" s="619"/>
      <c r="AA74" s="619"/>
      <c r="AB74" s="619"/>
      <c r="AC74" s="619"/>
      <c r="AD74" s="60"/>
    </row>
    <row r="75" spans="1:30" x14ac:dyDescent="0.25">
      <c r="A75" s="443"/>
      <c r="B75" s="443"/>
      <c r="C75" s="443"/>
      <c r="D75" s="330"/>
      <c r="E75" s="330"/>
      <c r="F75" s="330"/>
      <c r="G75" s="330"/>
      <c r="H75" s="330"/>
      <c r="I75" s="330"/>
      <c r="J75" s="330"/>
      <c r="K75" s="330"/>
      <c r="L75" s="330"/>
      <c r="M75" s="330"/>
      <c r="N75" s="330"/>
      <c r="O75" s="330"/>
      <c r="P75" s="330"/>
      <c r="Q75" s="330"/>
      <c r="R75" s="330"/>
      <c r="S75" s="330"/>
      <c r="T75" s="330"/>
      <c r="U75" s="330"/>
      <c r="V75" s="330"/>
      <c r="W75" s="330"/>
      <c r="X75" s="330"/>
      <c r="Y75" s="330"/>
      <c r="Z75" s="619"/>
      <c r="AA75" s="619"/>
      <c r="AB75" s="619"/>
      <c r="AC75" s="619"/>
      <c r="AD75" s="60"/>
    </row>
    <row r="76" spans="1:30" x14ac:dyDescent="0.25">
      <c r="A76" s="443"/>
      <c r="B76" s="443"/>
      <c r="C76" s="443"/>
      <c r="D76" s="330"/>
      <c r="E76" s="330"/>
      <c r="F76" s="330"/>
      <c r="G76" s="330"/>
      <c r="H76" s="330"/>
      <c r="I76" s="330"/>
      <c r="J76" s="330"/>
      <c r="K76" s="330"/>
      <c r="L76" s="330"/>
      <c r="M76" s="330"/>
      <c r="N76" s="330"/>
      <c r="O76" s="330"/>
      <c r="P76" s="330"/>
      <c r="Q76" s="330"/>
      <c r="R76" s="330"/>
      <c r="S76" s="330"/>
      <c r="T76" s="330"/>
      <c r="U76" s="330"/>
      <c r="V76" s="330"/>
      <c r="W76" s="330"/>
      <c r="X76" s="330"/>
      <c r="Y76" s="330"/>
      <c r="Z76" s="619"/>
      <c r="AA76" s="619"/>
      <c r="AB76" s="619"/>
      <c r="AC76" s="619"/>
      <c r="AD76" s="60"/>
    </row>
    <row r="77" spans="1:30" x14ac:dyDescent="0.25">
      <c r="A77" s="443"/>
      <c r="B77" s="443"/>
      <c r="C77" s="443"/>
      <c r="D77" s="330"/>
      <c r="E77" s="330"/>
      <c r="F77" s="330"/>
      <c r="G77" s="330"/>
      <c r="H77" s="330"/>
      <c r="I77" s="330"/>
      <c r="J77" s="330"/>
      <c r="K77" s="330"/>
      <c r="L77" s="330"/>
      <c r="M77" s="330"/>
      <c r="N77" s="330"/>
      <c r="O77" s="330"/>
      <c r="P77" s="330"/>
      <c r="Q77" s="330"/>
      <c r="R77" s="330"/>
      <c r="S77" s="330"/>
      <c r="T77" s="330"/>
      <c r="U77" s="330"/>
      <c r="V77" s="330"/>
      <c r="W77" s="330"/>
      <c r="X77" s="330"/>
      <c r="Y77" s="330"/>
      <c r="Z77" s="619"/>
      <c r="AA77" s="619"/>
      <c r="AB77" s="619"/>
      <c r="AC77" s="619"/>
      <c r="AD77" s="60"/>
    </row>
    <row r="78" spans="1:30" x14ac:dyDescent="0.25">
      <c r="A78" s="443"/>
      <c r="B78" s="443"/>
      <c r="C78" s="443"/>
      <c r="D78" s="330"/>
      <c r="E78" s="330"/>
      <c r="F78" s="330"/>
      <c r="G78" s="330"/>
      <c r="H78" s="330"/>
      <c r="I78" s="330"/>
      <c r="J78" s="330"/>
      <c r="K78" s="330"/>
      <c r="L78" s="330"/>
      <c r="M78" s="330"/>
      <c r="N78" s="330"/>
      <c r="O78" s="330"/>
      <c r="P78" s="330"/>
      <c r="Q78" s="330"/>
      <c r="R78" s="330"/>
      <c r="S78" s="330"/>
      <c r="T78" s="330"/>
      <c r="U78" s="330"/>
      <c r="V78" s="330"/>
      <c r="W78" s="330"/>
      <c r="X78" s="330"/>
      <c r="Y78" s="330"/>
      <c r="Z78" s="619"/>
      <c r="AA78" s="619"/>
      <c r="AB78" s="619"/>
      <c r="AC78" s="619"/>
      <c r="AD78" s="60"/>
    </row>
    <row r="79" spans="1:30" x14ac:dyDescent="0.25">
      <c r="A79" s="443"/>
      <c r="B79" s="443"/>
      <c r="C79" s="443"/>
      <c r="D79" s="330"/>
      <c r="E79" s="330"/>
      <c r="F79" s="330"/>
      <c r="G79" s="330"/>
      <c r="H79" s="330"/>
      <c r="I79" s="330"/>
      <c r="J79" s="330"/>
      <c r="K79" s="330"/>
      <c r="L79" s="330"/>
      <c r="M79" s="330"/>
      <c r="N79" s="330"/>
      <c r="O79" s="330"/>
      <c r="P79" s="330"/>
      <c r="Q79" s="330"/>
      <c r="R79" s="330"/>
      <c r="S79" s="330"/>
      <c r="T79" s="330"/>
      <c r="U79" s="330"/>
      <c r="V79" s="330"/>
      <c r="W79" s="330"/>
      <c r="X79" s="330"/>
      <c r="Y79" s="330"/>
      <c r="Z79" s="619"/>
      <c r="AA79" s="619"/>
      <c r="AB79" s="619"/>
      <c r="AC79" s="619"/>
      <c r="AD79" s="60"/>
    </row>
    <row r="80" spans="1:30" x14ac:dyDescent="0.25">
      <c r="A80" s="443"/>
      <c r="B80" s="443"/>
      <c r="C80" s="443"/>
      <c r="D80" s="330"/>
      <c r="E80" s="330"/>
      <c r="F80" s="330"/>
      <c r="G80" s="330"/>
      <c r="H80" s="330"/>
      <c r="I80" s="330"/>
      <c r="J80" s="330"/>
      <c r="K80" s="330"/>
      <c r="L80" s="330"/>
      <c r="M80" s="330"/>
      <c r="N80" s="330"/>
      <c r="O80" s="330"/>
      <c r="P80" s="330"/>
      <c r="Q80" s="330"/>
      <c r="R80" s="330"/>
      <c r="S80" s="330"/>
      <c r="T80" s="330"/>
      <c r="U80" s="330"/>
      <c r="V80" s="330"/>
      <c r="W80" s="330"/>
      <c r="X80" s="330"/>
      <c r="Y80" s="330"/>
      <c r="Z80" s="619"/>
      <c r="AA80" s="619"/>
      <c r="AB80" s="619"/>
      <c r="AC80" s="619"/>
      <c r="AD80" s="60"/>
    </row>
    <row r="81" spans="1:30" x14ac:dyDescent="0.25">
      <c r="A81" s="443"/>
      <c r="B81" s="443"/>
      <c r="C81" s="443"/>
      <c r="D81" s="330"/>
      <c r="E81" s="330"/>
      <c r="F81" s="330"/>
      <c r="G81" s="330"/>
      <c r="H81" s="330"/>
      <c r="I81" s="330"/>
      <c r="J81" s="330"/>
      <c r="K81" s="330"/>
      <c r="L81" s="330"/>
      <c r="M81" s="330"/>
      <c r="N81" s="330"/>
      <c r="O81" s="330"/>
      <c r="P81" s="330"/>
      <c r="Q81" s="330"/>
      <c r="R81" s="330"/>
      <c r="S81" s="330"/>
      <c r="T81" s="330"/>
      <c r="U81" s="330"/>
      <c r="V81" s="330"/>
      <c r="W81" s="330"/>
      <c r="X81" s="330"/>
      <c r="Y81" s="330"/>
      <c r="Z81" s="619"/>
      <c r="AA81" s="619"/>
      <c r="AB81" s="619"/>
      <c r="AC81" s="619"/>
      <c r="AD81" s="60"/>
    </row>
    <row r="82" spans="1:30" x14ac:dyDescent="0.25">
      <c r="A82" s="443"/>
      <c r="B82" s="443"/>
      <c r="C82" s="443"/>
      <c r="D82" s="330"/>
      <c r="E82" s="330"/>
      <c r="F82" s="330"/>
      <c r="G82" s="330"/>
      <c r="H82" s="330"/>
      <c r="I82" s="330"/>
      <c r="J82" s="330"/>
      <c r="K82" s="330"/>
      <c r="L82" s="330"/>
      <c r="M82" s="330"/>
      <c r="N82" s="330"/>
      <c r="O82" s="330"/>
      <c r="P82" s="330"/>
      <c r="Q82" s="330"/>
      <c r="R82" s="330"/>
      <c r="S82" s="330"/>
      <c r="T82" s="330"/>
      <c r="U82" s="330"/>
      <c r="V82" s="330"/>
      <c r="W82" s="330"/>
      <c r="X82" s="330"/>
      <c r="Y82" s="330"/>
      <c r="Z82" s="619"/>
      <c r="AA82" s="619"/>
      <c r="AB82" s="619"/>
      <c r="AC82" s="619"/>
      <c r="AD82" s="60"/>
    </row>
    <row r="83" spans="1:30" x14ac:dyDescent="0.25">
      <c r="A83" s="443"/>
      <c r="B83" s="443"/>
      <c r="C83" s="443"/>
      <c r="D83" s="330"/>
      <c r="E83" s="330"/>
      <c r="F83" s="330"/>
      <c r="G83" s="330"/>
      <c r="H83" s="330"/>
      <c r="I83" s="330"/>
      <c r="J83" s="330"/>
      <c r="K83" s="330"/>
      <c r="L83" s="330"/>
      <c r="M83" s="330"/>
      <c r="N83" s="330"/>
      <c r="O83" s="330"/>
      <c r="P83" s="330"/>
      <c r="Q83" s="330"/>
      <c r="R83" s="330"/>
      <c r="S83" s="330"/>
      <c r="T83" s="330"/>
      <c r="U83" s="330"/>
      <c r="V83" s="330"/>
      <c r="W83" s="330"/>
      <c r="X83" s="330"/>
      <c r="Y83" s="330"/>
      <c r="Z83" s="619"/>
      <c r="AA83" s="619"/>
      <c r="AB83" s="619"/>
      <c r="AC83" s="619"/>
      <c r="AD83" s="60"/>
    </row>
    <row r="84" spans="1:30" x14ac:dyDescent="0.25">
      <c r="A84" s="443"/>
      <c r="B84" s="443"/>
      <c r="C84" s="443"/>
      <c r="D84" s="330"/>
      <c r="E84" s="330"/>
      <c r="F84" s="330"/>
      <c r="G84" s="330"/>
      <c r="H84" s="330"/>
      <c r="I84" s="330"/>
      <c r="J84" s="330"/>
      <c r="K84" s="330"/>
      <c r="L84" s="330"/>
      <c r="M84" s="330"/>
      <c r="N84" s="330"/>
      <c r="O84" s="330"/>
      <c r="P84" s="330"/>
      <c r="Q84" s="330"/>
      <c r="R84" s="330"/>
      <c r="S84" s="330"/>
      <c r="T84" s="330"/>
      <c r="U84" s="330"/>
      <c r="V84" s="330"/>
      <c r="W84" s="330"/>
      <c r="X84" s="330"/>
      <c r="Y84" s="330"/>
      <c r="Z84" s="619"/>
      <c r="AA84" s="619"/>
      <c r="AB84" s="619"/>
      <c r="AC84" s="619"/>
      <c r="AD84" s="60"/>
    </row>
    <row r="85" spans="1:30" x14ac:dyDescent="0.25">
      <c r="A85" s="443"/>
      <c r="B85" s="443"/>
      <c r="C85" s="443"/>
      <c r="D85" s="330"/>
      <c r="E85" s="330"/>
      <c r="F85" s="330"/>
      <c r="G85" s="330"/>
      <c r="H85" s="330"/>
      <c r="I85" s="330"/>
      <c r="J85" s="330"/>
      <c r="K85" s="330"/>
      <c r="L85" s="330"/>
      <c r="M85" s="330"/>
      <c r="N85" s="330"/>
      <c r="O85" s="330"/>
      <c r="P85" s="330"/>
      <c r="Q85" s="330"/>
      <c r="R85" s="330"/>
      <c r="S85" s="330"/>
      <c r="T85" s="330"/>
      <c r="U85" s="330"/>
      <c r="V85" s="330"/>
      <c r="W85" s="330"/>
      <c r="X85" s="330"/>
      <c r="Y85" s="330"/>
      <c r="Z85" s="619"/>
      <c r="AA85" s="619"/>
      <c r="AB85" s="619"/>
      <c r="AC85" s="619"/>
      <c r="AD85" s="60"/>
    </row>
    <row r="86" spans="1:30" x14ac:dyDescent="0.25">
      <c r="A86" s="443"/>
      <c r="B86" s="443"/>
      <c r="C86" s="443"/>
      <c r="D86" s="330"/>
      <c r="E86" s="330"/>
      <c r="F86" s="330"/>
      <c r="G86" s="330"/>
      <c r="H86" s="330"/>
      <c r="I86" s="330"/>
      <c r="J86" s="330"/>
      <c r="K86" s="330"/>
      <c r="L86" s="330"/>
      <c r="M86" s="330"/>
      <c r="N86" s="330"/>
      <c r="O86" s="330"/>
      <c r="P86" s="330"/>
      <c r="Q86" s="330"/>
      <c r="R86" s="330"/>
      <c r="S86" s="330"/>
      <c r="T86" s="330"/>
      <c r="U86" s="330"/>
      <c r="V86" s="330"/>
      <c r="W86" s="330"/>
      <c r="X86" s="330"/>
      <c r="Y86" s="330"/>
      <c r="Z86" s="619"/>
      <c r="AA86" s="619"/>
      <c r="AB86" s="619"/>
      <c r="AC86" s="619"/>
      <c r="AD86" s="60"/>
    </row>
    <row r="87" spans="1:30" x14ac:dyDescent="0.25">
      <c r="A87" s="443"/>
      <c r="B87" s="443"/>
      <c r="C87" s="443"/>
      <c r="D87" s="330"/>
      <c r="E87" s="330"/>
      <c r="F87" s="330"/>
      <c r="G87" s="330"/>
      <c r="H87" s="330"/>
      <c r="I87" s="330"/>
      <c r="J87" s="330"/>
      <c r="K87" s="330"/>
      <c r="L87" s="330"/>
      <c r="M87" s="330"/>
      <c r="N87" s="330"/>
      <c r="O87" s="330"/>
      <c r="P87" s="330"/>
      <c r="Q87" s="330"/>
      <c r="R87" s="330"/>
      <c r="S87" s="330"/>
      <c r="T87" s="330"/>
      <c r="U87" s="330"/>
      <c r="V87" s="330"/>
      <c r="W87" s="330"/>
      <c r="X87" s="330"/>
      <c r="Y87" s="330"/>
      <c r="Z87" s="619"/>
      <c r="AA87" s="619"/>
      <c r="AB87" s="619"/>
      <c r="AC87" s="619"/>
      <c r="AD87" s="60"/>
    </row>
    <row r="88" spans="1:30" x14ac:dyDescent="0.25">
      <c r="A88" s="443"/>
      <c r="B88" s="443"/>
      <c r="C88" s="443"/>
      <c r="D88" s="330"/>
      <c r="E88" s="330"/>
      <c r="F88" s="330"/>
      <c r="G88" s="330"/>
      <c r="H88" s="330"/>
      <c r="I88" s="330"/>
      <c r="J88" s="330"/>
      <c r="K88" s="330"/>
      <c r="L88" s="330"/>
      <c r="M88" s="330"/>
      <c r="N88" s="330"/>
      <c r="O88" s="330"/>
      <c r="P88" s="330"/>
      <c r="Q88" s="330"/>
      <c r="R88" s="330"/>
      <c r="S88" s="330"/>
      <c r="T88" s="330"/>
      <c r="U88" s="330"/>
      <c r="V88" s="330"/>
      <c r="W88" s="330"/>
      <c r="X88" s="330"/>
      <c r="Y88" s="330"/>
      <c r="Z88" s="619"/>
      <c r="AA88" s="619"/>
      <c r="AB88" s="619"/>
      <c r="AC88" s="619"/>
      <c r="AD88" s="60"/>
    </row>
    <row r="89" spans="1:30" x14ac:dyDescent="0.25">
      <c r="A89" s="443"/>
      <c r="B89" s="443"/>
      <c r="C89" s="443"/>
      <c r="D89" s="330"/>
      <c r="E89" s="330"/>
      <c r="F89" s="330"/>
      <c r="G89" s="330"/>
      <c r="H89" s="330"/>
      <c r="I89" s="330"/>
      <c r="J89" s="330"/>
      <c r="K89" s="330"/>
      <c r="L89" s="330"/>
      <c r="M89" s="330"/>
      <c r="N89" s="330"/>
      <c r="O89" s="330"/>
      <c r="P89" s="330"/>
      <c r="Q89" s="330"/>
      <c r="R89" s="330"/>
      <c r="S89" s="330"/>
      <c r="T89" s="330"/>
      <c r="U89" s="330"/>
      <c r="V89" s="330"/>
      <c r="W89" s="330"/>
      <c r="X89" s="330"/>
      <c r="Y89" s="330"/>
      <c r="Z89" s="619"/>
      <c r="AA89" s="619"/>
      <c r="AB89" s="619"/>
      <c r="AC89" s="619"/>
      <c r="AD89" s="60"/>
    </row>
    <row r="90" spans="1:30" x14ac:dyDescent="0.25">
      <c r="A90" s="443"/>
      <c r="B90" s="443"/>
      <c r="C90" s="443"/>
      <c r="D90" s="330"/>
      <c r="E90" s="330"/>
      <c r="F90" s="330"/>
      <c r="G90" s="330"/>
      <c r="H90" s="330"/>
      <c r="I90" s="330"/>
      <c r="J90" s="330"/>
      <c r="K90" s="330"/>
      <c r="L90" s="330"/>
      <c r="M90" s="330"/>
      <c r="N90" s="330"/>
      <c r="O90" s="330"/>
      <c r="P90" s="330"/>
      <c r="Q90" s="330"/>
      <c r="R90" s="330"/>
      <c r="S90" s="330"/>
      <c r="T90" s="330"/>
      <c r="U90" s="330"/>
      <c r="V90" s="330"/>
      <c r="W90" s="330"/>
      <c r="X90" s="330"/>
      <c r="Y90" s="330"/>
      <c r="Z90" s="619"/>
      <c r="AA90" s="619"/>
      <c r="AB90" s="619"/>
      <c r="AC90" s="619"/>
      <c r="AD90" s="60"/>
    </row>
    <row r="91" spans="1:30" x14ac:dyDescent="0.25">
      <c r="A91" s="443"/>
      <c r="B91" s="443"/>
      <c r="C91" s="443"/>
      <c r="D91" s="330"/>
      <c r="E91" s="330"/>
      <c r="F91" s="330"/>
      <c r="G91" s="330"/>
      <c r="H91" s="330"/>
      <c r="I91" s="330"/>
      <c r="J91" s="330"/>
      <c r="K91" s="330"/>
      <c r="L91" s="330"/>
      <c r="M91" s="330"/>
      <c r="N91" s="330"/>
      <c r="O91" s="330"/>
      <c r="P91" s="330"/>
      <c r="Q91" s="330"/>
      <c r="R91" s="330"/>
      <c r="S91" s="330"/>
      <c r="T91" s="330"/>
      <c r="U91" s="330"/>
      <c r="V91" s="330"/>
      <c r="W91" s="330"/>
      <c r="X91" s="330"/>
      <c r="Y91" s="330"/>
      <c r="Z91" s="619"/>
      <c r="AA91" s="619"/>
      <c r="AB91" s="619"/>
      <c r="AC91" s="619"/>
      <c r="AD91" s="60"/>
    </row>
    <row r="92" spans="1:30" x14ac:dyDescent="0.25">
      <c r="A92" s="443"/>
      <c r="B92" s="443"/>
      <c r="C92" s="443"/>
      <c r="D92" s="330"/>
      <c r="E92" s="330"/>
      <c r="F92" s="330"/>
      <c r="G92" s="330"/>
      <c r="H92" s="330"/>
      <c r="I92" s="330"/>
      <c r="J92" s="330"/>
      <c r="K92" s="330"/>
      <c r="L92" s="330"/>
      <c r="M92" s="330"/>
      <c r="N92" s="330"/>
      <c r="O92" s="330"/>
      <c r="P92" s="330"/>
      <c r="Q92" s="330"/>
      <c r="R92" s="330"/>
      <c r="S92" s="330"/>
      <c r="T92" s="330"/>
      <c r="U92" s="330"/>
      <c r="V92" s="330"/>
      <c r="W92" s="330"/>
      <c r="X92" s="330"/>
      <c r="Y92" s="330"/>
      <c r="Z92" s="619"/>
      <c r="AA92" s="619"/>
      <c r="AB92" s="619"/>
      <c r="AC92" s="619"/>
      <c r="AD92" s="60"/>
    </row>
    <row r="93" spans="1:30" x14ac:dyDescent="0.25">
      <c r="A93" s="443"/>
      <c r="B93" s="443"/>
      <c r="C93" s="443"/>
      <c r="D93" s="330"/>
      <c r="E93" s="330"/>
      <c r="F93" s="330"/>
      <c r="G93" s="330"/>
      <c r="H93" s="330"/>
      <c r="I93" s="330"/>
      <c r="J93" s="330"/>
      <c r="K93" s="330"/>
      <c r="L93" s="330"/>
      <c r="M93" s="330"/>
      <c r="N93" s="330"/>
      <c r="O93" s="330"/>
      <c r="P93" s="330"/>
      <c r="Q93" s="330"/>
      <c r="R93" s="330"/>
      <c r="S93" s="330"/>
      <c r="T93" s="330"/>
      <c r="U93" s="330"/>
      <c r="V93" s="330"/>
      <c r="W93" s="330"/>
      <c r="X93" s="330"/>
      <c r="Y93" s="330"/>
      <c r="Z93" s="619"/>
      <c r="AA93" s="619"/>
      <c r="AB93" s="619"/>
      <c r="AC93" s="619"/>
      <c r="AD93" s="60"/>
    </row>
    <row r="94" spans="1:30" x14ac:dyDescent="0.25">
      <c r="A94" s="443"/>
      <c r="B94" s="443"/>
      <c r="C94" s="443"/>
      <c r="D94" s="330"/>
      <c r="E94" s="330"/>
      <c r="F94" s="330"/>
      <c r="G94" s="330"/>
      <c r="H94" s="330"/>
      <c r="I94" s="330"/>
      <c r="J94" s="330"/>
      <c r="K94" s="330"/>
      <c r="L94" s="330"/>
      <c r="M94" s="330"/>
      <c r="N94" s="330"/>
      <c r="O94" s="330"/>
      <c r="P94" s="330"/>
      <c r="Q94" s="330"/>
      <c r="R94" s="330"/>
      <c r="S94" s="330"/>
      <c r="T94" s="330"/>
      <c r="U94" s="330"/>
      <c r="V94" s="330"/>
      <c r="W94" s="330"/>
      <c r="X94" s="330"/>
      <c r="Y94" s="330"/>
      <c r="Z94" s="619"/>
      <c r="AA94" s="619"/>
      <c r="AB94" s="619"/>
      <c r="AC94" s="619"/>
      <c r="AD94" s="60"/>
    </row>
    <row r="95" spans="1:30" x14ac:dyDescent="0.25">
      <c r="A95" s="443"/>
      <c r="B95" s="443"/>
      <c r="C95" s="443"/>
      <c r="D95" s="330"/>
      <c r="E95" s="330"/>
      <c r="F95" s="330"/>
      <c r="G95" s="330"/>
      <c r="H95" s="330"/>
      <c r="I95" s="330"/>
      <c r="J95" s="330"/>
      <c r="K95" s="330"/>
      <c r="L95" s="330"/>
      <c r="M95" s="330"/>
      <c r="N95" s="330"/>
      <c r="O95" s="330"/>
      <c r="P95" s="330"/>
      <c r="Q95" s="330"/>
      <c r="R95" s="330"/>
      <c r="S95" s="330"/>
      <c r="T95" s="330"/>
      <c r="U95" s="330"/>
      <c r="V95" s="330"/>
      <c r="W95" s="330"/>
      <c r="X95" s="330"/>
      <c r="Y95" s="330"/>
      <c r="Z95" s="619"/>
      <c r="AA95" s="619"/>
      <c r="AB95" s="619"/>
      <c r="AC95" s="619"/>
      <c r="AD95" s="60"/>
    </row>
    <row r="96" spans="1:30" x14ac:dyDescent="0.25">
      <c r="A96" s="443"/>
      <c r="B96" s="443"/>
      <c r="C96" s="443"/>
      <c r="D96" s="330"/>
      <c r="E96" s="330"/>
      <c r="F96" s="330"/>
      <c r="G96" s="330"/>
      <c r="H96" s="330"/>
      <c r="I96" s="330"/>
      <c r="J96" s="330"/>
      <c r="K96" s="330"/>
      <c r="L96" s="330"/>
      <c r="M96" s="330"/>
      <c r="N96" s="330"/>
      <c r="O96" s="330"/>
      <c r="P96" s="330"/>
      <c r="Q96" s="330"/>
      <c r="R96" s="330"/>
      <c r="S96" s="330"/>
      <c r="T96" s="330"/>
      <c r="U96" s="330"/>
      <c r="V96" s="330"/>
      <c r="W96" s="330"/>
      <c r="X96" s="330"/>
      <c r="Y96" s="330"/>
      <c r="Z96" s="619"/>
      <c r="AA96" s="619"/>
      <c r="AB96" s="619"/>
      <c r="AC96" s="619"/>
      <c r="AD96" s="60"/>
    </row>
    <row r="97" spans="1:30" x14ac:dyDescent="0.25">
      <c r="A97" s="443"/>
      <c r="B97" s="443"/>
      <c r="C97" s="443"/>
      <c r="D97" s="330"/>
      <c r="E97" s="330"/>
      <c r="F97" s="330"/>
      <c r="G97" s="330"/>
      <c r="H97" s="330"/>
      <c r="I97" s="330"/>
      <c r="J97" s="330"/>
      <c r="K97" s="330"/>
      <c r="L97" s="330"/>
      <c r="M97" s="330"/>
      <c r="N97" s="330"/>
      <c r="O97" s="330"/>
      <c r="P97" s="330"/>
      <c r="Q97" s="330"/>
      <c r="R97" s="330"/>
      <c r="S97" s="330"/>
      <c r="T97" s="330"/>
      <c r="U97" s="330"/>
      <c r="V97" s="330"/>
      <c r="W97" s="330"/>
      <c r="X97" s="330"/>
      <c r="Y97" s="330"/>
      <c r="Z97" s="619"/>
      <c r="AA97" s="619"/>
      <c r="AB97" s="619"/>
      <c r="AC97" s="619"/>
      <c r="AD97" s="60"/>
    </row>
    <row r="98" spans="1:30" x14ac:dyDescent="0.25">
      <c r="A98" s="443"/>
      <c r="B98" s="443"/>
      <c r="C98" s="443"/>
      <c r="D98" s="330"/>
      <c r="E98" s="330"/>
      <c r="F98" s="330"/>
      <c r="G98" s="330"/>
      <c r="H98" s="330"/>
      <c r="I98" s="330"/>
      <c r="J98" s="330"/>
      <c r="K98" s="330"/>
      <c r="L98" s="330"/>
      <c r="M98" s="330"/>
      <c r="N98" s="330"/>
      <c r="O98" s="330"/>
      <c r="P98" s="330"/>
      <c r="Q98" s="330"/>
      <c r="R98" s="330"/>
      <c r="S98" s="330"/>
      <c r="T98" s="330"/>
      <c r="U98" s="330"/>
      <c r="V98" s="330"/>
      <c r="W98" s="330"/>
      <c r="X98" s="330"/>
      <c r="Y98" s="330"/>
      <c r="Z98" s="619"/>
      <c r="AA98" s="619"/>
      <c r="AB98" s="619"/>
      <c r="AC98" s="619"/>
      <c r="AD98" s="60"/>
    </row>
    <row r="99" spans="1:30" x14ac:dyDescent="0.25">
      <c r="A99" s="443"/>
      <c r="B99" s="443"/>
      <c r="C99" s="443"/>
      <c r="D99" s="330"/>
      <c r="E99" s="330"/>
      <c r="F99" s="330"/>
      <c r="G99" s="330"/>
      <c r="H99" s="330"/>
      <c r="I99" s="330"/>
      <c r="J99" s="330"/>
      <c r="K99" s="330"/>
      <c r="L99" s="330"/>
      <c r="M99" s="330"/>
      <c r="N99" s="330"/>
      <c r="O99" s="330"/>
      <c r="P99" s="330"/>
      <c r="Q99" s="330"/>
      <c r="R99" s="330"/>
      <c r="S99" s="330"/>
      <c r="T99" s="330"/>
      <c r="U99" s="330"/>
      <c r="V99" s="330"/>
      <c r="W99" s="330"/>
      <c r="X99" s="330"/>
      <c r="Y99" s="330"/>
      <c r="Z99" s="619"/>
      <c r="AA99" s="619"/>
      <c r="AB99" s="619"/>
      <c r="AC99" s="619"/>
      <c r="AD99" s="60"/>
    </row>
    <row r="100" spans="1:30" x14ac:dyDescent="0.25">
      <c r="A100" s="443"/>
      <c r="B100" s="443"/>
      <c r="C100" s="443"/>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619"/>
      <c r="AA100" s="619"/>
      <c r="AB100" s="619"/>
      <c r="AC100" s="619"/>
      <c r="AD100" s="60"/>
    </row>
    <row r="101" spans="1:30" x14ac:dyDescent="0.25">
      <c r="A101" s="443"/>
      <c r="B101" s="443"/>
      <c r="C101" s="443"/>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619"/>
      <c r="AA101" s="619"/>
      <c r="AB101" s="619"/>
      <c r="AC101" s="619"/>
      <c r="AD101" s="60"/>
    </row>
    <row r="102" spans="1:30" x14ac:dyDescent="0.25">
      <c r="A102" s="443"/>
      <c r="B102" s="443"/>
      <c r="C102" s="443"/>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619"/>
      <c r="AA102" s="619"/>
      <c r="AB102" s="619"/>
      <c r="AC102" s="619"/>
      <c r="AD102" s="60"/>
    </row>
    <row r="103" spans="1:30" x14ac:dyDescent="0.25">
      <c r="A103" s="443"/>
      <c r="B103" s="443"/>
      <c r="C103" s="443"/>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619"/>
      <c r="AA103" s="619"/>
      <c r="AB103" s="619"/>
      <c r="AC103" s="619"/>
      <c r="AD103" s="60"/>
    </row>
    <row r="104" spans="1:30" x14ac:dyDescent="0.25">
      <c r="A104" s="443"/>
      <c r="B104" s="443"/>
      <c r="C104" s="443"/>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619"/>
      <c r="AA104" s="619"/>
      <c r="AB104" s="619"/>
      <c r="AC104" s="619"/>
      <c r="AD104" s="60"/>
    </row>
    <row r="105" spans="1:30" x14ac:dyDescent="0.25">
      <c r="A105" s="443"/>
      <c r="B105" s="443"/>
      <c r="C105" s="443"/>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619"/>
      <c r="AA105" s="619"/>
      <c r="AB105" s="619"/>
      <c r="AC105" s="619"/>
      <c r="AD105" s="60"/>
    </row>
    <row r="106" spans="1:30" x14ac:dyDescent="0.25">
      <c r="A106" s="443"/>
      <c r="B106" s="443"/>
      <c r="C106" s="443"/>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619"/>
      <c r="AA106" s="619"/>
      <c r="AB106" s="619"/>
      <c r="AC106" s="619"/>
      <c r="AD106" s="60"/>
    </row>
    <row r="107" spans="1:30" x14ac:dyDescent="0.25">
      <c r="A107" s="443"/>
      <c r="B107" s="443"/>
      <c r="C107" s="443"/>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619"/>
      <c r="AA107" s="619"/>
      <c r="AB107" s="619"/>
      <c r="AC107" s="619"/>
      <c r="AD107" s="60"/>
    </row>
    <row r="108" spans="1:30" x14ac:dyDescent="0.25">
      <c r="A108" s="443"/>
      <c r="B108" s="443"/>
      <c r="C108" s="443"/>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619"/>
      <c r="AA108" s="619"/>
      <c r="AB108" s="619"/>
      <c r="AC108" s="619"/>
      <c r="AD108" s="60"/>
    </row>
    <row r="109" spans="1:30" x14ac:dyDescent="0.25">
      <c r="A109" s="443"/>
      <c r="B109" s="443"/>
      <c r="C109" s="443"/>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619"/>
      <c r="AA109" s="619"/>
      <c r="AB109" s="619"/>
      <c r="AC109" s="619"/>
      <c r="AD109" s="60"/>
    </row>
    <row r="110" spans="1:30" x14ac:dyDescent="0.25">
      <c r="A110" s="443"/>
      <c r="B110" s="443"/>
      <c r="C110" s="443"/>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619"/>
      <c r="AA110" s="619"/>
      <c r="AB110" s="619"/>
      <c r="AC110" s="619"/>
      <c r="AD110" s="60"/>
    </row>
    <row r="111" spans="1:30" x14ac:dyDescent="0.25">
      <c r="A111" s="443"/>
      <c r="B111" s="443"/>
      <c r="C111" s="443"/>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619"/>
      <c r="AA111" s="619"/>
      <c r="AB111" s="619"/>
      <c r="AC111" s="619"/>
      <c r="AD111" s="60"/>
    </row>
    <row r="112" spans="1:30" x14ac:dyDescent="0.25">
      <c r="A112" s="443"/>
      <c r="B112" s="443"/>
      <c r="C112" s="443"/>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619"/>
      <c r="AA112" s="619"/>
      <c r="AB112" s="619"/>
      <c r="AC112" s="619"/>
      <c r="AD112" s="60"/>
    </row>
    <row r="113" spans="1:30" x14ac:dyDescent="0.25">
      <c r="A113" s="443"/>
      <c r="B113" s="443"/>
      <c r="C113" s="443"/>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619"/>
      <c r="AA113" s="619"/>
      <c r="AB113" s="619"/>
      <c r="AC113" s="619"/>
      <c r="AD113" s="60"/>
    </row>
    <row r="114" spans="1:30" x14ac:dyDescent="0.25">
      <c r="A114" s="443"/>
      <c r="B114" s="443"/>
      <c r="C114" s="443"/>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619"/>
      <c r="AA114" s="619"/>
      <c r="AB114" s="619"/>
      <c r="AC114" s="619"/>
      <c r="AD114" s="60"/>
    </row>
    <row r="115" spans="1:30" x14ac:dyDescent="0.25">
      <c r="A115" s="443"/>
      <c r="B115" s="443"/>
      <c r="C115" s="443"/>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619"/>
      <c r="AA115" s="619"/>
      <c r="AB115" s="619"/>
      <c r="AC115" s="619"/>
      <c r="AD115" s="60"/>
    </row>
    <row r="116" spans="1:30" x14ac:dyDescent="0.25">
      <c r="A116" s="443"/>
      <c r="B116" s="443"/>
      <c r="C116" s="443"/>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619"/>
      <c r="AA116" s="619"/>
      <c r="AB116" s="619"/>
      <c r="AC116" s="619"/>
      <c r="AD116" s="60"/>
    </row>
    <row r="117" spans="1:30" x14ac:dyDescent="0.25">
      <c r="A117" s="443"/>
      <c r="B117" s="443"/>
      <c r="C117" s="443"/>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619"/>
      <c r="AA117" s="619"/>
      <c r="AB117" s="619"/>
      <c r="AC117" s="619"/>
      <c r="AD117" s="60"/>
    </row>
    <row r="118" spans="1:30" x14ac:dyDescent="0.25">
      <c r="A118" s="443"/>
      <c r="B118" s="443"/>
      <c r="C118" s="443"/>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619"/>
      <c r="AA118" s="619"/>
      <c r="AB118" s="619"/>
      <c r="AC118" s="619"/>
      <c r="AD118" s="60"/>
    </row>
    <row r="119" spans="1:30" x14ac:dyDescent="0.25">
      <c r="A119" s="443"/>
      <c r="B119" s="443"/>
      <c r="C119" s="443"/>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619"/>
      <c r="AA119" s="619"/>
      <c r="AB119" s="619"/>
      <c r="AC119" s="619"/>
      <c r="AD119" s="60"/>
    </row>
    <row r="120" spans="1:30" x14ac:dyDescent="0.25">
      <c r="A120" s="443"/>
      <c r="B120" s="443"/>
      <c r="C120" s="443"/>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619"/>
      <c r="AA120" s="619"/>
      <c r="AB120" s="619"/>
      <c r="AC120" s="619"/>
      <c r="AD120" s="60"/>
    </row>
    <row r="121" spans="1:30" x14ac:dyDescent="0.25">
      <c r="A121" s="443"/>
      <c r="B121" s="443"/>
      <c r="C121" s="443"/>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619"/>
      <c r="AA121" s="619"/>
      <c r="AB121" s="619"/>
      <c r="AC121" s="619"/>
      <c r="AD121" s="60"/>
    </row>
    <row r="122" spans="1:30" x14ac:dyDescent="0.25">
      <c r="A122" s="443"/>
      <c r="B122" s="443"/>
      <c r="C122" s="443"/>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619"/>
      <c r="AA122" s="619"/>
      <c r="AB122" s="619"/>
      <c r="AC122" s="619"/>
      <c r="AD122" s="60"/>
    </row>
    <row r="123" spans="1:30" x14ac:dyDescent="0.25">
      <c r="A123" s="443"/>
      <c r="B123" s="443"/>
      <c r="C123" s="443"/>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619"/>
      <c r="AA123" s="619"/>
      <c r="AB123" s="619"/>
      <c r="AC123" s="619"/>
      <c r="AD123" s="60"/>
    </row>
    <row r="124" spans="1:30" x14ac:dyDescent="0.25">
      <c r="A124" s="443"/>
      <c r="B124" s="443"/>
      <c r="C124" s="443"/>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619"/>
      <c r="AA124" s="619"/>
      <c r="AB124" s="619"/>
      <c r="AC124" s="619"/>
      <c r="AD124" s="60"/>
    </row>
    <row r="125" spans="1:30" x14ac:dyDescent="0.25">
      <c r="A125" s="443"/>
      <c r="B125" s="443"/>
      <c r="C125" s="443"/>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619"/>
      <c r="AA125" s="619"/>
      <c r="AB125" s="619"/>
      <c r="AC125" s="619"/>
      <c r="AD125" s="60"/>
    </row>
    <row r="126" spans="1:30" x14ac:dyDescent="0.25">
      <c r="A126" s="443"/>
      <c r="B126" s="443"/>
      <c r="C126" s="443"/>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619"/>
      <c r="AA126" s="619"/>
      <c r="AB126" s="619"/>
      <c r="AC126" s="619"/>
      <c r="AD126" s="60"/>
    </row>
    <row r="127" spans="1:30" x14ac:dyDescent="0.25">
      <c r="A127" s="443"/>
      <c r="B127" s="443"/>
      <c r="C127" s="443"/>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619"/>
      <c r="AA127" s="619"/>
      <c r="AB127" s="619"/>
      <c r="AC127" s="619"/>
      <c r="AD127" s="60"/>
    </row>
    <row r="128" spans="1:30" x14ac:dyDescent="0.25">
      <c r="A128" s="443"/>
      <c r="B128" s="443"/>
      <c r="C128" s="443"/>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619"/>
      <c r="AA128" s="619"/>
      <c r="AB128" s="619"/>
      <c r="AC128" s="619"/>
      <c r="AD128" s="60"/>
    </row>
    <row r="129" spans="1:30" x14ac:dyDescent="0.25">
      <c r="A129" s="443"/>
      <c r="B129" s="443"/>
      <c r="C129" s="443"/>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619"/>
      <c r="AA129" s="619"/>
      <c r="AB129" s="619"/>
      <c r="AC129" s="619"/>
      <c r="AD129" s="60"/>
    </row>
    <row r="130" spans="1:30" x14ac:dyDescent="0.25">
      <c r="A130" s="443"/>
      <c r="B130" s="443"/>
      <c r="C130" s="443"/>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619"/>
      <c r="AA130" s="619"/>
      <c r="AB130" s="619"/>
      <c r="AC130" s="619"/>
      <c r="AD130" s="60"/>
    </row>
    <row r="131" spans="1:30" x14ac:dyDescent="0.25">
      <c r="A131" s="443"/>
      <c r="B131" s="443"/>
      <c r="C131" s="443"/>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619"/>
      <c r="AA131" s="619"/>
      <c r="AB131" s="619"/>
      <c r="AC131" s="619"/>
      <c r="AD131" s="60"/>
    </row>
    <row r="132" spans="1:30" x14ac:dyDescent="0.25">
      <c r="A132" s="443"/>
      <c r="B132" s="443"/>
      <c r="C132" s="443"/>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619"/>
      <c r="AA132" s="619"/>
      <c r="AB132" s="619"/>
      <c r="AC132" s="619"/>
      <c r="AD132" s="60"/>
    </row>
    <row r="133" spans="1:30" x14ac:dyDescent="0.25">
      <c r="A133" s="443"/>
      <c r="B133" s="443"/>
      <c r="C133" s="443"/>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619"/>
      <c r="AA133" s="619"/>
      <c r="AB133" s="619"/>
      <c r="AC133" s="619"/>
      <c r="AD133" s="60"/>
    </row>
    <row r="134" spans="1:30" x14ac:dyDescent="0.25">
      <c r="A134" s="443"/>
      <c r="B134" s="443"/>
      <c r="C134" s="443"/>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619"/>
      <c r="AA134" s="619"/>
      <c r="AB134" s="619"/>
      <c r="AC134" s="619"/>
      <c r="AD134" s="60"/>
    </row>
    <row r="135" spans="1:30" x14ac:dyDescent="0.25">
      <c r="A135" s="443"/>
      <c r="B135" s="443"/>
      <c r="C135" s="443"/>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619"/>
      <c r="AA135" s="619"/>
      <c r="AB135" s="619"/>
      <c r="AC135" s="619"/>
      <c r="AD135" s="60"/>
    </row>
    <row r="136" spans="1:30" x14ac:dyDescent="0.25">
      <c r="A136" s="443"/>
      <c r="B136" s="443"/>
      <c r="C136" s="443"/>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619"/>
      <c r="AA136" s="619"/>
      <c r="AB136" s="619"/>
      <c r="AC136" s="619"/>
      <c r="AD136" s="60"/>
    </row>
    <row r="137" spans="1:30" x14ac:dyDescent="0.25">
      <c r="A137" s="443"/>
      <c r="B137" s="443"/>
      <c r="C137" s="443"/>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619"/>
      <c r="AA137" s="619"/>
      <c r="AB137" s="619"/>
      <c r="AC137" s="619"/>
      <c r="AD137" s="60"/>
    </row>
    <row r="138" spans="1:30" x14ac:dyDescent="0.25">
      <c r="A138" s="443"/>
      <c r="B138" s="443"/>
      <c r="C138" s="443"/>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619"/>
      <c r="AA138" s="619"/>
      <c r="AB138" s="619"/>
      <c r="AC138" s="619"/>
      <c r="AD138" s="60"/>
    </row>
    <row r="139" spans="1:30" x14ac:dyDescent="0.25">
      <c r="A139" s="443"/>
      <c r="B139" s="443"/>
      <c r="C139" s="443"/>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619"/>
      <c r="AA139" s="619"/>
      <c r="AB139" s="619"/>
      <c r="AC139" s="619"/>
      <c r="AD139" s="60"/>
    </row>
    <row r="140" spans="1:30" x14ac:dyDescent="0.25">
      <c r="A140" s="443"/>
      <c r="B140" s="443"/>
      <c r="C140" s="443"/>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619"/>
      <c r="AA140" s="619"/>
      <c r="AB140" s="619"/>
      <c r="AC140" s="619"/>
      <c r="AD140" s="60"/>
    </row>
    <row r="141" spans="1:30" x14ac:dyDescent="0.25">
      <c r="A141" s="443"/>
      <c r="B141" s="443"/>
      <c r="C141" s="443"/>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619"/>
      <c r="AA141" s="619"/>
      <c r="AB141" s="619"/>
      <c r="AC141" s="619"/>
      <c r="AD141" s="60"/>
    </row>
    <row r="142" spans="1:30" x14ac:dyDescent="0.25">
      <c r="A142" s="443"/>
      <c r="B142" s="443"/>
      <c r="C142" s="443"/>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619"/>
      <c r="AA142" s="619"/>
      <c r="AB142" s="619"/>
      <c r="AC142" s="619"/>
      <c r="AD142" s="60"/>
    </row>
    <row r="143" spans="1:30" x14ac:dyDescent="0.25">
      <c r="A143" s="443"/>
      <c r="B143" s="443"/>
      <c r="C143" s="443"/>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619"/>
      <c r="AA143" s="619"/>
      <c r="AB143" s="619"/>
      <c r="AC143" s="619"/>
      <c r="AD143" s="60"/>
    </row>
    <row r="144" spans="1:30" x14ac:dyDescent="0.25">
      <c r="A144" s="443"/>
      <c r="B144" s="443"/>
      <c r="C144" s="443"/>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619"/>
      <c r="AA144" s="619"/>
      <c r="AB144" s="619"/>
      <c r="AC144" s="619"/>
      <c r="AD144" s="60"/>
    </row>
    <row r="145" spans="1:30" x14ac:dyDescent="0.25">
      <c r="A145" s="443"/>
      <c r="B145" s="443"/>
      <c r="C145" s="443"/>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619"/>
      <c r="AA145" s="619"/>
      <c r="AB145" s="619"/>
      <c r="AC145" s="619"/>
      <c r="AD145" s="60"/>
    </row>
    <row r="146" spans="1:30" x14ac:dyDescent="0.25">
      <c r="A146" s="443"/>
      <c r="B146" s="443"/>
      <c r="C146" s="443"/>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619"/>
      <c r="AA146" s="619"/>
      <c r="AB146" s="619"/>
      <c r="AC146" s="619"/>
      <c r="AD146" s="60"/>
    </row>
    <row r="147" spans="1:30" x14ac:dyDescent="0.25">
      <c r="A147" s="443"/>
      <c r="B147" s="443"/>
      <c r="C147" s="443"/>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619"/>
      <c r="AA147" s="619"/>
      <c r="AB147" s="619"/>
      <c r="AC147" s="619"/>
      <c r="AD147" s="60"/>
    </row>
    <row r="148" spans="1:30" x14ac:dyDescent="0.25">
      <c r="A148" s="443"/>
      <c r="B148" s="443"/>
      <c r="C148" s="443"/>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619"/>
      <c r="AA148" s="619"/>
      <c r="AB148" s="619"/>
      <c r="AC148" s="619"/>
      <c r="AD148" s="60"/>
    </row>
    <row r="149" spans="1:30" x14ac:dyDescent="0.25">
      <c r="A149" s="443"/>
      <c r="B149" s="443"/>
      <c r="C149" s="443"/>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619"/>
      <c r="AA149" s="619"/>
      <c r="AB149" s="619"/>
      <c r="AC149" s="619"/>
      <c r="AD149" s="60"/>
    </row>
    <row r="150" spans="1:30" x14ac:dyDescent="0.25">
      <c r="A150" s="443"/>
      <c r="B150" s="443"/>
      <c r="C150" s="443"/>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619"/>
      <c r="AA150" s="619"/>
      <c r="AB150" s="619"/>
      <c r="AC150" s="619"/>
      <c r="AD150" s="60"/>
    </row>
    <row r="151" spans="1:30" x14ac:dyDescent="0.25">
      <c r="A151" s="443"/>
      <c r="B151" s="443"/>
      <c r="C151" s="443"/>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619"/>
      <c r="AA151" s="619"/>
      <c r="AB151" s="619"/>
      <c r="AC151" s="619"/>
      <c r="AD151" s="60"/>
    </row>
    <row r="152" spans="1:30" x14ac:dyDescent="0.25">
      <c r="A152" s="443"/>
      <c r="B152" s="443"/>
      <c r="C152" s="443"/>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619"/>
      <c r="AA152" s="619"/>
      <c r="AB152" s="619"/>
      <c r="AC152" s="619"/>
      <c r="AD152" s="60"/>
    </row>
    <row r="153" spans="1:30" x14ac:dyDescent="0.25">
      <c r="A153" s="443"/>
      <c r="B153" s="443"/>
      <c r="C153" s="443"/>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619"/>
      <c r="AA153" s="619"/>
      <c r="AB153" s="619"/>
      <c r="AC153" s="619"/>
      <c r="AD153" s="60"/>
    </row>
    <row r="154" spans="1:30" x14ac:dyDescent="0.25">
      <c r="A154" s="443"/>
      <c r="B154" s="443"/>
      <c r="C154" s="443"/>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619"/>
      <c r="AA154" s="619"/>
      <c r="AB154" s="619"/>
      <c r="AC154" s="619"/>
      <c r="AD154" s="60"/>
    </row>
    <row r="155" spans="1:30" x14ac:dyDescent="0.25">
      <c r="A155" s="443"/>
      <c r="B155" s="443"/>
      <c r="C155" s="443"/>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619"/>
      <c r="AA155" s="619"/>
      <c r="AB155" s="619"/>
      <c r="AC155" s="619"/>
      <c r="AD155" s="60"/>
    </row>
    <row r="156" spans="1:30" x14ac:dyDescent="0.25">
      <c r="A156" s="443"/>
      <c r="B156" s="443"/>
      <c r="C156" s="443"/>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619"/>
      <c r="AA156" s="619"/>
      <c r="AB156" s="619"/>
      <c r="AC156" s="619"/>
      <c r="AD156" s="60"/>
    </row>
    <row r="157" spans="1:30" x14ac:dyDescent="0.25">
      <c r="A157" s="443"/>
      <c r="B157" s="443"/>
      <c r="C157" s="443"/>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619"/>
      <c r="AA157" s="619"/>
      <c r="AB157" s="619"/>
      <c r="AC157" s="619"/>
      <c r="AD157" s="60"/>
    </row>
    <row r="158" spans="1:30" x14ac:dyDescent="0.25">
      <c r="A158" s="443"/>
      <c r="B158" s="443"/>
      <c r="C158" s="443"/>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619"/>
      <c r="AA158" s="619"/>
      <c r="AB158" s="619"/>
      <c r="AC158" s="619"/>
      <c r="AD158" s="60"/>
    </row>
    <row r="159" spans="1:30" x14ac:dyDescent="0.25">
      <c r="A159" s="443"/>
      <c r="B159" s="443"/>
      <c r="C159" s="443"/>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619"/>
      <c r="AA159" s="619"/>
      <c r="AB159" s="619"/>
      <c r="AC159" s="619"/>
      <c r="AD159" s="60"/>
    </row>
    <row r="160" spans="1:30" x14ac:dyDescent="0.25">
      <c r="A160" s="443"/>
      <c r="B160" s="443"/>
      <c r="C160" s="443"/>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619"/>
      <c r="AA160" s="619"/>
      <c r="AB160" s="619"/>
      <c r="AC160" s="619"/>
      <c r="AD160" s="60"/>
    </row>
    <row r="161" spans="1:30" x14ac:dyDescent="0.25">
      <c r="A161" s="443"/>
      <c r="B161" s="443"/>
      <c r="C161" s="443"/>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619"/>
      <c r="AA161" s="619"/>
      <c r="AB161" s="619"/>
      <c r="AC161" s="619"/>
      <c r="AD161" s="60"/>
    </row>
    <row r="162" spans="1:30" x14ac:dyDescent="0.25">
      <c r="A162" s="443"/>
      <c r="B162" s="443"/>
      <c r="C162" s="443"/>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619"/>
      <c r="AA162" s="619"/>
      <c r="AB162" s="619"/>
      <c r="AC162" s="619"/>
      <c r="AD162" s="60"/>
    </row>
    <row r="163" spans="1:30" x14ac:dyDescent="0.25">
      <c r="A163" s="443"/>
      <c r="B163" s="443"/>
      <c r="C163" s="443"/>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619"/>
      <c r="AA163" s="619"/>
      <c r="AB163" s="619"/>
      <c r="AC163" s="619"/>
      <c r="AD163" s="60"/>
    </row>
    <row r="164" spans="1:30" x14ac:dyDescent="0.25">
      <c r="A164" s="443"/>
      <c r="B164" s="443"/>
      <c r="C164" s="443"/>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619"/>
      <c r="AA164" s="619"/>
      <c r="AB164" s="619"/>
      <c r="AC164" s="619"/>
      <c r="AD164" s="60"/>
    </row>
    <row r="165" spans="1:30" x14ac:dyDescent="0.25">
      <c r="A165" s="443"/>
      <c r="B165" s="443"/>
      <c r="C165" s="443"/>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619"/>
      <c r="AA165" s="619"/>
      <c r="AB165" s="619"/>
      <c r="AC165" s="619"/>
      <c r="AD165" s="60"/>
    </row>
    <row r="166" spans="1:30" x14ac:dyDescent="0.25">
      <c r="A166" s="443"/>
      <c r="B166" s="443"/>
      <c r="C166" s="443"/>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619"/>
      <c r="AA166" s="619"/>
      <c r="AB166" s="619"/>
      <c r="AC166" s="619"/>
      <c r="AD166" s="60"/>
    </row>
    <row r="167" spans="1:30" x14ac:dyDescent="0.25">
      <c r="A167" s="443"/>
      <c r="B167" s="443"/>
      <c r="C167" s="443"/>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619"/>
      <c r="AA167" s="619"/>
      <c r="AB167" s="619"/>
      <c r="AC167" s="619"/>
      <c r="AD167" s="60"/>
    </row>
    <row r="168" spans="1:30" x14ac:dyDescent="0.25">
      <c r="A168" s="443"/>
      <c r="B168" s="443"/>
      <c r="C168" s="443"/>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619"/>
      <c r="AA168" s="619"/>
      <c r="AB168" s="619"/>
      <c r="AC168" s="619"/>
      <c r="AD168" s="60"/>
    </row>
    <row r="169" spans="1:30" x14ac:dyDescent="0.25">
      <c r="A169" s="443"/>
      <c r="B169" s="443"/>
      <c r="C169" s="443"/>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619"/>
      <c r="AA169" s="619"/>
      <c r="AB169" s="619"/>
      <c r="AC169" s="619"/>
      <c r="AD169" s="60"/>
    </row>
    <row r="170" spans="1:30" x14ac:dyDescent="0.25">
      <c r="A170" s="443"/>
      <c r="B170" s="443"/>
      <c r="C170" s="443"/>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619"/>
      <c r="AA170" s="619"/>
      <c r="AB170" s="619"/>
      <c r="AC170" s="619"/>
      <c r="AD170" s="60"/>
    </row>
    <row r="171" spans="1:30" x14ac:dyDescent="0.25">
      <c r="A171" s="443"/>
      <c r="B171" s="443"/>
      <c r="C171" s="443"/>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619"/>
      <c r="AA171" s="619"/>
      <c r="AB171" s="619"/>
      <c r="AC171" s="619"/>
      <c r="AD171" s="60"/>
    </row>
    <row r="172" spans="1:30" x14ac:dyDescent="0.25">
      <c r="A172" s="443"/>
      <c r="B172" s="443"/>
      <c r="C172" s="443"/>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619"/>
      <c r="AA172" s="619"/>
      <c r="AB172" s="619"/>
      <c r="AC172" s="619"/>
      <c r="AD172" s="60"/>
    </row>
    <row r="173" spans="1:30" x14ac:dyDescent="0.25">
      <c r="A173" s="443"/>
      <c r="B173" s="443"/>
      <c r="C173" s="443"/>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619"/>
      <c r="AA173" s="619"/>
      <c r="AB173" s="619"/>
      <c r="AC173" s="619"/>
      <c r="AD173" s="60"/>
    </row>
    <row r="174" spans="1:30" x14ac:dyDescent="0.25">
      <c r="A174" s="443"/>
      <c r="B174" s="443"/>
      <c r="C174" s="443"/>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619"/>
      <c r="AA174" s="619"/>
      <c r="AB174" s="619"/>
      <c r="AC174" s="619"/>
      <c r="AD174" s="60"/>
    </row>
    <row r="175" spans="1:30" x14ac:dyDescent="0.25">
      <c r="A175" s="443"/>
      <c r="B175" s="443"/>
      <c r="C175" s="443"/>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619"/>
      <c r="AA175" s="619"/>
      <c r="AB175" s="619"/>
      <c r="AC175" s="619"/>
      <c r="AD175" s="60"/>
    </row>
    <row r="176" spans="1:30" x14ac:dyDescent="0.25">
      <c r="A176" s="443"/>
      <c r="B176" s="443"/>
      <c r="C176" s="443"/>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619"/>
      <c r="AA176" s="619"/>
      <c r="AB176" s="619"/>
      <c r="AC176" s="619"/>
      <c r="AD176" s="60"/>
    </row>
    <row r="177" spans="1:30" x14ac:dyDescent="0.25">
      <c r="A177" s="443"/>
      <c r="B177" s="443"/>
      <c r="C177" s="443"/>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619"/>
      <c r="AA177" s="619"/>
      <c r="AB177" s="619"/>
      <c r="AC177" s="619"/>
      <c r="AD177" s="60"/>
    </row>
    <row r="178" spans="1:30" x14ac:dyDescent="0.25">
      <c r="A178" s="443"/>
      <c r="B178" s="443"/>
      <c r="C178" s="443"/>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619"/>
      <c r="AA178" s="619"/>
      <c r="AB178" s="619"/>
      <c r="AC178" s="619"/>
      <c r="AD178" s="60"/>
    </row>
    <row r="179" spans="1:30" x14ac:dyDescent="0.25">
      <c r="A179" s="443"/>
      <c r="B179" s="443"/>
      <c r="C179" s="443"/>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619"/>
      <c r="AA179" s="619"/>
      <c r="AB179" s="619"/>
      <c r="AC179" s="619"/>
      <c r="AD179" s="60"/>
    </row>
    <row r="180" spans="1:30" x14ac:dyDescent="0.25">
      <c r="A180" s="443"/>
      <c r="B180" s="443"/>
      <c r="C180" s="443"/>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619"/>
      <c r="AA180" s="619"/>
      <c r="AB180" s="619"/>
      <c r="AC180" s="619"/>
      <c r="AD180" s="60"/>
    </row>
    <row r="181" spans="1:30" x14ac:dyDescent="0.25">
      <c r="A181" s="443"/>
      <c r="B181" s="443"/>
      <c r="C181" s="443"/>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619"/>
      <c r="AA181" s="619"/>
      <c r="AB181" s="619"/>
      <c r="AC181" s="619"/>
      <c r="AD181" s="60"/>
    </row>
    <row r="182" spans="1:30" x14ac:dyDescent="0.25">
      <c r="A182" s="443"/>
      <c r="B182" s="443"/>
      <c r="C182" s="443"/>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619"/>
      <c r="AA182" s="619"/>
      <c r="AB182" s="619"/>
      <c r="AC182" s="619"/>
      <c r="AD182" s="60"/>
    </row>
    <row r="183" spans="1:30" x14ac:dyDescent="0.25">
      <c r="A183" s="443"/>
      <c r="B183" s="443"/>
      <c r="C183" s="443"/>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619"/>
      <c r="AA183" s="619"/>
      <c r="AB183" s="619"/>
      <c r="AC183" s="619"/>
      <c r="AD183" s="60"/>
    </row>
    <row r="184" spans="1:30" x14ac:dyDescent="0.25">
      <c r="A184" s="443"/>
      <c r="B184" s="443"/>
      <c r="C184" s="443"/>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619"/>
      <c r="AA184" s="619"/>
      <c r="AB184" s="619"/>
      <c r="AC184" s="619"/>
      <c r="AD184" s="60"/>
    </row>
    <row r="185" spans="1:30" x14ac:dyDescent="0.25">
      <c r="A185" s="443"/>
      <c r="B185" s="443"/>
      <c r="C185" s="443"/>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619"/>
      <c r="AA185" s="619"/>
      <c r="AB185" s="619"/>
      <c r="AC185" s="619"/>
      <c r="AD185" s="60"/>
    </row>
    <row r="186" spans="1:30" x14ac:dyDescent="0.25">
      <c r="A186" s="443"/>
      <c r="B186" s="443"/>
      <c r="C186" s="443"/>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619"/>
      <c r="AA186" s="619"/>
      <c r="AB186" s="619"/>
      <c r="AC186" s="619"/>
      <c r="AD186" s="60"/>
    </row>
    <row r="187" spans="1:30" x14ac:dyDescent="0.25">
      <c r="A187" s="443"/>
      <c r="B187" s="443"/>
      <c r="C187" s="443"/>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619"/>
      <c r="AA187" s="619"/>
      <c r="AB187" s="619"/>
      <c r="AC187" s="619"/>
      <c r="AD187" s="60"/>
    </row>
    <row r="188" spans="1:30" x14ac:dyDescent="0.25">
      <c r="A188" s="443"/>
      <c r="B188" s="443"/>
      <c r="C188" s="443"/>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619"/>
      <c r="AA188" s="619"/>
      <c r="AB188" s="619"/>
      <c r="AC188" s="619"/>
      <c r="AD188" s="60"/>
    </row>
    <row r="189" spans="1:30" x14ac:dyDescent="0.25">
      <c r="A189" s="443"/>
      <c r="B189" s="443"/>
      <c r="C189" s="443"/>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619"/>
      <c r="AA189" s="619"/>
      <c r="AB189" s="619"/>
      <c r="AC189" s="619"/>
      <c r="AD189" s="60"/>
    </row>
    <row r="190" spans="1:30" x14ac:dyDescent="0.25">
      <c r="A190" s="443"/>
      <c r="B190" s="443"/>
      <c r="C190" s="443"/>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619"/>
      <c r="AA190" s="619"/>
      <c r="AB190" s="619"/>
      <c r="AC190" s="619"/>
      <c r="AD190" s="60"/>
    </row>
    <row r="191" spans="1:30" x14ac:dyDescent="0.25">
      <c r="A191" s="443"/>
      <c r="B191" s="443"/>
      <c r="C191" s="443"/>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619"/>
      <c r="AA191" s="619"/>
      <c r="AB191" s="619"/>
      <c r="AC191" s="619"/>
      <c r="AD191" s="60"/>
    </row>
    <row r="192" spans="1:30" x14ac:dyDescent="0.25">
      <c r="A192" s="443"/>
      <c r="B192" s="443"/>
      <c r="C192" s="443"/>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619"/>
      <c r="AA192" s="619"/>
      <c r="AB192" s="619"/>
      <c r="AC192" s="619"/>
      <c r="AD192" s="60"/>
    </row>
    <row r="193" spans="1:30" x14ac:dyDescent="0.25">
      <c r="A193" s="443"/>
      <c r="B193" s="443"/>
      <c r="C193" s="443"/>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619"/>
      <c r="AA193" s="619"/>
      <c r="AB193" s="619"/>
      <c r="AC193" s="619"/>
      <c r="AD193" s="60"/>
    </row>
    <row r="194" spans="1:30" x14ac:dyDescent="0.25">
      <c r="A194" s="443"/>
      <c r="B194" s="443"/>
      <c r="C194" s="443"/>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619"/>
      <c r="AA194" s="619"/>
      <c r="AB194" s="619"/>
      <c r="AC194" s="619"/>
      <c r="AD194" s="60"/>
    </row>
    <row r="195" spans="1:30" x14ac:dyDescent="0.25">
      <c r="A195" s="443"/>
      <c r="B195" s="443"/>
      <c r="C195" s="443"/>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619"/>
      <c r="AA195" s="619"/>
      <c r="AB195" s="619"/>
      <c r="AC195" s="619"/>
      <c r="AD195" s="60"/>
    </row>
    <row r="196" spans="1:30" x14ac:dyDescent="0.25">
      <c r="A196" s="443"/>
      <c r="B196" s="443"/>
      <c r="C196" s="443"/>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619"/>
      <c r="AA196" s="619"/>
      <c r="AB196" s="619"/>
      <c r="AC196" s="619"/>
      <c r="AD196" s="60"/>
    </row>
    <row r="197" spans="1:30" x14ac:dyDescent="0.25">
      <c r="A197" s="443"/>
      <c r="B197" s="443"/>
      <c r="C197" s="443"/>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619"/>
      <c r="AA197" s="619"/>
      <c r="AB197" s="619"/>
      <c r="AC197" s="619"/>
      <c r="AD197" s="60"/>
    </row>
    <row r="198" spans="1:30" x14ac:dyDescent="0.25">
      <c r="A198" s="443"/>
      <c r="B198" s="443"/>
      <c r="C198" s="443"/>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619"/>
      <c r="AA198" s="619"/>
      <c r="AB198" s="619"/>
      <c r="AC198" s="619"/>
      <c r="AD198" s="60"/>
    </row>
    <row r="199" spans="1:30" x14ac:dyDescent="0.25">
      <c r="A199" s="443"/>
      <c r="B199" s="443"/>
      <c r="C199" s="443"/>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619"/>
      <c r="AA199" s="619"/>
      <c r="AB199" s="619"/>
      <c r="AC199" s="619"/>
      <c r="AD199" s="60"/>
    </row>
    <row r="200" spans="1:30" x14ac:dyDescent="0.25">
      <c r="A200" s="443"/>
      <c r="B200" s="443"/>
      <c r="C200" s="443"/>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619"/>
      <c r="AA200" s="619"/>
      <c r="AB200" s="619"/>
      <c r="AC200" s="619"/>
      <c r="AD200" s="60"/>
    </row>
    <row r="201" spans="1:30" x14ac:dyDescent="0.25">
      <c r="A201" s="443"/>
      <c r="B201" s="443"/>
      <c r="C201" s="443"/>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619"/>
      <c r="AA201" s="619"/>
      <c r="AB201" s="619"/>
      <c r="AC201" s="619"/>
      <c r="AD201" s="60"/>
    </row>
    <row r="202" spans="1:30" x14ac:dyDescent="0.25">
      <c r="A202" s="443"/>
      <c r="B202" s="443"/>
      <c r="C202" s="443"/>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619"/>
      <c r="AA202" s="619"/>
      <c r="AB202" s="619"/>
      <c r="AC202" s="619"/>
      <c r="AD202" s="60"/>
    </row>
    <row r="203" spans="1:30" x14ac:dyDescent="0.25">
      <c r="A203" s="443"/>
      <c r="B203" s="443"/>
      <c r="C203" s="443"/>
      <c r="D203" s="330"/>
      <c r="E203" s="330"/>
      <c r="F203" s="330"/>
      <c r="G203" s="330"/>
      <c r="H203" s="330"/>
      <c r="I203" s="330"/>
      <c r="J203" s="330"/>
      <c r="K203" s="330"/>
      <c r="L203" s="330"/>
      <c r="M203" s="330"/>
      <c r="N203" s="330"/>
      <c r="O203" s="330"/>
      <c r="P203" s="330"/>
      <c r="Q203" s="330"/>
      <c r="R203" s="330"/>
      <c r="S203" s="330"/>
      <c r="T203" s="330"/>
      <c r="U203" s="330"/>
      <c r="V203" s="330"/>
      <c r="W203" s="330"/>
      <c r="X203" s="330"/>
      <c r="Y203" s="330"/>
      <c r="Z203" s="619"/>
      <c r="AA203" s="619"/>
      <c r="AB203" s="619"/>
      <c r="AC203" s="619"/>
      <c r="AD203" s="60"/>
    </row>
    <row r="204" spans="1:30" x14ac:dyDescent="0.25">
      <c r="A204" s="443"/>
      <c r="B204" s="443"/>
      <c r="C204" s="443"/>
      <c r="D204" s="330"/>
      <c r="E204" s="330"/>
      <c r="F204" s="330"/>
      <c r="G204" s="330"/>
      <c r="H204" s="330"/>
      <c r="I204" s="330"/>
      <c r="J204" s="330"/>
      <c r="K204" s="330"/>
      <c r="L204" s="330"/>
      <c r="M204" s="330"/>
      <c r="N204" s="330"/>
      <c r="O204" s="330"/>
      <c r="P204" s="330"/>
      <c r="Q204" s="330"/>
      <c r="R204" s="330"/>
      <c r="S204" s="330"/>
      <c r="T204" s="330"/>
      <c r="U204" s="330"/>
      <c r="V204" s="330"/>
      <c r="W204" s="330"/>
      <c r="X204" s="330"/>
      <c r="Y204" s="330"/>
      <c r="Z204" s="619"/>
      <c r="AA204" s="619"/>
      <c r="AB204" s="619"/>
      <c r="AC204" s="619"/>
      <c r="AD204" s="60"/>
    </row>
    <row r="205" spans="1:30" x14ac:dyDescent="0.25">
      <c r="A205" s="443"/>
      <c r="B205" s="443"/>
      <c r="C205" s="443"/>
      <c r="D205" s="330"/>
      <c r="E205" s="330"/>
      <c r="F205" s="330"/>
      <c r="G205" s="330"/>
      <c r="H205" s="330"/>
      <c r="I205" s="330"/>
      <c r="J205" s="330"/>
      <c r="K205" s="330"/>
      <c r="L205" s="330"/>
      <c r="M205" s="330"/>
      <c r="N205" s="330"/>
      <c r="O205" s="330"/>
      <c r="P205" s="330"/>
      <c r="Q205" s="330"/>
      <c r="R205" s="330"/>
      <c r="S205" s="330"/>
      <c r="T205" s="330"/>
      <c r="U205" s="330"/>
      <c r="V205" s="330"/>
      <c r="W205" s="330"/>
      <c r="X205" s="330"/>
      <c r="Y205" s="330"/>
      <c r="Z205" s="619"/>
      <c r="AA205" s="619"/>
      <c r="AB205" s="619"/>
      <c r="AC205" s="619"/>
      <c r="AD205" s="60"/>
    </row>
    <row r="206" spans="1:30" x14ac:dyDescent="0.25">
      <c r="A206" s="443"/>
      <c r="B206" s="443"/>
      <c r="C206" s="443"/>
      <c r="D206" s="330"/>
      <c r="E206" s="330"/>
      <c r="F206" s="330"/>
      <c r="G206" s="330"/>
      <c r="H206" s="330"/>
      <c r="I206" s="330"/>
      <c r="J206" s="330"/>
      <c r="K206" s="330"/>
      <c r="L206" s="330"/>
      <c r="M206" s="330"/>
      <c r="N206" s="330"/>
      <c r="O206" s="330"/>
      <c r="P206" s="330"/>
      <c r="Q206" s="330"/>
      <c r="R206" s="330"/>
      <c r="S206" s="330"/>
      <c r="T206" s="330"/>
      <c r="U206" s="330"/>
      <c r="V206" s="330"/>
      <c r="W206" s="330"/>
      <c r="X206" s="330"/>
      <c r="Y206" s="330"/>
      <c r="Z206" s="619"/>
      <c r="AA206" s="619"/>
      <c r="AB206" s="619"/>
      <c r="AC206" s="619"/>
      <c r="AD206" s="60"/>
    </row>
    <row r="207" spans="1:30" x14ac:dyDescent="0.25">
      <c r="A207" s="443"/>
      <c r="B207" s="443"/>
      <c r="C207" s="443"/>
      <c r="D207" s="330"/>
      <c r="E207" s="330"/>
      <c r="F207" s="330"/>
      <c r="G207" s="330"/>
      <c r="H207" s="330"/>
      <c r="I207" s="330"/>
      <c r="J207" s="330"/>
      <c r="K207" s="330"/>
      <c r="L207" s="330"/>
      <c r="M207" s="330"/>
      <c r="N207" s="330"/>
      <c r="O207" s="330"/>
      <c r="P207" s="330"/>
      <c r="Q207" s="330"/>
      <c r="R207" s="330"/>
      <c r="S207" s="330"/>
      <c r="T207" s="330"/>
      <c r="U207" s="330"/>
      <c r="V207" s="330"/>
      <c r="W207" s="330"/>
      <c r="X207" s="330"/>
      <c r="Y207" s="330"/>
      <c r="Z207" s="619"/>
      <c r="AA207" s="619"/>
      <c r="AB207" s="619"/>
      <c r="AC207" s="619"/>
      <c r="AD207" s="60"/>
    </row>
    <row r="208" spans="1:30" x14ac:dyDescent="0.25">
      <c r="A208" s="443"/>
      <c r="B208" s="443"/>
      <c r="C208" s="443"/>
      <c r="D208" s="330"/>
      <c r="E208" s="330"/>
      <c r="F208" s="330"/>
      <c r="G208" s="330"/>
      <c r="H208" s="330"/>
      <c r="I208" s="330"/>
      <c r="J208" s="330"/>
      <c r="K208" s="330"/>
      <c r="L208" s="330"/>
      <c r="M208" s="330"/>
      <c r="N208" s="330"/>
      <c r="O208" s="330"/>
      <c r="P208" s="330"/>
      <c r="Q208" s="330"/>
      <c r="R208" s="330"/>
      <c r="S208" s="330"/>
      <c r="T208" s="330"/>
      <c r="U208" s="330"/>
      <c r="V208" s="330"/>
      <c r="W208" s="330"/>
      <c r="X208" s="330"/>
      <c r="Y208" s="330"/>
      <c r="Z208" s="619"/>
      <c r="AA208" s="619"/>
      <c r="AB208" s="619"/>
      <c r="AC208" s="619"/>
      <c r="AD208" s="60"/>
    </row>
    <row r="209" spans="1:30" x14ac:dyDescent="0.25">
      <c r="A209" s="443"/>
      <c r="B209" s="443"/>
      <c r="C209" s="443"/>
      <c r="D209" s="330"/>
      <c r="E209" s="330"/>
      <c r="F209" s="330"/>
      <c r="G209" s="330"/>
      <c r="H209" s="330"/>
      <c r="I209" s="330"/>
      <c r="J209" s="330"/>
      <c r="K209" s="330"/>
      <c r="L209" s="330"/>
      <c r="M209" s="330"/>
      <c r="N209" s="330"/>
      <c r="O209" s="330"/>
      <c r="P209" s="330"/>
      <c r="Q209" s="330"/>
      <c r="R209" s="330"/>
      <c r="S209" s="330"/>
      <c r="T209" s="330"/>
      <c r="U209" s="330"/>
      <c r="V209" s="330"/>
      <c r="W209" s="330"/>
      <c r="X209" s="330"/>
      <c r="Y209" s="330"/>
      <c r="Z209" s="619"/>
      <c r="AA209" s="619"/>
      <c r="AB209" s="619"/>
      <c r="AC209" s="619"/>
      <c r="AD209" s="60"/>
    </row>
    <row r="210" spans="1:30" x14ac:dyDescent="0.25">
      <c r="A210" s="443"/>
      <c r="B210" s="443"/>
      <c r="C210" s="443"/>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619"/>
      <c r="AA210" s="619"/>
      <c r="AB210" s="619"/>
      <c r="AC210" s="619"/>
      <c r="AD210" s="60"/>
    </row>
    <row r="211" spans="1:30" x14ac:dyDescent="0.25">
      <c r="A211" s="443"/>
      <c r="B211" s="443"/>
      <c r="C211" s="443"/>
      <c r="D211" s="330"/>
      <c r="E211" s="330"/>
      <c r="F211" s="330"/>
      <c r="G211" s="330"/>
      <c r="H211" s="330"/>
      <c r="I211" s="330"/>
      <c r="J211" s="330"/>
      <c r="K211" s="330"/>
      <c r="L211" s="330"/>
      <c r="M211" s="330"/>
      <c r="N211" s="330"/>
      <c r="O211" s="330"/>
      <c r="P211" s="330"/>
      <c r="Q211" s="330"/>
      <c r="R211" s="330"/>
      <c r="S211" s="330"/>
      <c r="T211" s="330"/>
      <c r="U211" s="330"/>
      <c r="V211" s="330"/>
      <c r="W211" s="330"/>
      <c r="X211" s="330"/>
      <c r="Y211" s="330"/>
      <c r="Z211" s="619"/>
      <c r="AA211" s="619"/>
      <c r="AB211" s="619"/>
      <c r="AC211" s="619"/>
      <c r="AD211" s="60"/>
    </row>
    <row r="212" spans="1:30" x14ac:dyDescent="0.25">
      <c r="A212" s="443"/>
      <c r="B212" s="443"/>
      <c r="C212" s="443"/>
      <c r="D212" s="330"/>
      <c r="E212" s="330"/>
      <c r="F212" s="330"/>
      <c r="G212" s="330"/>
      <c r="H212" s="330"/>
      <c r="I212" s="330"/>
      <c r="J212" s="330"/>
      <c r="K212" s="330"/>
      <c r="L212" s="330"/>
      <c r="M212" s="330"/>
      <c r="N212" s="330"/>
      <c r="O212" s="330"/>
      <c r="P212" s="330"/>
      <c r="Q212" s="330"/>
      <c r="R212" s="330"/>
      <c r="S212" s="330"/>
      <c r="T212" s="330"/>
      <c r="U212" s="330"/>
      <c r="V212" s="330"/>
      <c r="W212" s="330"/>
      <c r="X212" s="330"/>
      <c r="Y212" s="330"/>
      <c r="Z212" s="619"/>
      <c r="AA212" s="619"/>
      <c r="AB212" s="619"/>
      <c r="AC212" s="619"/>
      <c r="AD212" s="60"/>
    </row>
    <row r="213" spans="1:30" x14ac:dyDescent="0.25">
      <c r="A213" s="443"/>
      <c r="B213" s="443"/>
      <c r="C213" s="443"/>
      <c r="D213" s="330"/>
      <c r="E213" s="330"/>
      <c r="F213" s="330"/>
      <c r="G213" s="330"/>
      <c r="H213" s="330"/>
      <c r="I213" s="330"/>
      <c r="J213" s="330"/>
      <c r="K213" s="330"/>
      <c r="L213" s="330"/>
      <c r="M213" s="330"/>
      <c r="N213" s="330"/>
      <c r="O213" s="330"/>
      <c r="P213" s="330"/>
      <c r="Q213" s="330"/>
      <c r="R213" s="330"/>
      <c r="S213" s="330"/>
      <c r="T213" s="330"/>
      <c r="U213" s="330"/>
      <c r="V213" s="330"/>
      <c r="W213" s="330"/>
      <c r="X213" s="330"/>
      <c r="Y213" s="330"/>
      <c r="Z213" s="619"/>
      <c r="AA213" s="619"/>
      <c r="AB213" s="619"/>
      <c r="AC213" s="619"/>
      <c r="AD213" s="60"/>
    </row>
    <row r="214" spans="1:30" x14ac:dyDescent="0.25">
      <c r="A214" s="443"/>
      <c r="B214" s="443"/>
      <c r="C214" s="443"/>
      <c r="D214" s="330"/>
      <c r="E214" s="330"/>
      <c r="F214" s="330"/>
      <c r="G214" s="330"/>
      <c r="H214" s="330"/>
      <c r="I214" s="330"/>
      <c r="J214" s="330"/>
      <c r="K214" s="330"/>
      <c r="L214" s="330"/>
      <c r="M214" s="330"/>
      <c r="N214" s="330"/>
      <c r="O214" s="330"/>
      <c r="P214" s="330"/>
      <c r="Q214" s="330"/>
      <c r="R214" s="330"/>
      <c r="S214" s="330"/>
      <c r="T214" s="330"/>
      <c r="U214" s="330"/>
      <c r="V214" s="330"/>
      <c r="W214" s="330"/>
      <c r="X214" s="330"/>
      <c r="Y214" s="330"/>
      <c r="Z214" s="619"/>
      <c r="AA214" s="619"/>
      <c r="AB214" s="619"/>
      <c r="AC214" s="619"/>
      <c r="AD214" s="60"/>
    </row>
    <row r="215" spans="1:30" x14ac:dyDescent="0.25">
      <c r="A215" s="443"/>
      <c r="B215" s="443"/>
      <c r="C215" s="443"/>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619"/>
      <c r="AA215" s="619"/>
      <c r="AB215" s="619"/>
      <c r="AC215" s="619"/>
      <c r="AD215" s="60"/>
    </row>
    <row r="216" spans="1:30" x14ac:dyDescent="0.25">
      <c r="A216" s="443"/>
      <c r="B216" s="443"/>
      <c r="C216" s="443"/>
      <c r="D216" s="330"/>
      <c r="E216" s="330"/>
      <c r="F216" s="330"/>
      <c r="G216" s="330"/>
      <c r="H216" s="330"/>
      <c r="I216" s="330"/>
      <c r="J216" s="330"/>
      <c r="K216" s="330"/>
      <c r="L216" s="330"/>
      <c r="M216" s="330"/>
      <c r="N216" s="330"/>
      <c r="O216" s="330"/>
      <c r="P216" s="330"/>
      <c r="Q216" s="330"/>
      <c r="R216" s="330"/>
      <c r="S216" s="330"/>
      <c r="T216" s="330"/>
      <c r="U216" s="330"/>
      <c r="V216" s="330"/>
      <c r="W216" s="330"/>
      <c r="X216" s="330"/>
      <c r="Y216" s="330"/>
      <c r="Z216" s="619"/>
      <c r="AA216" s="619"/>
      <c r="AB216" s="619"/>
      <c r="AC216" s="619"/>
      <c r="AD216" s="60"/>
    </row>
    <row r="217" spans="1:30" x14ac:dyDescent="0.25">
      <c r="A217" s="443"/>
      <c r="B217" s="443"/>
      <c r="C217" s="443"/>
      <c r="D217" s="330"/>
      <c r="E217" s="330"/>
      <c r="F217" s="330"/>
      <c r="G217" s="330"/>
      <c r="H217" s="330"/>
      <c r="I217" s="330"/>
      <c r="J217" s="330"/>
      <c r="K217" s="330"/>
      <c r="L217" s="330"/>
      <c r="M217" s="330"/>
      <c r="N217" s="330"/>
      <c r="O217" s="330"/>
      <c r="P217" s="330"/>
      <c r="Q217" s="330"/>
      <c r="R217" s="330"/>
      <c r="S217" s="330"/>
      <c r="T217" s="330"/>
      <c r="U217" s="330"/>
      <c r="V217" s="330"/>
      <c r="W217" s="330"/>
      <c r="X217" s="330"/>
      <c r="Y217" s="330"/>
      <c r="Z217" s="619"/>
      <c r="AA217" s="619"/>
      <c r="AB217" s="619"/>
      <c r="AC217" s="619"/>
      <c r="AD217" s="60"/>
    </row>
    <row r="218" spans="1:30" x14ac:dyDescent="0.25">
      <c r="A218" s="443"/>
      <c r="B218" s="443"/>
      <c r="C218" s="443"/>
      <c r="D218" s="330"/>
      <c r="E218" s="330"/>
      <c r="F218" s="330"/>
      <c r="G218" s="330"/>
      <c r="H218" s="330"/>
      <c r="I218" s="330"/>
      <c r="J218" s="330"/>
      <c r="K218" s="330"/>
      <c r="L218" s="330"/>
      <c r="M218" s="330"/>
      <c r="N218" s="330"/>
      <c r="O218" s="330"/>
      <c r="P218" s="330"/>
      <c r="Q218" s="330"/>
      <c r="R218" s="330"/>
      <c r="S218" s="330"/>
      <c r="T218" s="330"/>
      <c r="U218" s="330"/>
      <c r="V218" s="330"/>
      <c r="W218" s="330"/>
      <c r="X218" s="330"/>
      <c r="Y218" s="330"/>
      <c r="Z218" s="619"/>
      <c r="AA218" s="619"/>
      <c r="AB218" s="619"/>
      <c r="AC218" s="619"/>
      <c r="AD218" s="60"/>
    </row>
    <row r="219" spans="1:30" x14ac:dyDescent="0.25">
      <c r="A219" s="443"/>
      <c r="B219" s="443"/>
      <c r="C219" s="443"/>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619"/>
      <c r="AA219" s="619"/>
      <c r="AB219" s="619"/>
      <c r="AC219" s="619"/>
      <c r="AD219" s="60"/>
    </row>
    <row r="220" spans="1:30" x14ac:dyDescent="0.25">
      <c r="A220" s="443"/>
      <c r="B220" s="443"/>
      <c r="C220" s="443"/>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619"/>
      <c r="AA220" s="619"/>
      <c r="AB220" s="619"/>
      <c r="AC220" s="619"/>
      <c r="AD220" s="60"/>
    </row>
    <row r="221" spans="1:30" x14ac:dyDescent="0.25">
      <c r="A221" s="443"/>
      <c r="B221" s="443"/>
      <c r="C221" s="443"/>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619"/>
      <c r="AA221" s="619"/>
      <c r="AB221" s="619"/>
      <c r="AC221" s="619"/>
      <c r="AD221" s="60"/>
    </row>
    <row r="222" spans="1:30" x14ac:dyDescent="0.25">
      <c r="A222" s="443"/>
      <c r="B222" s="443"/>
      <c r="C222" s="443"/>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619"/>
      <c r="AA222" s="619"/>
      <c r="AB222" s="619"/>
      <c r="AC222" s="619"/>
      <c r="AD222" s="60"/>
    </row>
    <row r="223" spans="1:30" x14ac:dyDescent="0.25">
      <c r="A223" s="443"/>
      <c r="B223" s="443"/>
      <c r="C223" s="443"/>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619"/>
      <c r="AA223" s="619"/>
      <c r="AB223" s="619"/>
      <c r="AC223" s="619"/>
      <c r="AD223" s="60"/>
    </row>
    <row r="224" spans="1:30" x14ac:dyDescent="0.25">
      <c r="A224" s="443"/>
      <c r="B224" s="443"/>
      <c r="C224" s="443"/>
      <c r="D224" s="330"/>
      <c r="E224" s="330"/>
      <c r="F224" s="330"/>
      <c r="G224" s="330"/>
      <c r="H224" s="330"/>
      <c r="I224" s="330"/>
      <c r="J224" s="330"/>
      <c r="K224" s="330"/>
      <c r="L224" s="330"/>
      <c r="M224" s="330"/>
      <c r="N224" s="330"/>
      <c r="O224" s="330"/>
      <c r="P224" s="330"/>
      <c r="Q224" s="330"/>
      <c r="R224" s="330"/>
      <c r="S224" s="330"/>
      <c r="T224" s="330"/>
      <c r="U224" s="330"/>
      <c r="V224" s="330"/>
      <c r="W224" s="330"/>
      <c r="X224" s="330"/>
      <c r="Y224" s="330"/>
      <c r="Z224" s="619"/>
      <c r="AA224" s="619"/>
      <c r="AB224" s="619"/>
      <c r="AC224" s="619"/>
      <c r="AD224" s="60"/>
    </row>
    <row r="225" spans="1:30" x14ac:dyDescent="0.25">
      <c r="A225" s="443"/>
      <c r="B225" s="443"/>
      <c r="C225" s="443"/>
      <c r="D225" s="330"/>
      <c r="E225" s="330"/>
      <c r="F225" s="330"/>
      <c r="G225" s="330"/>
      <c r="H225" s="330"/>
      <c r="I225" s="330"/>
      <c r="J225" s="330"/>
      <c r="K225" s="330"/>
      <c r="L225" s="330"/>
      <c r="M225" s="330"/>
      <c r="N225" s="330"/>
      <c r="O225" s="330"/>
      <c r="P225" s="330"/>
      <c r="Q225" s="330"/>
      <c r="R225" s="330"/>
      <c r="S225" s="330"/>
      <c r="T225" s="330"/>
      <c r="U225" s="330"/>
      <c r="V225" s="330"/>
      <c r="W225" s="330"/>
      <c r="X225" s="330"/>
      <c r="Y225" s="330"/>
      <c r="Z225" s="619"/>
      <c r="AA225" s="619"/>
      <c r="AB225" s="619"/>
      <c r="AC225" s="619"/>
      <c r="AD225" s="60"/>
    </row>
    <row r="226" spans="1:30" x14ac:dyDescent="0.25">
      <c r="A226" s="443"/>
      <c r="B226" s="443"/>
      <c r="C226" s="443"/>
      <c r="D226" s="330"/>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619"/>
      <c r="AA226" s="619"/>
      <c r="AB226" s="619"/>
      <c r="AC226" s="619"/>
      <c r="AD226" s="60"/>
    </row>
    <row r="227" spans="1:30" x14ac:dyDescent="0.25">
      <c r="A227" s="443"/>
      <c r="B227" s="443"/>
      <c r="C227" s="443"/>
      <c r="D227" s="33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619"/>
      <c r="AA227" s="619"/>
      <c r="AB227" s="619"/>
      <c r="AC227" s="619"/>
      <c r="AD227" s="60"/>
    </row>
    <row r="228" spans="1:30" x14ac:dyDescent="0.25">
      <c r="A228" s="443"/>
      <c r="B228" s="443"/>
      <c r="C228" s="443"/>
      <c r="D228" s="330"/>
      <c r="E228" s="330"/>
      <c r="F228" s="330"/>
      <c r="G228" s="330"/>
      <c r="H228" s="330"/>
      <c r="I228" s="330"/>
      <c r="J228" s="330"/>
      <c r="K228" s="330"/>
      <c r="L228" s="330"/>
      <c r="M228" s="330"/>
      <c r="N228" s="330"/>
      <c r="O228" s="330"/>
      <c r="P228" s="330"/>
      <c r="Q228" s="330"/>
      <c r="R228" s="330"/>
      <c r="S228" s="330"/>
      <c r="T228" s="330"/>
      <c r="U228" s="330"/>
      <c r="V228" s="330"/>
      <c r="W228" s="330"/>
      <c r="X228" s="330"/>
      <c r="Y228" s="330"/>
      <c r="Z228" s="619"/>
      <c r="AA228" s="619"/>
      <c r="AB228" s="619"/>
      <c r="AC228" s="619"/>
      <c r="AD228" s="60"/>
    </row>
    <row r="229" spans="1:30" x14ac:dyDescent="0.25">
      <c r="A229" s="443"/>
      <c r="B229" s="443"/>
      <c r="C229" s="443"/>
      <c r="D229" s="330"/>
      <c r="E229" s="330"/>
      <c r="F229" s="330"/>
      <c r="G229" s="330"/>
      <c r="H229" s="330"/>
      <c r="I229" s="330"/>
      <c r="J229" s="330"/>
      <c r="K229" s="330"/>
      <c r="L229" s="330"/>
      <c r="M229" s="330"/>
      <c r="N229" s="330"/>
      <c r="O229" s="330"/>
      <c r="P229" s="330"/>
      <c r="Q229" s="330"/>
      <c r="R229" s="330"/>
      <c r="S229" s="330"/>
      <c r="T229" s="330"/>
      <c r="U229" s="330"/>
      <c r="V229" s="330"/>
      <c r="W229" s="330"/>
      <c r="X229" s="330"/>
      <c r="Y229" s="330"/>
      <c r="Z229" s="619"/>
      <c r="AA229" s="619"/>
      <c r="AB229" s="619"/>
      <c r="AC229" s="619"/>
      <c r="AD229" s="60"/>
    </row>
    <row r="230" spans="1:30" x14ac:dyDescent="0.25">
      <c r="A230" s="443"/>
      <c r="B230" s="443"/>
      <c r="C230" s="443"/>
      <c r="D230" s="330"/>
      <c r="E230" s="330"/>
      <c r="F230" s="330"/>
      <c r="G230" s="330"/>
      <c r="H230" s="330"/>
      <c r="I230" s="330"/>
      <c r="J230" s="330"/>
      <c r="K230" s="330"/>
      <c r="L230" s="330"/>
      <c r="M230" s="330"/>
      <c r="N230" s="330"/>
      <c r="O230" s="330"/>
      <c r="P230" s="330"/>
      <c r="Q230" s="330"/>
      <c r="R230" s="330"/>
      <c r="S230" s="330"/>
      <c r="T230" s="330"/>
      <c r="U230" s="330"/>
      <c r="V230" s="330"/>
      <c r="W230" s="330"/>
      <c r="X230" s="330"/>
      <c r="Y230" s="330"/>
      <c r="Z230" s="619"/>
      <c r="AA230" s="619"/>
      <c r="AB230" s="619"/>
      <c r="AC230" s="619"/>
      <c r="AD230" s="60"/>
    </row>
    <row r="231" spans="1:30" x14ac:dyDescent="0.25">
      <c r="A231" s="443"/>
      <c r="B231" s="443"/>
      <c r="C231" s="443"/>
      <c r="D231" s="330"/>
      <c r="E231" s="330"/>
      <c r="F231" s="330"/>
      <c r="G231" s="330"/>
      <c r="H231" s="330"/>
      <c r="I231" s="330"/>
      <c r="J231" s="330"/>
      <c r="K231" s="330"/>
      <c r="L231" s="330"/>
      <c r="M231" s="330"/>
      <c r="N231" s="330"/>
      <c r="O231" s="330"/>
      <c r="P231" s="330"/>
      <c r="Q231" s="330"/>
      <c r="R231" s="330"/>
      <c r="S231" s="330"/>
      <c r="T231" s="330"/>
      <c r="U231" s="330"/>
      <c r="V231" s="330"/>
      <c r="W231" s="330"/>
      <c r="X231" s="330"/>
      <c r="Y231" s="330"/>
      <c r="Z231" s="619"/>
      <c r="AA231" s="619"/>
      <c r="AB231" s="619"/>
      <c r="AC231" s="619"/>
      <c r="AD231" s="60"/>
    </row>
    <row r="232" spans="1:30" x14ac:dyDescent="0.25">
      <c r="A232" s="443"/>
      <c r="B232" s="443"/>
      <c r="C232" s="443"/>
      <c r="D232" s="330"/>
      <c r="E232" s="330"/>
      <c r="F232" s="330"/>
      <c r="G232" s="330"/>
      <c r="H232" s="330"/>
      <c r="I232" s="330"/>
      <c r="J232" s="330"/>
      <c r="K232" s="330"/>
      <c r="L232" s="330"/>
      <c r="M232" s="330"/>
      <c r="N232" s="330"/>
      <c r="O232" s="330"/>
      <c r="P232" s="330"/>
      <c r="Q232" s="330"/>
      <c r="R232" s="330"/>
      <c r="S232" s="330"/>
      <c r="T232" s="330"/>
      <c r="U232" s="330"/>
      <c r="V232" s="330"/>
      <c r="W232" s="330"/>
      <c r="X232" s="330"/>
      <c r="Y232" s="330"/>
      <c r="Z232" s="619"/>
      <c r="AA232" s="619"/>
      <c r="AB232" s="619"/>
      <c r="AC232" s="619"/>
      <c r="AD232" s="60"/>
    </row>
    <row r="233" spans="1:30" x14ac:dyDescent="0.25">
      <c r="A233" s="443"/>
      <c r="B233" s="443"/>
      <c r="C233" s="443"/>
      <c r="D233" s="330"/>
      <c r="E233" s="330"/>
      <c r="F233" s="330"/>
      <c r="G233" s="330"/>
      <c r="H233" s="330"/>
      <c r="I233" s="330"/>
      <c r="J233" s="330"/>
      <c r="K233" s="330"/>
      <c r="L233" s="330"/>
      <c r="M233" s="330"/>
      <c r="N233" s="330"/>
      <c r="O233" s="330"/>
      <c r="P233" s="330"/>
      <c r="Q233" s="330"/>
      <c r="R233" s="330"/>
      <c r="S233" s="330"/>
      <c r="T233" s="330"/>
      <c r="U233" s="330"/>
      <c r="V233" s="330"/>
      <c r="W233" s="330"/>
      <c r="X233" s="330"/>
      <c r="Y233" s="330"/>
      <c r="Z233" s="619"/>
      <c r="AA233" s="619"/>
      <c r="AB233" s="619"/>
      <c r="AC233" s="619"/>
      <c r="AD233" s="60"/>
    </row>
    <row r="234" spans="1:30" x14ac:dyDescent="0.25">
      <c r="A234" s="443"/>
      <c r="B234" s="443"/>
      <c r="C234" s="443"/>
      <c r="D234" s="330"/>
      <c r="E234" s="330"/>
      <c r="F234" s="330"/>
      <c r="G234" s="330"/>
      <c r="H234" s="330"/>
      <c r="I234" s="330"/>
      <c r="J234" s="330"/>
      <c r="K234" s="330"/>
      <c r="L234" s="330"/>
      <c r="M234" s="330"/>
      <c r="N234" s="330"/>
      <c r="O234" s="330"/>
      <c r="P234" s="330"/>
      <c r="Q234" s="330"/>
      <c r="R234" s="330"/>
      <c r="S234" s="330"/>
      <c r="T234" s="330"/>
      <c r="U234" s="330"/>
      <c r="V234" s="330"/>
      <c r="W234" s="330"/>
      <c r="X234" s="330"/>
      <c r="Y234" s="330"/>
      <c r="Z234" s="619"/>
      <c r="AA234" s="619"/>
      <c r="AB234" s="619"/>
      <c r="AC234" s="619"/>
      <c r="AD234" s="60"/>
    </row>
    <row r="235" spans="1:30" x14ac:dyDescent="0.25">
      <c r="A235" s="443"/>
      <c r="B235" s="443"/>
      <c r="C235" s="443"/>
      <c r="D235" s="330"/>
      <c r="E235" s="330"/>
      <c r="F235" s="330"/>
      <c r="G235" s="330"/>
      <c r="H235" s="330"/>
      <c r="I235" s="330"/>
      <c r="J235" s="330"/>
      <c r="K235" s="330"/>
      <c r="L235" s="330"/>
      <c r="M235" s="330"/>
      <c r="N235" s="330"/>
      <c r="O235" s="330"/>
      <c r="P235" s="330"/>
      <c r="Q235" s="330"/>
      <c r="R235" s="330"/>
      <c r="S235" s="330"/>
      <c r="T235" s="330"/>
      <c r="U235" s="330"/>
      <c r="V235" s="330"/>
      <c r="W235" s="330"/>
      <c r="X235" s="330"/>
      <c r="Y235" s="330"/>
      <c r="Z235" s="619"/>
      <c r="AA235" s="619"/>
      <c r="AB235" s="619"/>
      <c r="AC235" s="619"/>
      <c r="AD235" s="60"/>
    </row>
    <row r="236" spans="1:30" x14ac:dyDescent="0.25">
      <c r="A236" s="443"/>
      <c r="B236" s="443"/>
      <c r="C236" s="443"/>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619"/>
      <c r="AA236" s="619"/>
      <c r="AB236" s="619"/>
      <c r="AC236" s="619"/>
      <c r="AD236" s="60"/>
    </row>
    <row r="237" spans="1:30" x14ac:dyDescent="0.25">
      <c r="A237" s="443"/>
      <c r="B237" s="443"/>
      <c r="C237" s="443"/>
      <c r="D237" s="330"/>
      <c r="E237" s="330"/>
      <c r="F237" s="330"/>
      <c r="G237" s="330"/>
      <c r="H237" s="330"/>
      <c r="I237" s="330"/>
      <c r="J237" s="330"/>
      <c r="K237" s="330"/>
      <c r="L237" s="330"/>
      <c r="M237" s="330"/>
      <c r="N237" s="330"/>
      <c r="O237" s="330"/>
      <c r="P237" s="330"/>
      <c r="Q237" s="330"/>
      <c r="R237" s="330"/>
      <c r="S237" s="330"/>
      <c r="T237" s="330"/>
      <c r="U237" s="330"/>
      <c r="V237" s="330"/>
      <c r="W237" s="330"/>
      <c r="X237" s="330"/>
      <c r="Y237" s="330"/>
      <c r="Z237" s="619"/>
      <c r="AA237" s="619"/>
      <c r="AB237" s="619"/>
      <c r="AC237" s="619"/>
      <c r="AD237" s="60"/>
    </row>
    <row r="238" spans="1:30" x14ac:dyDescent="0.25">
      <c r="A238" s="443"/>
      <c r="B238" s="443"/>
      <c r="C238" s="443"/>
      <c r="D238" s="330"/>
      <c r="E238" s="330"/>
      <c r="F238" s="330"/>
      <c r="G238" s="330"/>
      <c r="H238" s="330"/>
      <c r="I238" s="330"/>
      <c r="J238" s="330"/>
      <c r="K238" s="330"/>
      <c r="L238" s="330"/>
      <c r="M238" s="330"/>
      <c r="N238" s="330"/>
      <c r="O238" s="330"/>
      <c r="P238" s="330"/>
      <c r="Q238" s="330"/>
      <c r="R238" s="330"/>
      <c r="S238" s="330"/>
      <c r="T238" s="330"/>
      <c r="U238" s="330"/>
      <c r="V238" s="330"/>
      <c r="W238" s="330"/>
      <c r="X238" s="330"/>
      <c r="Y238" s="330"/>
      <c r="Z238" s="619"/>
      <c r="AA238" s="619"/>
      <c r="AB238" s="619"/>
      <c r="AC238" s="619"/>
      <c r="AD238" s="60"/>
    </row>
    <row r="239" spans="1:30" x14ac:dyDescent="0.25">
      <c r="A239" s="443"/>
      <c r="B239" s="443"/>
      <c r="C239" s="443"/>
      <c r="D239" s="330"/>
      <c r="E239" s="330"/>
      <c r="F239" s="330"/>
      <c r="G239" s="330"/>
      <c r="H239" s="330"/>
      <c r="I239" s="330"/>
      <c r="J239" s="330"/>
      <c r="K239" s="330"/>
      <c r="L239" s="330"/>
      <c r="M239" s="330"/>
      <c r="N239" s="330"/>
      <c r="O239" s="330"/>
      <c r="P239" s="330"/>
      <c r="Q239" s="330"/>
      <c r="R239" s="330"/>
      <c r="S239" s="330"/>
      <c r="T239" s="330"/>
      <c r="U239" s="330"/>
      <c r="V239" s="330"/>
      <c r="W239" s="330"/>
      <c r="X239" s="330"/>
      <c r="Y239" s="330"/>
      <c r="Z239" s="619"/>
      <c r="AA239" s="619"/>
      <c r="AB239" s="619"/>
      <c r="AC239" s="619"/>
      <c r="AD239" s="60"/>
    </row>
    <row r="240" spans="1:30" x14ac:dyDescent="0.25">
      <c r="A240" s="443"/>
      <c r="B240" s="443"/>
      <c r="C240" s="443"/>
      <c r="D240" s="330"/>
      <c r="E240" s="330"/>
      <c r="F240" s="330"/>
      <c r="G240" s="330"/>
      <c r="H240" s="330"/>
      <c r="I240" s="330"/>
      <c r="J240" s="330"/>
      <c r="K240" s="330"/>
      <c r="L240" s="330"/>
      <c r="M240" s="330"/>
      <c r="N240" s="330"/>
      <c r="O240" s="330"/>
      <c r="P240" s="330"/>
      <c r="Q240" s="330"/>
      <c r="R240" s="330"/>
      <c r="S240" s="330"/>
      <c r="T240" s="330"/>
      <c r="U240" s="330"/>
      <c r="V240" s="330"/>
      <c r="W240" s="330"/>
      <c r="X240" s="330"/>
      <c r="Y240" s="330"/>
      <c r="Z240" s="619"/>
      <c r="AA240" s="619"/>
      <c r="AB240" s="619"/>
      <c r="AC240" s="619"/>
      <c r="AD240" s="60"/>
    </row>
    <row r="241" spans="1:30" x14ac:dyDescent="0.25">
      <c r="A241" s="443"/>
      <c r="B241" s="443"/>
      <c r="C241" s="443"/>
      <c r="D241" s="330"/>
      <c r="E241" s="330"/>
      <c r="F241" s="330"/>
      <c r="G241" s="330"/>
      <c r="H241" s="330"/>
      <c r="I241" s="330"/>
      <c r="J241" s="330"/>
      <c r="K241" s="330"/>
      <c r="L241" s="330"/>
      <c r="M241" s="330"/>
      <c r="N241" s="330"/>
      <c r="O241" s="330"/>
      <c r="P241" s="330"/>
      <c r="Q241" s="330"/>
      <c r="R241" s="330"/>
      <c r="S241" s="330"/>
      <c r="T241" s="330"/>
      <c r="U241" s="330"/>
      <c r="V241" s="330"/>
      <c r="W241" s="330"/>
      <c r="X241" s="330"/>
      <c r="Y241" s="330"/>
      <c r="Z241" s="619"/>
      <c r="AA241" s="619"/>
      <c r="AB241" s="619"/>
      <c r="AC241" s="619"/>
      <c r="AD241" s="60"/>
    </row>
    <row r="242" spans="1:30" x14ac:dyDescent="0.25">
      <c r="A242" s="443"/>
      <c r="B242" s="443"/>
      <c r="C242" s="443"/>
      <c r="D242" s="330"/>
      <c r="E242" s="330"/>
      <c r="F242" s="330"/>
      <c r="G242" s="330"/>
      <c r="H242" s="330"/>
      <c r="I242" s="330"/>
      <c r="J242" s="330"/>
      <c r="K242" s="330"/>
      <c r="L242" s="330"/>
      <c r="M242" s="330"/>
      <c r="N242" s="330"/>
      <c r="O242" s="330"/>
      <c r="P242" s="330"/>
      <c r="Q242" s="330"/>
      <c r="R242" s="330"/>
      <c r="S242" s="330"/>
      <c r="T242" s="330"/>
      <c r="U242" s="330"/>
      <c r="V242" s="330"/>
      <c r="W242" s="330"/>
      <c r="X242" s="330"/>
      <c r="Y242" s="330"/>
      <c r="Z242" s="619"/>
      <c r="AA242" s="619"/>
      <c r="AB242" s="619"/>
      <c r="AC242" s="619"/>
      <c r="AD242" s="60"/>
    </row>
    <row r="243" spans="1:30" x14ac:dyDescent="0.25">
      <c r="A243" s="443"/>
      <c r="B243" s="443"/>
      <c r="C243" s="443"/>
      <c r="D243" s="330"/>
      <c r="E243" s="330"/>
      <c r="F243" s="330"/>
      <c r="G243" s="330"/>
      <c r="H243" s="330"/>
      <c r="I243" s="330"/>
      <c r="J243" s="330"/>
      <c r="K243" s="330"/>
      <c r="L243" s="330"/>
      <c r="M243" s="330"/>
      <c r="N243" s="330"/>
      <c r="O243" s="330"/>
      <c r="P243" s="330"/>
      <c r="Q243" s="330"/>
      <c r="R243" s="330"/>
      <c r="S243" s="330"/>
      <c r="T243" s="330"/>
      <c r="U243" s="330"/>
      <c r="V243" s="330"/>
      <c r="W243" s="330"/>
      <c r="X243" s="330"/>
      <c r="Y243" s="330"/>
      <c r="Z243" s="619"/>
      <c r="AA243" s="619"/>
      <c r="AB243" s="619"/>
      <c r="AC243" s="619"/>
      <c r="AD243" s="60"/>
    </row>
    <row r="244" spans="1:30" x14ac:dyDescent="0.25">
      <c r="A244" s="443"/>
      <c r="B244" s="443"/>
      <c r="C244" s="443"/>
      <c r="D244" s="330"/>
      <c r="E244" s="330"/>
      <c r="F244" s="330"/>
      <c r="G244" s="330"/>
      <c r="H244" s="330"/>
      <c r="I244" s="330"/>
      <c r="J244" s="330"/>
      <c r="K244" s="330"/>
      <c r="L244" s="330"/>
      <c r="M244" s="330"/>
      <c r="N244" s="330"/>
      <c r="O244" s="330"/>
      <c r="P244" s="330"/>
      <c r="Q244" s="330"/>
      <c r="R244" s="330"/>
      <c r="S244" s="330"/>
      <c r="T244" s="330"/>
      <c r="U244" s="330"/>
      <c r="V244" s="330"/>
      <c r="W244" s="330"/>
      <c r="X244" s="330"/>
      <c r="Y244" s="330"/>
      <c r="Z244" s="619"/>
      <c r="AA244" s="619"/>
      <c r="AB244" s="619"/>
      <c r="AC244" s="619"/>
      <c r="AD244" s="60"/>
    </row>
    <row r="245" spans="1:30" x14ac:dyDescent="0.25">
      <c r="A245" s="443"/>
      <c r="B245" s="443"/>
      <c r="C245" s="443"/>
      <c r="D245" s="330"/>
      <c r="E245" s="330"/>
      <c r="F245" s="330"/>
      <c r="G245" s="330"/>
      <c r="H245" s="330"/>
      <c r="I245" s="330"/>
      <c r="J245" s="330"/>
      <c r="K245" s="330"/>
      <c r="L245" s="330"/>
      <c r="M245" s="330"/>
      <c r="N245" s="330"/>
      <c r="O245" s="330"/>
      <c r="P245" s="330"/>
      <c r="Q245" s="330"/>
      <c r="R245" s="330"/>
      <c r="S245" s="330"/>
      <c r="T245" s="330"/>
      <c r="U245" s="330"/>
      <c r="V245" s="330"/>
      <c r="W245" s="330"/>
      <c r="X245" s="330"/>
      <c r="Y245" s="330"/>
      <c r="Z245" s="619"/>
      <c r="AA245" s="619"/>
      <c r="AB245" s="619"/>
      <c r="AC245" s="619"/>
      <c r="AD245" s="60"/>
    </row>
    <row r="246" spans="1:30" x14ac:dyDescent="0.25">
      <c r="A246" s="443"/>
      <c r="B246" s="443"/>
      <c r="C246" s="443"/>
      <c r="D246" s="330"/>
      <c r="E246" s="330"/>
      <c r="F246" s="330"/>
      <c r="G246" s="330"/>
      <c r="H246" s="330"/>
      <c r="I246" s="330"/>
      <c r="J246" s="330"/>
      <c r="K246" s="330"/>
      <c r="L246" s="330"/>
      <c r="M246" s="330"/>
      <c r="N246" s="330"/>
      <c r="O246" s="330"/>
      <c r="P246" s="330"/>
      <c r="Q246" s="330"/>
      <c r="R246" s="330"/>
      <c r="S246" s="330"/>
      <c r="T246" s="330"/>
      <c r="U246" s="330"/>
      <c r="V246" s="330"/>
      <c r="W246" s="330"/>
      <c r="X246" s="330"/>
      <c r="Y246" s="330"/>
      <c r="Z246" s="619"/>
      <c r="AA246" s="619"/>
      <c r="AB246" s="619"/>
      <c r="AC246" s="619"/>
      <c r="AD246" s="60"/>
    </row>
    <row r="247" spans="1:30" x14ac:dyDescent="0.25">
      <c r="A247" s="443"/>
      <c r="B247" s="443"/>
      <c r="C247" s="443"/>
      <c r="D247" s="330"/>
      <c r="E247" s="330"/>
      <c r="F247" s="330"/>
      <c r="G247" s="330"/>
      <c r="H247" s="330"/>
      <c r="I247" s="330"/>
      <c r="J247" s="330"/>
      <c r="K247" s="330"/>
      <c r="L247" s="330"/>
      <c r="M247" s="330"/>
      <c r="N247" s="330"/>
      <c r="O247" s="330"/>
      <c r="P247" s="330"/>
      <c r="Q247" s="330"/>
      <c r="R247" s="330"/>
      <c r="S247" s="330"/>
      <c r="T247" s="330"/>
      <c r="U247" s="330"/>
      <c r="V247" s="330"/>
      <c r="W247" s="330"/>
      <c r="X247" s="330"/>
      <c r="Y247" s="330"/>
      <c r="Z247" s="619"/>
      <c r="AA247" s="619"/>
      <c r="AB247" s="619"/>
      <c r="AC247" s="619"/>
      <c r="AD247" s="60"/>
    </row>
    <row r="248" spans="1:30" x14ac:dyDescent="0.25">
      <c r="A248" s="443"/>
      <c r="B248" s="443"/>
      <c r="C248" s="443"/>
      <c r="D248" s="330"/>
      <c r="E248" s="330"/>
      <c r="F248" s="330"/>
      <c r="G248" s="330"/>
      <c r="H248" s="330"/>
      <c r="I248" s="330"/>
      <c r="J248" s="330"/>
      <c r="K248" s="330"/>
      <c r="L248" s="330"/>
      <c r="M248" s="330"/>
      <c r="N248" s="330"/>
      <c r="O248" s="330"/>
      <c r="P248" s="330"/>
      <c r="Q248" s="330"/>
      <c r="R248" s="330"/>
      <c r="S248" s="330"/>
      <c r="T248" s="330"/>
      <c r="U248" s="330"/>
      <c r="V248" s="330"/>
      <c r="W248" s="330"/>
      <c r="X248" s="330"/>
      <c r="Y248" s="330"/>
      <c r="Z248" s="619"/>
      <c r="AA248" s="619"/>
      <c r="AB248" s="619"/>
      <c r="AC248" s="619"/>
      <c r="AD248" s="60"/>
    </row>
    <row r="249" spans="1:30" x14ac:dyDescent="0.25">
      <c r="A249" s="443"/>
      <c r="B249" s="443"/>
      <c r="C249" s="443"/>
      <c r="D249" s="330"/>
      <c r="E249" s="330"/>
      <c r="F249" s="330"/>
      <c r="G249" s="330"/>
      <c r="H249" s="330"/>
      <c r="I249" s="330"/>
      <c r="J249" s="330"/>
      <c r="K249" s="330"/>
      <c r="L249" s="330"/>
      <c r="M249" s="330"/>
      <c r="N249" s="330"/>
      <c r="O249" s="330"/>
      <c r="P249" s="330"/>
      <c r="Q249" s="330"/>
      <c r="R249" s="330"/>
      <c r="S249" s="330"/>
      <c r="T249" s="330"/>
      <c r="U249" s="330"/>
      <c r="V249" s="330"/>
      <c r="W249" s="330"/>
      <c r="X249" s="330"/>
      <c r="Y249" s="330"/>
      <c r="Z249" s="619"/>
      <c r="AA249" s="619"/>
      <c r="AB249" s="619"/>
      <c r="AC249" s="619"/>
      <c r="AD249" s="60"/>
    </row>
    <row r="250" spans="1:30" x14ac:dyDescent="0.25">
      <c r="A250" s="443"/>
      <c r="B250" s="443"/>
      <c r="C250" s="443"/>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619"/>
      <c r="AA250" s="619"/>
      <c r="AB250" s="619"/>
      <c r="AC250" s="619"/>
      <c r="AD250" s="60"/>
    </row>
    <row r="251" spans="1:30" x14ac:dyDescent="0.25">
      <c r="A251" s="443"/>
      <c r="B251" s="443"/>
      <c r="C251" s="443"/>
      <c r="D251" s="330"/>
      <c r="E251" s="330"/>
      <c r="F251" s="330"/>
      <c r="G251" s="330"/>
      <c r="H251" s="330"/>
      <c r="I251" s="330"/>
      <c r="J251" s="330"/>
      <c r="K251" s="330"/>
      <c r="L251" s="330"/>
      <c r="M251" s="330"/>
      <c r="N251" s="330"/>
      <c r="O251" s="330"/>
      <c r="P251" s="330"/>
      <c r="Q251" s="330"/>
      <c r="R251" s="330"/>
      <c r="S251" s="330"/>
      <c r="T251" s="330"/>
      <c r="U251" s="330"/>
      <c r="V251" s="330"/>
      <c r="W251" s="330"/>
      <c r="X251" s="330"/>
      <c r="Y251" s="330"/>
      <c r="Z251" s="619"/>
      <c r="AA251" s="619"/>
      <c r="AB251" s="619"/>
      <c r="AC251" s="619"/>
      <c r="AD251" s="60"/>
    </row>
    <row r="252" spans="1:30" x14ac:dyDescent="0.25">
      <c r="A252" s="443"/>
      <c r="B252" s="443"/>
      <c r="C252" s="443"/>
      <c r="D252" s="330"/>
      <c r="E252" s="330"/>
      <c r="F252" s="330"/>
      <c r="G252" s="330"/>
      <c r="H252" s="330"/>
      <c r="I252" s="330"/>
      <c r="J252" s="330"/>
      <c r="K252" s="330"/>
      <c r="L252" s="330"/>
      <c r="M252" s="330"/>
      <c r="N252" s="330"/>
      <c r="O252" s="330"/>
      <c r="P252" s="330"/>
      <c r="Q252" s="330"/>
      <c r="R252" s="330"/>
      <c r="S252" s="330"/>
      <c r="T252" s="330"/>
      <c r="U252" s="330"/>
      <c r="V252" s="330"/>
      <c r="W252" s="330"/>
      <c r="X252" s="330"/>
      <c r="Y252" s="330"/>
      <c r="Z252" s="619"/>
      <c r="AA252" s="619"/>
      <c r="AB252" s="619"/>
      <c r="AC252" s="619"/>
      <c r="AD252" s="60"/>
    </row>
    <row r="253" spans="1:30" x14ac:dyDescent="0.25">
      <c r="A253" s="443"/>
      <c r="B253" s="443"/>
      <c r="C253" s="443"/>
      <c r="D253" s="330"/>
      <c r="E253" s="330"/>
      <c r="F253" s="330"/>
      <c r="G253" s="330"/>
      <c r="H253" s="330"/>
      <c r="I253" s="330"/>
      <c r="J253" s="330"/>
      <c r="K253" s="330"/>
      <c r="L253" s="330"/>
      <c r="M253" s="330"/>
      <c r="N253" s="330"/>
      <c r="O253" s="330"/>
      <c r="P253" s="330"/>
      <c r="Q253" s="330"/>
      <c r="R253" s="330"/>
      <c r="S253" s="330"/>
      <c r="T253" s="330"/>
      <c r="U253" s="330"/>
      <c r="V253" s="330"/>
      <c r="W253" s="330"/>
      <c r="X253" s="330"/>
      <c r="Y253" s="330"/>
      <c r="Z253" s="619"/>
      <c r="AA253" s="619"/>
      <c r="AB253" s="619"/>
      <c r="AC253" s="619"/>
      <c r="AD253" s="60"/>
    </row>
    <row r="254" spans="1:30" x14ac:dyDescent="0.25">
      <c r="A254" s="443"/>
      <c r="B254" s="443"/>
      <c r="C254" s="443"/>
      <c r="D254" s="330"/>
      <c r="E254" s="330"/>
      <c r="F254" s="330"/>
      <c r="G254" s="330"/>
      <c r="H254" s="330"/>
      <c r="I254" s="330"/>
      <c r="J254" s="330"/>
      <c r="K254" s="330"/>
      <c r="L254" s="330"/>
      <c r="M254" s="330"/>
      <c r="N254" s="330"/>
      <c r="O254" s="330"/>
      <c r="P254" s="330"/>
      <c r="Q254" s="330"/>
      <c r="R254" s="330"/>
      <c r="S254" s="330"/>
      <c r="T254" s="330"/>
      <c r="U254" s="330"/>
      <c r="V254" s="330"/>
      <c r="W254" s="330"/>
      <c r="X254" s="330"/>
      <c r="Y254" s="330"/>
      <c r="Z254" s="619"/>
      <c r="AA254" s="619"/>
      <c r="AB254" s="619"/>
      <c r="AC254" s="619"/>
      <c r="AD254" s="60"/>
    </row>
    <row r="255" spans="1:30" x14ac:dyDescent="0.25">
      <c r="A255" s="443"/>
      <c r="B255" s="443"/>
      <c r="C255" s="443"/>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619"/>
      <c r="AA255" s="619"/>
      <c r="AB255" s="619"/>
      <c r="AC255" s="619"/>
      <c r="AD255" s="60"/>
    </row>
    <row r="256" spans="1:30" x14ac:dyDescent="0.25">
      <c r="A256" s="443"/>
      <c r="B256" s="443"/>
      <c r="C256" s="443"/>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c r="Z256" s="619"/>
      <c r="AA256" s="619"/>
      <c r="AB256" s="619"/>
      <c r="AC256" s="619"/>
      <c r="AD256" s="60"/>
    </row>
    <row r="257" spans="1:30" x14ac:dyDescent="0.25">
      <c r="A257" s="443"/>
      <c r="B257" s="443"/>
      <c r="C257" s="443"/>
      <c r="D257" s="330"/>
      <c r="E257" s="330"/>
      <c r="F257" s="330"/>
      <c r="G257" s="330"/>
      <c r="H257" s="330"/>
      <c r="I257" s="330"/>
      <c r="J257" s="330"/>
      <c r="K257" s="330"/>
      <c r="L257" s="330"/>
      <c r="M257" s="330"/>
      <c r="N257" s="330"/>
      <c r="O257" s="330"/>
      <c r="P257" s="330"/>
      <c r="Q257" s="330"/>
      <c r="R257" s="330"/>
      <c r="S257" s="330"/>
      <c r="T257" s="330"/>
      <c r="U257" s="330"/>
      <c r="V257" s="330"/>
      <c r="W257" s="330"/>
      <c r="X257" s="330"/>
      <c r="Y257" s="330"/>
      <c r="Z257" s="619"/>
      <c r="AA257" s="619"/>
      <c r="AB257" s="619"/>
      <c r="AC257" s="619"/>
      <c r="AD257" s="60"/>
    </row>
    <row r="258" spans="1:30" x14ac:dyDescent="0.25">
      <c r="A258" s="443"/>
      <c r="B258" s="443"/>
      <c r="C258" s="443"/>
      <c r="D258" s="330"/>
      <c r="E258" s="330"/>
      <c r="F258" s="330"/>
      <c r="G258" s="330"/>
      <c r="H258" s="330"/>
      <c r="I258" s="330"/>
      <c r="J258" s="330"/>
      <c r="K258" s="330"/>
      <c r="L258" s="330"/>
      <c r="M258" s="330"/>
      <c r="N258" s="330"/>
      <c r="O258" s="330"/>
      <c r="P258" s="330"/>
      <c r="Q258" s="330"/>
      <c r="R258" s="330"/>
      <c r="S258" s="330"/>
      <c r="T258" s="330"/>
      <c r="U258" s="330"/>
      <c r="V258" s="330"/>
      <c r="W258" s="330"/>
      <c r="X258" s="330"/>
      <c r="Y258" s="330"/>
      <c r="Z258" s="619"/>
      <c r="AA258" s="619"/>
      <c r="AB258" s="619"/>
      <c r="AC258" s="619"/>
      <c r="AD258" s="60"/>
    </row>
    <row r="259" spans="1:30" x14ac:dyDescent="0.25">
      <c r="A259" s="443"/>
      <c r="B259" s="443"/>
      <c r="C259" s="443"/>
      <c r="D259" s="330"/>
      <c r="E259" s="330"/>
      <c r="F259" s="330"/>
      <c r="G259" s="330"/>
      <c r="H259" s="330"/>
      <c r="I259" s="330"/>
      <c r="J259" s="330"/>
      <c r="K259" s="330"/>
      <c r="L259" s="330"/>
      <c r="M259" s="330"/>
      <c r="N259" s="330"/>
      <c r="O259" s="330"/>
      <c r="P259" s="330"/>
      <c r="Q259" s="330"/>
      <c r="R259" s="330"/>
      <c r="S259" s="330"/>
      <c r="T259" s="330"/>
      <c r="U259" s="330"/>
      <c r="V259" s="330"/>
      <c r="W259" s="330"/>
      <c r="X259" s="330"/>
      <c r="Y259" s="330"/>
      <c r="Z259" s="619"/>
      <c r="AA259" s="619"/>
      <c r="AB259" s="619"/>
      <c r="AC259" s="619"/>
      <c r="AD259" s="60"/>
    </row>
    <row r="260" spans="1:30" x14ac:dyDescent="0.25">
      <c r="A260" s="443"/>
      <c r="B260" s="443"/>
      <c r="C260" s="443"/>
      <c r="D260" s="330"/>
      <c r="E260" s="330"/>
      <c r="F260" s="330"/>
      <c r="G260" s="330"/>
      <c r="H260" s="330"/>
      <c r="I260" s="330"/>
      <c r="J260" s="330"/>
      <c r="K260" s="330"/>
      <c r="L260" s="330"/>
      <c r="M260" s="330"/>
      <c r="N260" s="330"/>
      <c r="O260" s="330"/>
      <c r="P260" s="330"/>
      <c r="Q260" s="330"/>
      <c r="R260" s="330"/>
      <c r="S260" s="330"/>
      <c r="T260" s="330"/>
      <c r="U260" s="330"/>
      <c r="V260" s="330"/>
      <c r="W260" s="330"/>
      <c r="X260" s="330"/>
      <c r="Y260" s="330"/>
      <c r="Z260" s="619"/>
      <c r="AA260" s="619"/>
      <c r="AB260" s="619"/>
      <c r="AC260" s="619"/>
      <c r="AD260" s="60"/>
    </row>
    <row r="261" spans="1:30" x14ac:dyDescent="0.25">
      <c r="A261" s="443"/>
      <c r="B261" s="443"/>
      <c r="C261" s="443"/>
      <c r="D261" s="330"/>
      <c r="E261" s="330"/>
      <c r="F261" s="330"/>
      <c r="G261" s="330"/>
      <c r="H261" s="330"/>
      <c r="I261" s="330"/>
      <c r="J261" s="330"/>
      <c r="K261" s="330"/>
      <c r="L261" s="330"/>
      <c r="M261" s="330"/>
      <c r="N261" s="330"/>
      <c r="O261" s="330"/>
      <c r="P261" s="330"/>
      <c r="Q261" s="330"/>
      <c r="R261" s="330"/>
      <c r="S261" s="330"/>
      <c r="T261" s="330"/>
      <c r="U261" s="330"/>
      <c r="V261" s="330"/>
      <c r="W261" s="330"/>
      <c r="X261" s="330"/>
      <c r="Y261" s="330"/>
      <c r="Z261" s="619"/>
      <c r="AA261" s="619"/>
      <c r="AB261" s="619"/>
      <c r="AC261" s="619"/>
      <c r="AD261" s="60"/>
    </row>
    <row r="262" spans="1:30" x14ac:dyDescent="0.25">
      <c r="A262" s="443"/>
      <c r="B262" s="443"/>
      <c r="C262" s="443"/>
      <c r="D262" s="330"/>
      <c r="E262" s="330"/>
      <c r="F262" s="330"/>
      <c r="G262" s="330"/>
      <c r="H262" s="330"/>
      <c r="I262" s="330"/>
      <c r="J262" s="330"/>
      <c r="K262" s="330"/>
      <c r="L262" s="330"/>
      <c r="M262" s="330"/>
      <c r="N262" s="330"/>
      <c r="O262" s="330"/>
      <c r="P262" s="330"/>
      <c r="Q262" s="330"/>
      <c r="R262" s="330"/>
      <c r="S262" s="330"/>
      <c r="T262" s="330"/>
      <c r="U262" s="330"/>
      <c r="V262" s="330"/>
      <c r="W262" s="330"/>
      <c r="X262" s="330"/>
      <c r="Y262" s="330"/>
      <c r="Z262" s="619"/>
      <c r="AA262" s="619"/>
      <c r="AB262" s="619"/>
      <c r="AC262" s="619"/>
      <c r="AD262" s="60"/>
    </row>
    <row r="263" spans="1:30" x14ac:dyDescent="0.25">
      <c r="A263" s="443"/>
      <c r="B263" s="443"/>
      <c r="C263" s="443"/>
      <c r="D263" s="330"/>
      <c r="E263" s="330"/>
      <c r="F263" s="330"/>
      <c r="G263" s="330"/>
      <c r="H263" s="330"/>
      <c r="I263" s="330"/>
      <c r="J263" s="330"/>
      <c r="K263" s="330"/>
      <c r="L263" s="330"/>
      <c r="M263" s="330"/>
      <c r="N263" s="330"/>
      <c r="O263" s="330"/>
      <c r="P263" s="330"/>
      <c r="Q263" s="330"/>
      <c r="R263" s="330"/>
      <c r="S263" s="330"/>
      <c r="T263" s="330"/>
      <c r="U263" s="330"/>
      <c r="V263" s="330"/>
      <c r="W263" s="330"/>
      <c r="X263" s="330"/>
      <c r="Y263" s="330"/>
      <c r="Z263" s="619"/>
      <c r="AA263" s="619"/>
      <c r="AB263" s="619"/>
      <c r="AC263" s="619"/>
      <c r="AD263" s="60"/>
    </row>
    <row r="264" spans="1:30" x14ac:dyDescent="0.25">
      <c r="A264" s="443"/>
      <c r="B264" s="443"/>
      <c r="C264" s="443"/>
      <c r="D264" s="330"/>
      <c r="E264" s="330"/>
      <c r="F264" s="330"/>
      <c r="G264" s="330"/>
      <c r="H264" s="330"/>
      <c r="I264" s="330"/>
      <c r="J264" s="330"/>
      <c r="K264" s="330"/>
      <c r="L264" s="330"/>
      <c r="M264" s="330"/>
      <c r="N264" s="330"/>
      <c r="O264" s="330"/>
      <c r="P264" s="330"/>
      <c r="Q264" s="330"/>
      <c r="R264" s="330"/>
      <c r="S264" s="330"/>
      <c r="T264" s="330"/>
      <c r="U264" s="330"/>
      <c r="V264" s="330"/>
      <c r="W264" s="330"/>
      <c r="X264" s="330"/>
      <c r="Y264" s="330"/>
      <c r="Z264" s="619"/>
      <c r="AA264" s="619"/>
      <c r="AB264" s="619"/>
      <c r="AC264" s="619"/>
      <c r="AD264" s="60"/>
    </row>
    <row r="265" spans="1:30" x14ac:dyDescent="0.25">
      <c r="A265" s="443"/>
      <c r="B265" s="443"/>
      <c r="C265" s="443"/>
      <c r="D265" s="330"/>
      <c r="E265" s="330"/>
      <c r="F265" s="330"/>
      <c r="G265" s="330"/>
      <c r="H265" s="330"/>
      <c r="I265" s="330"/>
      <c r="J265" s="330"/>
      <c r="K265" s="330"/>
      <c r="L265" s="330"/>
      <c r="M265" s="330"/>
      <c r="N265" s="330"/>
      <c r="O265" s="330"/>
      <c r="P265" s="330"/>
      <c r="Q265" s="330"/>
      <c r="R265" s="330"/>
      <c r="S265" s="330"/>
      <c r="T265" s="330"/>
      <c r="U265" s="330"/>
      <c r="V265" s="330"/>
      <c r="W265" s="330"/>
      <c r="X265" s="330"/>
      <c r="Y265" s="330"/>
      <c r="Z265" s="619"/>
      <c r="AA265" s="619"/>
      <c r="AB265" s="619"/>
      <c r="AC265" s="619"/>
      <c r="AD265" s="60"/>
    </row>
    <row r="266" spans="1:30" x14ac:dyDescent="0.25">
      <c r="A266" s="443"/>
      <c r="B266" s="443"/>
      <c r="C266" s="443"/>
      <c r="D266" s="330"/>
      <c r="E266" s="330"/>
      <c r="F266" s="330"/>
      <c r="G266" s="330"/>
      <c r="H266" s="330"/>
      <c r="I266" s="330"/>
      <c r="J266" s="330"/>
      <c r="K266" s="330"/>
      <c r="L266" s="330"/>
      <c r="M266" s="330"/>
      <c r="N266" s="330"/>
      <c r="O266" s="330"/>
      <c r="P266" s="330"/>
      <c r="Q266" s="330"/>
      <c r="R266" s="330"/>
      <c r="S266" s="330"/>
      <c r="T266" s="330"/>
      <c r="U266" s="330"/>
      <c r="V266" s="330"/>
      <c r="W266" s="330"/>
      <c r="X266" s="330"/>
      <c r="Y266" s="330"/>
      <c r="Z266" s="619"/>
      <c r="AA266" s="619"/>
      <c r="AB266" s="619"/>
      <c r="AC266" s="619"/>
      <c r="AD266" s="60"/>
    </row>
    <row r="267" spans="1:30" x14ac:dyDescent="0.25">
      <c r="A267" s="443"/>
      <c r="B267" s="443"/>
      <c r="C267" s="443"/>
      <c r="D267" s="330"/>
      <c r="E267" s="330"/>
      <c r="F267" s="330"/>
      <c r="G267" s="330"/>
      <c r="H267" s="330"/>
      <c r="I267" s="330"/>
      <c r="J267" s="330"/>
      <c r="K267" s="330"/>
      <c r="L267" s="330"/>
      <c r="M267" s="330"/>
      <c r="N267" s="330"/>
      <c r="O267" s="330"/>
      <c r="P267" s="330"/>
      <c r="Q267" s="330"/>
      <c r="R267" s="330"/>
      <c r="S267" s="330"/>
      <c r="T267" s="330"/>
      <c r="U267" s="330"/>
      <c r="V267" s="330"/>
      <c r="W267" s="330"/>
      <c r="X267" s="330"/>
      <c r="Y267" s="330"/>
      <c r="Z267" s="619"/>
      <c r="AA267" s="619"/>
      <c r="AB267" s="619"/>
      <c r="AC267" s="619"/>
      <c r="AD267" s="60"/>
    </row>
    <row r="268" spans="1:30" x14ac:dyDescent="0.25">
      <c r="A268" s="443"/>
      <c r="B268" s="443"/>
      <c r="C268" s="443"/>
      <c r="D268" s="330"/>
      <c r="E268" s="330"/>
      <c r="F268" s="330"/>
      <c r="G268" s="330"/>
      <c r="H268" s="330"/>
      <c r="I268" s="330"/>
      <c r="J268" s="330"/>
      <c r="K268" s="330"/>
      <c r="L268" s="330"/>
      <c r="M268" s="330"/>
      <c r="N268" s="330"/>
      <c r="O268" s="330"/>
      <c r="P268" s="330"/>
      <c r="Q268" s="330"/>
      <c r="R268" s="330"/>
      <c r="S268" s="330"/>
      <c r="T268" s="330"/>
      <c r="U268" s="330"/>
      <c r="V268" s="330"/>
      <c r="W268" s="330"/>
      <c r="X268" s="330"/>
      <c r="Y268" s="330"/>
      <c r="Z268" s="619"/>
      <c r="AA268" s="619"/>
      <c r="AB268" s="619"/>
      <c r="AC268" s="619"/>
      <c r="AD268" s="60"/>
    </row>
    <row r="269" spans="1:30" x14ac:dyDescent="0.25">
      <c r="A269" s="443"/>
      <c r="B269" s="443"/>
      <c r="C269" s="443"/>
      <c r="D269" s="330"/>
      <c r="E269" s="330"/>
      <c r="F269" s="330"/>
      <c r="G269" s="330"/>
      <c r="H269" s="330"/>
      <c r="I269" s="330"/>
      <c r="J269" s="330"/>
      <c r="K269" s="330"/>
      <c r="L269" s="330"/>
      <c r="M269" s="330"/>
      <c r="N269" s="330"/>
      <c r="O269" s="330"/>
      <c r="P269" s="330"/>
      <c r="Q269" s="330"/>
      <c r="R269" s="330"/>
      <c r="S269" s="330"/>
      <c r="T269" s="330"/>
      <c r="U269" s="330"/>
      <c r="V269" s="330"/>
      <c r="W269" s="330"/>
      <c r="X269" s="330"/>
      <c r="Y269" s="330"/>
      <c r="Z269" s="619"/>
      <c r="AA269" s="619"/>
      <c r="AB269" s="619"/>
      <c r="AC269" s="619"/>
      <c r="AD269" s="60"/>
    </row>
    <row r="270" spans="1:30" x14ac:dyDescent="0.25">
      <c r="A270" s="443"/>
      <c r="B270" s="443"/>
      <c r="C270" s="443"/>
      <c r="D270" s="330"/>
      <c r="E270" s="330"/>
      <c r="F270" s="330"/>
      <c r="G270" s="330"/>
      <c r="H270" s="330"/>
      <c r="I270" s="330"/>
      <c r="J270" s="330"/>
      <c r="K270" s="330"/>
      <c r="L270" s="330"/>
      <c r="M270" s="330"/>
      <c r="N270" s="330"/>
      <c r="O270" s="330"/>
      <c r="P270" s="330"/>
      <c r="Q270" s="330"/>
      <c r="R270" s="330"/>
      <c r="S270" s="330"/>
      <c r="T270" s="330"/>
      <c r="U270" s="330"/>
      <c r="V270" s="330"/>
      <c r="W270" s="330"/>
      <c r="X270" s="330"/>
      <c r="Y270" s="330"/>
      <c r="Z270" s="619"/>
      <c r="AA270" s="619"/>
      <c r="AB270" s="619"/>
      <c r="AC270" s="619"/>
      <c r="AD270" s="60"/>
    </row>
    <row r="271" spans="1:30" x14ac:dyDescent="0.25">
      <c r="A271" s="443"/>
      <c r="B271" s="443"/>
      <c r="C271" s="443"/>
      <c r="D271" s="330"/>
      <c r="E271" s="330"/>
      <c r="F271" s="330"/>
      <c r="G271" s="330"/>
      <c r="H271" s="330"/>
      <c r="I271" s="330"/>
      <c r="J271" s="330"/>
      <c r="K271" s="330"/>
      <c r="L271" s="330"/>
      <c r="M271" s="330"/>
      <c r="N271" s="330"/>
      <c r="O271" s="330"/>
      <c r="P271" s="330"/>
      <c r="Q271" s="330"/>
      <c r="R271" s="330"/>
      <c r="S271" s="330"/>
      <c r="T271" s="330"/>
      <c r="U271" s="330"/>
      <c r="V271" s="330"/>
      <c r="W271" s="330"/>
      <c r="X271" s="330"/>
      <c r="Y271" s="330"/>
      <c r="Z271" s="619"/>
      <c r="AA271" s="619"/>
      <c r="AB271" s="619"/>
      <c r="AC271" s="619"/>
      <c r="AD271" s="60"/>
    </row>
    <row r="272" spans="1:30" x14ac:dyDescent="0.25">
      <c r="A272" s="443"/>
      <c r="B272" s="443"/>
      <c r="C272" s="443"/>
      <c r="D272" s="330"/>
      <c r="E272" s="330"/>
      <c r="F272" s="330"/>
      <c r="G272" s="330"/>
      <c r="H272" s="330"/>
      <c r="I272" s="330"/>
      <c r="J272" s="330"/>
      <c r="K272" s="330"/>
      <c r="L272" s="330"/>
      <c r="M272" s="330"/>
      <c r="N272" s="330"/>
      <c r="O272" s="330"/>
      <c r="P272" s="330"/>
      <c r="Q272" s="330"/>
      <c r="R272" s="330"/>
      <c r="S272" s="330"/>
      <c r="T272" s="330"/>
      <c r="U272" s="330"/>
      <c r="V272" s="330"/>
      <c r="W272" s="330"/>
      <c r="X272" s="330"/>
      <c r="Y272" s="330"/>
      <c r="Z272" s="619"/>
      <c r="AA272" s="619"/>
      <c r="AB272" s="619"/>
      <c r="AC272" s="619"/>
      <c r="AD272" s="60"/>
    </row>
    <row r="273" spans="1:30" x14ac:dyDescent="0.25">
      <c r="A273" s="443"/>
      <c r="B273" s="443"/>
      <c r="C273" s="443"/>
      <c r="D273" s="330"/>
      <c r="E273" s="330"/>
      <c r="F273" s="330"/>
      <c r="G273" s="330"/>
      <c r="H273" s="330"/>
      <c r="I273" s="330"/>
      <c r="J273" s="330"/>
      <c r="K273" s="330"/>
      <c r="L273" s="330"/>
      <c r="M273" s="330"/>
      <c r="N273" s="330"/>
      <c r="O273" s="330"/>
      <c r="P273" s="330"/>
      <c r="Q273" s="330"/>
      <c r="R273" s="330"/>
      <c r="S273" s="330"/>
      <c r="T273" s="330"/>
      <c r="U273" s="330"/>
      <c r="V273" s="330"/>
      <c r="W273" s="330"/>
      <c r="X273" s="330"/>
      <c r="Y273" s="330"/>
      <c r="Z273" s="619"/>
      <c r="AA273" s="619"/>
      <c r="AB273" s="619"/>
      <c r="AC273" s="619"/>
      <c r="AD273" s="60"/>
    </row>
    <row r="274" spans="1:30" x14ac:dyDescent="0.25">
      <c r="A274" s="443"/>
      <c r="B274" s="443"/>
      <c r="C274" s="443"/>
      <c r="D274" s="330"/>
      <c r="E274" s="330"/>
      <c r="F274" s="330"/>
      <c r="G274" s="330"/>
      <c r="H274" s="330"/>
      <c r="I274" s="330"/>
      <c r="J274" s="330"/>
      <c r="K274" s="330"/>
      <c r="L274" s="330"/>
      <c r="M274" s="330"/>
      <c r="N274" s="330"/>
      <c r="O274" s="330"/>
      <c r="P274" s="330"/>
      <c r="Q274" s="330"/>
      <c r="R274" s="330"/>
      <c r="S274" s="330"/>
      <c r="T274" s="330"/>
      <c r="U274" s="330"/>
      <c r="V274" s="330"/>
      <c r="W274" s="330"/>
      <c r="X274" s="330"/>
      <c r="Y274" s="330"/>
      <c r="Z274" s="619"/>
      <c r="AA274" s="619"/>
      <c r="AB274" s="619"/>
      <c r="AC274" s="619"/>
      <c r="AD274" s="60"/>
    </row>
    <row r="275" spans="1:30" x14ac:dyDescent="0.25">
      <c r="A275" s="443"/>
      <c r="B275" s="443"/>
      <c r="C275" s="443"/>
      <c r="D275" s="330"/>
      <c r="E275" s="330"/>
      <c r="F275" s="330"/>
      <c r="G275" s="330"/>
      <c r="H275" s="330"/>
      <c r="I275" s="330"/>
      <c r="J275" s="330"/>
      <c r="K275" s="330"/>
      <c r="L275" s="330"/>
      <c r="M275" s="330"/>
      <c r="N275" s="330"/>
      <c r="O275" s="330"/>
      <c r="P275" s="330"/>
      <c r="Q275" s="330"/>
      <c r="R275" s="330"/>
      <c r="S275" s="330"/>
      <c r="T275" s="330"/>
      <c r="U275" s="330"/>
      <c r="V275" s="330"/>
      <c r="W275" s="330"/>
      <c r="X275" s="330"/>
      <c r="Y275" s="330"/>
      <c r="Z275" s="619"/>
      <c r="AA275" s="619"/>
      <c r="AB275" s="619"/>
      <c r="AC275" s="619"/>
      <c r="AD275" s="60"/>
    </row>
    <row r="276" spans="1:30" x14ac:dyDescent="0.25">
      <c r="A276" s="443"/>
      <c r="B276" s="443"/>
      <c r="C276" s="443"/>
      <c r="D276" s="330"/>
      <c r="E276" s="330"/>
      <c r="F276" s="330"/>
      <c r="G276" s="330"/>
      <c r="H276" s="330"/>
      <c r="I276" s="330"/>
      <c r="J276" s="330"/>
      <c r="K276" s="330"/>
      <c r="L276" s="330"/>
      <c r="M276" s="330"/>
      <c r="N276" s="330"/>
      <c r="O276" s="330"/>
      <c r="P276" s="330"/>
      <c r="Q276" s="330"/>
      <c r="R276" s="330"/>
      <c r="S276" s="330"/>
      <c r="T276" s="330"/>
      <c r="U276" s="330"/>
      <c r="V276" s="330"/>
      <c r="W276" s="330"/>
      <c r="X276" s="330"/>
      <c r="Y276" s="330"/>
      <c r="Z276" s="619"/>
      <c r="AA276" s="619"/>
      <c r="AB276" s="619"/>
      <c r="AC276" s="619"/>
      <c r="AD276" s="60"/>
    </row>
    <row r="277" spans="1:30" x14ac:dyDescent="0.25">
      <c r="A277" s="443"/>
      <c r="B277" s="443"/>
      <c r="C277" s="443"/>
      <c r="D277" s="330"/>
      <c r="E277" s="330"/>
      <c r="F277" s="330"/>
      <c r="G277" s="330"/>
      <c r="H277" s="330"/>
      <c r="I277" s="330"/>
      <c r="J277" s="330"/>
      <c r="K277" s="330"/>
      <c r="L277" s="330"/>
      <c r="M277" s="330"/>
      <c r="N277" s="330"/>
      <c r="O277" s="330"/>
      <c r="P277" s="330"/>
      <c r="Q277" s="330"/>
      <c r="R277" s="330"/>
      <c r="S277" s="330"/>
      <c r="T277" s="330"/>
      <c r="U277" s="330"/>
      <c r="V277" s="330"/>
      <c r="W277" s="330"/>
      <c r="X277" s="330"/>
      <c r="Y277" s="330"/>
      <c r="Z277" s="619"/>
      <c r="AA277" s="619"/>
      <c r="AB277" s="619"/>
      <c r="AC277" s="619"/>
      <c r="AD277" s="60"/>
    </row>
    <row r="278" spans="1:30" x14ac:dyDescent="0.25">
      <c r="A278" s="443"/>
      <c r="B278" s="443"/>
      <c r="C278" s="443"/>
      <c r="D278" s="330"/>
      <c r="E278" s="330"/>
      <c r="F278" s="330"/>
      <c r="G278" s="330"/>
      <c r="H278" s="330"/>
      <c r="I278" s="330"/>
      <c r="J278" s="330"/>
      <c r="K278" s="330"/>
      <c r="L278" s="330"/>
      <c r="M278" s="330"/>
      <c r="N278" s="330"/>
      <c r="O278" s="330"/>
      <c r="P278" s="330"/>
      <c r="Q278" s="330"/>
      <c r="R278" s="330"/>
      <c r="S278" s="330"/>
      <c r="T278" s="330"/>
      <c r="U278" s="330"/>
      <c r="V278" s="330"/>
      <c r="W278" s="330"/>
      <c r="X278" s="330"/>
      <c r="Y278" s="330"/>
      <c r="Z278" s="619"/>
      <c r="AA278" s="619"/>
      <c r="AB278" s="619"/>
      <c r="AC278" s="619"/>
      <c r="AD278" s="60"/>
    </row>
    <row r="279" spans="1:30" x14ac:dyDescent="0.25">
      <c r="A279" s="443"/>
      <c r="B279" s="443"/>
      <c r="C279" s="443"/>
      <c r="D279" s="330"/>
      <c r="E279" s="330"/>
      <c r="F279" s="330"/>
      <c r="G279" s="330"/>
      <c r="H279" s="330"/>
      <c r="I279" s="330"/>
      <c r="J279" s="330"/>
      <c r="K279" s="330"/>
      <c r="L279" s="330"/>
      <c r="M279" s="330"/>
      <c r="N279" s="330"/>
      <c r="O279" s="330"/>
      <c r="P279" s="330"/>
      <c r="Q279" s="330"/>
      <c r="R279" s="330"/>
      <c r="S279" s="330"/>
      <c r="T279" s="330"/>
      <c r="U279" s="330"/>
      <c r="V279" s="330"/>
      <c r="W279" s="330"/>
      <c r="X279" s="330"/>
      <c r="Y279" s="330"/>
      <c r="Z279" s="619"/>
      <c r="AA279" s="619"/>
      <c r="AB279" s="619"/>
      <c r="AC279" s="619"/>
      <c r="AD279" s="60"/>
    </row>
    <row r="280" spans="1:30" x14ac:dyDescent="0.25">
      <c r="A280" s="443"/>
      <c r="B280" s="443"/>
      <c r="C280" s="443"/>
      <c r="D280" s="330"/>
      <c r="E280" s="330"/>
      <c r="F280" s="330"/>
      <c r="G280" s="330"/>
      <c r="H280" s="330"/>
      <c r="I280" s="330"/>
      <c r="J280" s="330"/>
      <c r="K280" s="330"/>
      <c r="L280" s="330"/>
      <c r="M280" s="330"/>
      <c r="N280" s="330"/>
      <c r="O280" s="330"/>
      <c r="P280" s="330"/>
      <c r="Q280" s="330"/>
      <c r="R280" s="330"/>
      <c r="S280" s="330"/>
      <c r="T280" s="330"/>
      <c r="U280" s="330"/>
      <c r="V280" s="330"/>
      <c r="W280" s="330"/>
      <c r="X280" s="330"/>
      <c r="Y280" s="330"/>
      <c r="Z280" s="619"/>
      <c r="AA280" s="619"/>
      <c r="AB280" s="619"/>
      <c r="AC280" s="619"/>
      <c r="AD280" s="60"/>
    </row>
    <row r="281" spans="1:30" x14ac:dyDescent="0.25">
      <c r="A281" s="443"/>
      <c r="B281" s="443"/>
      <c r="C281" s="443"/>
      <c r="D281" s="330"/>
      <c r="E281" s="330"/>
      <c r="F281" s="330"/>
      <c r="G281" s="330"/>
      <c r="H281" s="330"/>
      <c r="I281" s="330"/>
      <c r="J281" s="330"/>
      <c r="K281" s="330"/>
      <c r="L281" s="330"/>
      <c r="M281" s="330"/>
      <c r="N281" s="330"/>
      <c r="O281" s="330"/>
      <c r="P281" s="330"/>
      <c r="Q281" s="330"/>
      <c r="R281" s="330"/>
      <c r="S281" s="330"/>
      <c r="T281" s="330"/>
      <c r="U281" s="330"/>
      <c r="V281" s="330"/>
      <c r="W281" s="330"/>
      <c r="X281" s="330"/>
      <c r="Y281" s="330"/>
      <c r="Z281" s="619"/>
      <c r="AA281" s="619"/>
      <c r="AB281" s="619"/>
      <c r="AC281" s="619"/>
      <c r="AD281" s="60"/>
    </row>
    <row r="282" spans="1:30" x14ac:dyDescent="0.25">
      <c r="A282" s="443"/>
      <c r="B282" s="443"/>
      <c r="C282" s="443"/>
      <c r="D282" s="330"/>
      <c r="E282" s="330"/>
      <c r="F282" s="330"/>
      <c r="G282" s="330"/>
      <c r="H282" s="330"/>
      <c r="I282" s="330"/>
      <c r="J282" s="330"/>
      <c r="K282" s="330"/>
      <c r="L282" s="330"/>
      <c r="M282" s="330"/>
      <c r="N282" s="330"/>
      <c r="O282" s="330"/>
      <c r="P282" s="330"/>
      <c r="Q282" s="330"/>
      <c r="R282" s="330"/>
      <c r="S282" s="330"/>
      <c r="T282" s="330"/>
      <c r="U282" s="330"/>
      <c r="V282" s="330"/>
      <c r="W282" s="330"/>
      <c r="X282" s="330"/>
      <c r="Y282" s="330"/>
      <c r="Z282" s="619"/>
      <c r="AA282" s="619"/>
      <c r="AB282" s="619"/>
      <c r="AC282" s="619"/>
      <c r="AD282" s="60"/>
    </row>
    <row r="283" spans="1:30" x14ac:dyDescent="0.25">
      <c r="A283" s="443"/>
      <c r="B283" s="443"/>
      <c r="C283" s="443"/>
      <c r="D283" s="330"/>
      <c r="E283" s="330"/>
      <c r="F283" s="330"/>
      <c r="G283" s="330"/>
      <c r="H283" s="330"/>
      <c r="I283" s="330"/>
      <c r="J283" s="330"/>
      <c r="K283" s="330"/>
      <c r="L283" s="330"/>
      <c r="M283" s="330"/>
      <c r="N283" s="330"/>
      <c r="O283" s="330"/>
      <c r="P283" s="330"/>
      <c r="Q283" s="330"/>
      <c r="R283" s="330"/>
      <c r="S283" s="330"/>
      <c r="T283" s="330"/>
      <c r="U283" s="330"/>
      <c r="V283" s="330"/>
      <c r="W283" s="330"/>
      <c r="X283" s="330"/>
      <c r="Y283" s="330"/>
      <c r="Z283" s="619"/>
      <c r="AA283" s="619"/>
      <c r="AB283" s="619"/>
      <c r="AC283" s="619"/>
      <c r="AD283" s="60"/>
    </row>
    <row r="284" spans="1:30" x14ac:dyDescent="0.25">
      <c r="A284" s="443"/>
      <c r="B284" s="443"/>
      <c r="C284" s="443"/>
      <c r="D284" s="330"/>
      <c r="E284" s="330"/>
      <c r="F284" s="330"/>
      <c r="G284" s="330"/>
      <c r="H284" s="330"/>
      <c r="I284" s="330"/>
      <c r="J284" s="330"/>
      <c r="K284" s="330"/>
      <c r="L284" s="330"/>
      <c r="M284" s="330"/>
      <c r="N284" s="330"/>
      <c r="O284" s="330"/>
      <c r="P284" s="330"/>
      <c r="Q284" s="330"/>
      <c r="R284" s="330"/>
      <c r="S284" s="330"/>
      <c r="T284" s="330"/>
      <c r="U284" s="330"/>
      <c r="V284" s="330"/>
      <c r="W284" s="330"/>
      <c r="X284" s="330"/>
      <c r="Y284" s="330"/>
      <c r="Z284" s="619"/>
      <c r="AA284" s="619"/>
      <c r="AB284" s="619"/>
      <c r="AC284" s="619"/>
      <c r="AD284" s="60"/>
    </row>
    <row r="285" spans="1:30" x14ac:dyDescent="0.25">
      <c r="A285" s="443"/>
      <c r="B285" s="443"/>
      <c r="C285" s="443"/>
      <c r="D285" s="330"/>
      <c r="E285" s="330"/>
      <c r="F285" s="330"/>
      <c r="G285" s="330"/>
      <c r="H285" s="330"/>
      <c r="I285" s="330"/>
      <c r="J285" s="330"/>
      <c r="K285" s="330"/>
      <c r="L285" s="330"/>
      <c r="M285" s="330"/>
      <c r="N285" s="330"/>
      <c r="O285" s="330"/>
      <c r="P285" s="330"/>
      <c r="Q285" s="330"/>
      <c r="R285" s="330"/>
      <c r="S285" s="330"/>
      <c r="T285" s="330"/>
      <c r="U285" s="330"/>
      <c r="V285" s="330"/>
      <c r="W285" s="330"/>
      <c r="X285" s="330"/>
      <c r="Y285" s="330"/>
      <c r="Z285" s="619"/>
      <c r="AA285" s="619"/>
      <c r="AB285" s="619"/>
      <c r="AC285" s="619"/>
      <c r="AD285" s="60"/>
    </row>
    <row r="286" spans="1:30" x14ac:dyDescent="0.25">
      <c r="A286" s="443"/>
      <c r="B286" s="443"/>
      <c r="C286" s="443"/>
      <c r="D286" s="330"/>
      <c r="E286" s="330"/>
      <c r="F286" s="330"/>
      <c r="G286" s="330"/>
      <c r="H286" s="330"/>
      <c r="I286" s="330"/>
      <c r="J286" s="330"/>
      <c r="K286" s="330"/>
      <c r="L286" s="330"/>
      <c r="M286" s="330"/>
      <c r="N286" s="330"/>
      <c r="O286" s="330"/>
      <c r="P286" s="330"/>
      <c r="Q286" s="330"/>
      <c r="R286" s="330"/>
      <c r="S286" s="330"/>
      <c r="T286" s="330"/>
      <c r="U286" s="330"/>
      <c r="V286" s="330"/>
      <c r="W286" s="330"/>
      <c r="X286" s="330"/>
      <c r="Y286" s="330"/>
      <c r="Z286" s="619"/>
      <c r="AA286" s="619"/>
      <c r="AB286" s="619"/>
      <c r="AC286" s="619"/>
      <c r="AD286" s="60"/>
    </row>
    <row r="287" spans="1:30" x14ac:dyDescent="0.25">
      <c r="A287" s="443"/>
      <c r="B287" s="443"/>
      <c r="C287" s="443"/>
      <c r="D287" s="330"/>
      <c r="E287" s="330"/>
      <c r="F287" s="330"/>
      <c r="G287" s="330"/>
      <c r="H287" s="330"/>
      <c r="I287" s="330"/>
      <c r="J287" s="330"/>
      <c r="K287" s="330"/>
      <c r="L287" s="330"/>
      <c r="M287" s="330"/>
      <c r="N287" s="330"/>
      <c r="O287" s="330"/>
      <c r="P287" s="330"/>
      <c r="Q287" s="330"/>
      <c r="R287" s="330"/>
      <c r="S287" s="330"/>
      <c r="T287" s="330"/>
      <c r="U287" s="330"/>
      <c r="V287" s="330"/>
      <c r="W287" s="330"/>
      <c r="X287" s="330"/>
      <c r="Y287" s="330"/>
      <c r="Z287" s="619"/>
      <c r="AA287" s="619"/>
      <c r="AB287" s="619"/>
      <c r="AC287" s="619"/>
      <c r="AD287" s="60"/>
    </row>
    <row r="288" spans="1:30" x14ac:dyDescent="0.25">
      <c r="A288" s="443"/>
      <c r="B288" s="443"/>
      <c r="C288" s="443"/>
      <c r="D288" s="330"/>
      <c r="E288" s="330"/>
      <c r="F288" s="330"/>
      <c r="G288" s="330"/>
      <c r="H288" s="330"/>
      <c r="I288" s="330"/>
      <c r="J288" s="330"/>
      <c r="K288" s="330"/>
      <c r="L288" s="330"/>
      <c r="M288" s="330"/>
      <c r="N288" s="330"/>
      <c r="O288" s="330"/>
      <c r="P288" s="330"/>
      <c r="Q288" s="330"/>
      <c r="R288" s="330"/>
      <c r="S288" s="330"/>
      <c r="T288" s="330"/>
      <c r="U288" s="330"/>
      <c r="V288" s="330"/>
      <c r="W288" s="330"/>
      <c r="X288" s="330"/>
      <c r="Y288" s="330"/>
      <c r="Z288" s="619"/>
      <c r="AA288" s="619"/>
      <c r="AB288" s="619"/>
      <c r="AC288" s="619"/>
      <c r="AD288" s="60"/>
    </row>
    <row r="289" spans="1:30" x14ac:dyDescent="0.25">
      <c r="A289" s="443"/>
      <c r="B289" s="443"/>
      <c r="C289" s="443"/>
      <c r="D289" s="330"/>
      <c r="E289" s="330"/>
      <c r="F289" s="330"/>
      <c r="G289" s="330"/>
      <c r="H289" s="330"/>
      <c r="I289" s="330"/>
      <c r="J289" s="330"/>
      <c r="K289" s="330"/>
      <c r="L289" s="330"/>
      <c r="M289" s="330"/>
      <c r="N289" s="330"/>
      <c r="O289" s="330"/>
      <c r="P289" s="330"/>
      <c r="Q289" s="330"/>
      <c r="R289" s="330"/>
      <c r="S289" s="330"/>
      <c r="T289" s="330"/>
      <c r="U289" s="330"/>
      <c r="V289" s="330"/>
      <c r="W289" s="330"/>
      <c r="X289" s="330"/>
      <c r="Y289" s="330"/>
      <c r="Z289" s="619"/>
      <c r="AA289" s="619"/>
      <c r="AB289" s="619"/>
      <c r="AC289" s="619"/>
      <c r="AD289" s="60"/>
    </row>
    <row r="290" spans="1:30" x14ac:dyDescent="0.25">
      <c r="A290" s="443"/>
      <c r="B290" s="443"/>
      <c r="C290" s="443"/>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619"/>
      <c r="AA290" s="619"/>
      <c r="AB290" s="619"/>
      <c r="AC290" s="619"/>
      <c r="AD290" s="60"/>
    </row>
    <row r="291" spans="1:30" x14ac:dyDescent="0.25">
      <c r="A291" s="443"/>
      <c r="B291" s="443"/>
      <c r="C291" s="443"/>
      <c r="D291" s="330"/>
      <c r="E291" s="330"/>
      <c r="F291" s="330"/>
      <c r="G291" s="330"/>
      <c r="H291" s="330"/>
      <c r="I291" s="330"/>
      <c r="J291" s="330"/>
      <c r="K291" s="330"/>
      <c r="L291" s="330"/>
      <c r="M291" s="330"/>
      <c r="N291" s="330"/>
      <c r="O291" s="330"/>
      <c r="P291" s="330"/>
      <c r="Q291" s="330"/>
      <c r="R291" s="330"/>
      <c r="S291" s="330"/>
      <c r="T291" s="330"/>
      <c r="U291" s="330"/>
      <c r="V291" s="330"/>
      <c r="W291" s="330"/>
      <c r="X291" s="330"/>
      <c r="Y291" s="330"/>
      <c r="Z291" s="619"/>
      <c r="AA291" s="619"/>
      <c r="AB291" s="619"/>
      <c r="AC291" s="619"/>
      <c r="AD291" s="60"/>
    </row>
    <row r="292" spans="1:30" x14ac:dyDescent="0.25">
      <c r="A292" s="443"/>
      <c r="B292" s="443"/>
      <c r="C292" s="443"/>
      <c r="D292" s="330"/>
      <c r="E292" s="330"/>
      <c r="F292" s="330"/>
      <c r="G292" s="330"/>
      <c r="H292" s="330"/>
      <c r="I292" s="330"/>
      <c r="J292" s="330"/>
      <c r="K292" s="330"/>
      <c r="L292" s="330"/>
      <c r="M292" s="330"/>
      <c r="N292" s="330"/>
      <c r="O292" s="330"/>
      <c r="P292" s="330"/>
      <c r="Q292" s="330"/>
      <c r="R292" s="330"/>
      <c r="S292" s="330"/>
      <c r="T292" s="330"/>
      <c r="U292" s="330"/>
      <c r="V292" s="330"/>
      <c r="W292" s="330"/>
      <c r="X292" s="330"/>
      <c r="Y292" s="330"/>
      <c r="Z292" s="619"/>
      <c r="AA292" s="619"/>
      <c r="AB292" s="619"/>
      <c r="AC292" s="619"/>
      <c r="AD292" s="60"/>
    </row>
    <row r="293" spans="1:30" x14ac:dyDescent="0.25">
      <c r="A293" s="443"/>
      <c r="B293" s="443"/>
      <c r="C293" s="443"/>
      <c r="D293" s="330"/>
      <c r="E293" s="330"/>
      <c r="F293" s="330"/>
      <c r="G293" s="330"/>
      <c r="H293" s="330"/>
      <c r="I293" s="330"/>
      <c r="J293" s="330"/>
      <c r="K293" s="330"/>
      <c r="L293" s="330"/>
      <c r="M293" s="330"/>
      <c r="N293" s="330"/>
      <c r="O293" s="330"/>
      <c r="P293" s="330"/>
      <c r="Q293" s="330"/>
      <c r="R293" s="330"/>
      <c r="S293" s="330"/>
      <c r="T293" s="330"/>
      <c r="U293" s="330"/>
      <c r="V293" s="330"/>
      <c r="W293" s="330"/>
      <c r="X293" s="330"/>
      <c r="Y293" s="330"/>
      <c r="Z293" s="619"/>
      <c r="AA293" s="619"/>
      <c r="AB293" s="619"/>
      <c r="AC293" s="619"/>
      <c r="AD293" s="60"/>
    </row>
    <row r="294" spans="1:30" x14ac:dyDescent="0.25">
      <c r="A294" s="443"/>
      <c r="B294" s="443"/>
      <c r="C294" s="443"/>
      <c r="D294" s="330"/>
      <c r="E294" s="330"/>
      <c r="F294" s="330"/>
      <c r="G294" s="330"/>
      <c r="H294" s="330"/>
      <c r="I294" s="330"/>
      <c r="J294" s="330"/>
      <c r="K294" s="330"/>
      <c r="L294" s="330"/>
      <c r="M294" s="330"/>
      <c r="N294" s="330"/>
      <c r="O294" s="330"/>
      <c r="P294" s="330"/>
      <c r="Q294" s="330"/>
      <c r="R294" s="330"/>
      <c r="S294" s="330"/>
      <c r="T294" s="330"/>
      <c r="U294" s="330"/>
      <c r="V294" s="330"/>
      <c r="W294" s="330"/>
      <c r="X294" s="330"/>
      <c r="Y294" s="330"/>
      <c r="Z294" s="619"/>
      <c r="AA294" s="619"/>
      <c r="AB294" s="619"/>
      <c r="AC294" s="619"/>
      <c r="AD294" s="60"/>
    </row>
    <row r="295" spans="1:30" x14ac:dyDescent="0.25">
      <c r="A295" s="443"/>
      <c r="B295" s="443"/>
      <c r="C295" s="443"/>
      <c r="D295" s="330"/>
      <c r="E295" s="330"/>
      <c r="F295" s="330"/>
      <c r="G295" s="330"/>
      <c r="H295" s="330"/>
      <c r="I295" s="330"/>
      <c r="J295" s="330"/>
      <c r="K295" s="330"/>
      <c r="L295" s="330"/>
      <c r="M295" s="330"/>
      <c r="N295" s="330"/>
      <c r="O295" s="330"/>
      <c r="P295" s="330"/>
      <c r="Q295" s="330"/>
      <c r="R295" s="330"/>
      <c r="S295" s="330"/>
      <c r="T295" s="330"/>
      <c r="U295" s="330"/>
      <c r="V295" s="330"/>
      <c r="W295" s="330"/>
      <c r="X295" s="330"/>
      <c r="Y295" s="330"/>
      <c r="Z295" s="619"/>
      <c r="AA295" s="619"/>
      <c r="AB295" s="619"/>
      <c r="AC295" s="619"/>
      <c r="AD295" s="60"/>
    </row>
    <row r="296" spans="1:30" x14ac:dyDescent="0.25">
      <c r="A296" s="443"/>
      <c r="B296" s="443"/>
      <c r="C296" s="443"/>
      <c r="D296" s="330"/>
      <c r="E296" s="330"/>
      <c r="F296" s="330"/>
      <c r="G296" s="330"/>
      <c r="H296" s="330"/>
      <c r="I296" s="330"/>
      <c r="J296" s="330"/>
      <c r="K296" s="330"/>
      <c r="L296" s="330"/>
      <c r="M296" s="330"/>
      <c r="N296" s="330"/>
      <c r="O296" s="330"/>
      <c r="P296" s="330"/>
      <c r="Q296" s="330"/>
      <c r="R296" s="330"/>
      <c r="S296" s="330"/>
      <c r="T296" s="330"/>
      <c r="U296" s="330"/>
      <c r="V296" s="330"/>
      <c r="W296" s="330"/>
      <c r="X296" s="330"/>
      <c r="Y296" s="330"/>
      <c r="Z296" s="619"/>
      <c r="AA296" s="619"/>
      <c r="AB296" s="619"/>
      <c r="AC296" s="619"/>
      <c r="AD296" s="60"/>
    </row>
    <row r="297" spans="1:30" x14ac:dyDescent="0.25">
      <c r="A297" s="443"/>
      <c r="B297" s="443"/>
      <c r="C297" s="443"/>
      <c r="D297" s="330"/>
      <c r="E297" s="330"/>
      <c r="F297" s="330"/>
      <c r="G297" s="330"/>
      <c r="H297" s="330"/>
      <c r="I297" s="330"/>
      <c r="J297" s="330"/>
      <c r="K297" s="330"/>
      <c r="L297" s="330"/>
      <c r="M297" s="330"/>
      <c r="N297" s="330"/>
      <c r="O297" s="330"/>
      <c r="P297" s="330"/>
      <c r="Q297" s="330"/>
      <c r="R297" s="330"/>
      <c r="S297" s="330"/>
      <c r="T297" s="330"/>
      <c r="U297" s="330"/>
      <c r="V297" s="330"/>
      <c r="W297" s="330"/>
      <c r="X297" s="330"/>
      <c r="Y297" s="330"/>
      <c r="Z297" s="619"/>
      <c r="AA297" s="619"/>
      <c r="AB297" s="619"/>
      <c r="AC297" s="619"/>
      <c r="AD297" s="60"/>
    </row>
    <row r="298" spans="1:30" x14ac:dyDescent="0.25">
      <c r="A298" s="443"/>
      <c r="B298" s="443"/>
      <c r="C298" s="443"/>
      <c r="D298" s="330"/>
      <c r="E298" s="330"/>
      <c r="F298" s="330"/>
      <c r="G298" s="330"/>
      <c r="H298" s="330"/>
      <c r="I298" s="330"/>
      <c r="J298" s="330"/>
      <c r="K298" s="330"/>
      <c r="L298" s="330"/>
      <c r="M298" s="330"/>
      <c r="N298" s="330"/>
      <c r="O298" s="330"/>
      <c r="P298" s="330"/>
      <c r="Q298" s="330"/>
      <c r="R298" s="330"/>
      <c r="S298" s="330"/>
      <c r="T298" s="330"/>
      <c r="U298" s="330"/>
      <c r="V298" s="330"/>
      <c r="W298" s="330"/>
      <c r="X298" s="330"/>
      <c r="Y298" s="330"/>
      <c r="Z298" s="619"/>
      <c r="AA298" s="619"/>
      <c r="AB298" s="619"/>
      <c r="AC298" s="619"/>
      <c r="AD298" s="60"/>
    </row>
    <row r="299" spans="1:30" x14ac:dyDescent="0.25">
      <c r="A299" s="443"/>
      <c r="B299" s="443"/>
      <c r="C299" s="443"/>
      <c r="D299" s="330"/>
      <c r="E299" s="330"/>
      <c r="F299" s="330"/>
      <c r="G299" s="330"/>
      <c r="H299" s="330"/>
      <c r="I299" s="330"/>
      <c r="J299" s="330"/>
      <c r="K299" s="330"/>
      <c r="L299" s="330"/>
      <c r="M299" s="330"/>
      <c r="N299" s="330"/>
      <c r="O299" s="330"/>
      <c r="P299" s="330"/>
      <c r="Q299" s="330"/>
      <c r="R299" s="330"/>
      <c r="S299" s="330"/>
      <c r="T299" s="330"/>
      <c r="U299" s="330"/>
      <c r="V299" s="330"/>
      <c r="W299" s="330"/>
      <c r="X299" s="330"/>
      <c r="Y299" s="330"/>
      <c r="Z299" s="619"/>
      <c r="AA299" s="619"/>
      <c r="AB299" s="619"/>
      <c r="AC299" s="619"/>
      <c r="AD299" s="60"/>
    </row>
    <row r="300" spans="1:30" x14ac:dyDescent="0.25">
      <c r="A300" s="443"/>
      <c r="B300" s="443"/>
      <c r="C300" s="443"/>
      <c r="D300" s="330"/>
      <c r="E300" s="330"/>
      <c r="F300" s="330"/>
      <c r="G300" s="330"/>
      <c r="H300" s="330"/>
      <c r="I300" s="330"/>
      <c r="J300" s="330"/>
      <c r="K300" s="330"/>
      <c r="L300" s="330"/>
      <c r="M300" s="330"/>
      <c r="N300" s="330"/>
      <c r="O300" s="330"/>
      <c r="P300" s="330"/>
      <c r="Q300" s="330"/>
      <c r="R300" s="330"/>
      <c r="S300" s="330"/>
      <c r="T300" s="330"/>
      <c r="U300" s="330"/>
      <c r="V300" s="330"/>
      <c r="W300" s="330"/>
      <c r="X300" s="330"/>
      <c r="Y300" s="330"/>
      <c r="Z300" s="619"/>
      <c r="AA300" s="619"/>
      <c r="AB300" s="619"/>
      <c r="AC300" s="619"/>
      <c r="AD300" s="60"/>
    </row>
    <row r="301" spans="1:30" x14ac:dyDescent="0.25">
      <c r="A301" s="443"/>
      <c r="B301" s="443"/>
      <c r="C301" s="443"/>
      <c r="D301" s="330"/>
      <c r="E301" s="330"/>
      <c r="F301" s="330"/>
      <c r="G301" s="330"/>
      <c r="H301" s="330"/>
      <c r="I301" s="330"/>
      <c r="J301" s="330"/>
      <c r="K301" s="330"/>
      <c r="L301" s="330"/>
      <c r="M301" s="330"/>
      <c r="N301" s="330"/>
      <c r="O301" s="330"/>
      <c r="P301" s="330"/>
      <c r="Q301" s="330"/>
      <c r="R301" s="330"/>
      <c r="S301" s="330"/>
      <c r="T301" s="330"/>
      <c r="U301" s="330"/>
      <c r="V301" s="330"/>
      <c r="W301" s="330"/>
      <c r="X301" s="330"/>
      <c r="Y301" s="330"/>
      <c r="Z301" s="619"/>
      <c r="AA301" s="619"/>
      <c r="AB301" s="619"/>
      <c r="AC301" s="619"/>
      <c r="AD301" s="60"/>
    </row>
    <row r="302" spans="1:30" x14ac:dyDescent="0.25">
      <c r="A302" s="443"/>
      <c r="B302" s="443"/>
      <c r="C302" s="443"/>
      <c r="D302" s="330"/>
      <c r="E302" s="330"/>
      <c r="F302" s="330"/>
      <c r="G302" s="330"/>
      <c r="H302" s="330"/>
      <c r="I302" s="330"/>
      <c r="J302" s="330"/>
      <c r="K302" s="330"/>
      <c r="L302" s="330"/>
      <c r="M302" s="330"/>
      <c r="N302" s="330"/>
      <c r="O302" s="330"/>
      <c r="P302" s="330"/>
      <c r="Q302" s="330"/>
      <c r="R302" s="330"/>
      <c r="S302" s="330"/>
      <c r="T302" s="330"/>
      <c r="U302" s="330"/>
      <c r="V302" s="330"/>
      <c r="W302" s="330"/>
      <c r="X302" s="330"/>
      <c r="Y302" s="330"/>
      <c r="Z302" s="619"/>
      <c r="AA302" s="619"/>
      <c r="AB302" s="619"/>
      <c r="AC302" s="619"/>
      <c r="AD302" s="60"/>
    </row>
    <row r="303" spans="1:30" x14ac:dyDescent="0.25">
      <c r="A303" s="443"/>
      <c r="B303" s="443"/>
      <c r="C303" s="443"/>
      <c r="D303" s="330"/>
      <c r="E303" s="330"/>
      <c r="F303" s="330"/>
      <c r="G303" s="330"/>
      <c r="H303" s="330"/>
      <c r="I303" s="330"/>
      <c r="J303" s="330"/>
      <c r="K303" s="330"/>
      <c r="L303" s="330"/>
      <c r="M303" s="330"/>
      <c r="N303" s="330"/>
      <c r="O303" s="330"/>
      <c r="P303" s="330"/>
      <c r="Q303" s="330"/>
      <c r="R303" s="330"/>
      <c r="S303" s="330"/>
      <c r="T303" s="330"/>
      <c r="U303" s="330"/>
      <c r="V303" s="330"/>
      <c r="W303" s="330"/>
      <c r="X303" s="330"/>
      <c r="Y303" s="330"/>
      <c r="Z303" s="619"/>
      <c r="AA303" s="619"/>
      <c r="AB303" s="619"/>
      <c r="AC303" s="619"/>
      <c r="AD303" s="60"/>
    </row>
    <row r="304" spans="1:30" x14ac:dyDescent="0.25">
      <c r="A304" s="443"/>
      <c r="B304" s="443"/>
      <c r="C304" s="443"/>
      <c r="D304" s="330"/>
      <c r="E304" s="330"/>
      <c r="F304" s="330"/>
      <c r="G304" s="330"/>
      <c r="H304" s="330"/>
      <c r="I304" s="330"/>
      <c r="J304" s="330"/>
      <c r="K304" s="330"/>
      <c r="L304" s="330"/>
      <c r="M304" s="330"/>
      <c r="N304" s="330"/>
      <c r="O304" s="330"/>
      <c r="P304" s="330"/>
      <c r="Q304" s="330"/>
      <c r="R304" s="330"/>
      <c r="S304" s="330"/>
      <c r="T304" s="330"/>
      <c r="U304" s="330"/>
      <c r="V304" s="330"/>
      <c r="W304" s="330"/>
      <c r="X304" s="330"/>
      <c r="Y304" s="330"/>
      <c r="Z304" s="619"/>
      <c r="AA304" s="619"/>
      <c r="AB304" s="619"/>
      <c r="AC304" s="619"/>
      <c r="AD304" s="60"/>
    </row>
    <row r="305" spans="1:30" x14ac:dyDescent="0.25">
      <c r="A305" s="443"/>
      <c r="B305" s="443"/>
      <c r="C305" s="443"/>
      <c r="D305" s="330"/>
      <c r="E305" s="330"/>
      <c r="F305" s="330"/>
      <c r="G305" s="330"/>
      <c r="H305" s="330"/>
      <c r="I305" s="330"/>
      <c r="J305" s="330"/>
      <c r="K305" s="330"/>
      <c r="L305" s="330"/>
      <c r="M305" s="330"/>
      <c r="N305" s="330"/>
      <c r="O305" s="330"/>
      <c r="P305" s="330"/>
      <c r="Q305" s="330"/>
      <c r="R305" s="330"/>
      <c r="S305" s="330"/>
      <c r="T305" s="330"/>
      <c r="U305" s="330"/>
      <c r="V305" s="330"/>
      <c r="W305" s="330"/>
      <c r="X305" s="330"/>
      <c r="Y305" s="330"/>
      <c r="Z305" s="619"/>
      <c r="AA305" s="619"/>
      <c r="AB305" s="619"/>
      <c r="AC305" s="619"/>
      <c r="AD305" s="60"/>
    </row>
    <row r="306" spans="1:30" x14ac:dyDescent="0.25">
      <c r="A306" s="443"/>
      <c r="B306" s="443"/>
      <c r="C306" s="443"/>
      <c r="D306" s="330"/>
      <c r="E306" s="330"/>
      <c r="F306" s="330"/>
      <c r="G306" s="330"/>
      <c r="H306" s="330"/>
      <c r="I306" s="330"/>
      <c r="J306" s="330"/>
      <c r="K306" s="330"/>
      <c r="L306" s="330"/>
      <c r="M306" s="330"/>
      <c r="N306" s="330"/>
      <c r="O306" s="330"/>
      <c r="P306" s="330"/>
      <c r="Q306" s="330"/>
      <c r="R306" s="330"/>
      <c r="S306" s="330"/>
      <c r="T306" s="330"/>
      <c r="U306" s="330"/>
      <c r="V306" s="330"/>
      <c r="W306" s="330"/>
      <c r="X306" s="330"/>
      <c r="Y306" s="330"/>
      <c r="Z306" s="619"/>
      <c r="AA306" s="619"/>
      <c r="AB306" s="619"/>
      <c r="AC306" s="619"/>
      <c r="AD306" s="60"/>
    </row>
    <row r="307" spans="1:30" x14ac:dyDescent="0.25">
      <c r="A307" s="443"/>
      <c r="B307" s="443"/>
      <c r="C307" s="443"/>
      <c r="D307" s="330"/>
      <c r="E307" s="330"/>
      <c r="F307" s="330"/>
      <c r="G307" s="330"/>
      <c r="H307" s="330"/>
      <c r="I307" s="330"/>
      <c r="J307" s="330"/>
      <c r="K307" s="330"/>
      <c r="L307" s="330"/>
      <c r="M307" s="330"/>
      <c r="N307" s="330"/>
      <c r="O307" s="330"/>
      <c r="P307" s="330"/>
      <c r="Q307" s="330"/>
      <c r="R307" s="330"/>
      <c r="S307" s="330"/>
      <c r="T307" s="330"/>
      <c r="U307" s="330"/>
      <c r="V307" s="330"/>
      <c r="W307" s="330"/>
      <c r="X307" s="330"/>
      <c r="Y307" s="330"/>
      <c r="Z307" s="619"/>
      <c r="AA307" s="619"/>
      <c r="AB307" s="619"/>
      <c r="AC307" s="619"/>
      <c r="AD307" s="60"/>
    </row>
    <row r="308" spans="1:30" x14ac:dyDescent="0.25">
      <c r="A308" s="443"/>
      <c r="B308" s="443"/>
      <c r="C308" s="443"/>
      <c r="D308" s="330"/>
      <c r="E308" s="330"/>
      <c r="F308" s="330"/>
      <c r="G308" s="330"/>
      <c r="H308" s="330"/>
      <c r="I308" s="330"/>
      <c r="J308" s="330"/>
      <c r="K308" s="330"/>
      <c r="L308" s="330"/>
      <c r="M308" s="330"/>
      <c r="N308" s="330"/>
      <c r="O308" s="330"/>
      <c r="P308" s="330"/>
      <c r="Q308" s="330"/>
      <c r="R308" s="330"/>
      <c r="S308" s="330"/>
      <c r="T308" s="330"/>
      <c r="U308" s="330"/>
      <c r="V308" s="330"/>
      <c r="W308" s="330"/>
      <c r="X308" s="330"/>
      <c r="Y308" s="330"/>
      <c r="Z308" s="619"/>
      <c r="AA308" s="619"/>
      <c r="AB308" s="619"/>
      <c r="AC308" s="619"/>
      <c r="AD308" s="60"/>
    </row>
    <row r="309" spans="1:30" x14ac:dyDescent="0.25">
      <c r="A309" s="443"/>
      <c r="B309" s="443"/>
      <c r="C309" s="443"/>
      <c r="D309" s="330"/>
      <c r="E309" s="330"/>
      <c r="F309" s="330"/>
      <c r="G309" s="330"/>
      <c r="H309" s="330"/>
      <c r="I309" s="330"/>
      <c r="J309" s="330"/>
      <c r="K309" s="330"/>
      <c r="L309" s="330"/>
      <c r="M309" s="330"/>
      <c r="N309" s="330"/>
      <c r="O309" s="330"/>
      <c r="P309" s="330"/>
      <c r="Q309" s="330"/>
      <c r="R309" s="330"/>
      <c r="S309" s="330"/>
      <c r="T309" s="330"/>
      <c r="U309" s="330"/>
      <c r="V309" s="330"/>
      <c r="W309" s="330"/>
      <c r="X309" s="330"/>
      <c r="Y309" s="330"/>
      <c r="Z309" s="619"/>
      <c r="AA309" s="619"/>
      <c r="AB309" s="619"/>
      <c r="AC309" s="619"/>
      <c r="AD309" s="60"/>
    </row>
    <row r="310" spans="1:30" x14ac:dyDescent="0.25">
      <c r="A310" s="443"/>
      <c r="B310" s="443"/>
      <c r="C310" s="443"/>
      <c r="D310" s="330"/>
      <c r="E310" s="330"/>
      <c r="F310" s="330"/>
      <c r="G310" s="330"/>
      <c r="H310" s="330"/>
      <c r="I310" s="330"/>
      <c r="J310" s="330"/>
      <c r="K310" s="330"/>
      <c r="L310" s="330"/>
      <c r="M310" s="330"/>
      <c r="N310" s="330"/>
      <c r="O310" s="330"/>
      <c r="P310" s="330"/>
      <c r="Q310" s="330"/>
      <c r="R310" s="330"/>
      <c r="S310" s="330"/>
      <c r="T310" s="330"/>
      <c r="U310" s="330"/>
      <c r="V310" s="330"/>
      <c r="W310" s="330"/>
      <c r="X310" s="330"/>
      <c r="Y310" s="330"/>
      <c r="Z310" s="619"/>
      <c r="AA310" s="619"/>
      <c r="AB310" s="619"/>
      <c r="AC310" s="619"/>
      <c r="AD310" s="60"/>
    </row>
    <row r="311" spans="1:30" x14ac:dyDescent="0.25">
      <c r="A311" s="443"/>
      <c r="B311" s="443"/>
      <c r="C311" s="443"/>
      <c r="D311" s="330"/>
      <c r="E311" s="330"/>
      <c r="F311" s="330"/>
      <c r="G311" s="330"/>
      <c r="H311" s="330"/>
      <c r="I311" s="330"/>
      <c r="J311" s="330"/>
      <c r="K311" s="330"/>
      <c r="L311" s="330"/>
      <c r="M311" s="330"/>
      <c r="N311" s="330"/>
      <c r="O311" s="330"/>
      <c r="P311" s="330"/>
      <c r="Q311" s="330"/>
      <c r="R311" s="330"/>
      <c r="S311" s="330"/>
      <c r="T311" s="330"/>
      <c r="U311" s="330"/>
      <c r="V311" s="330"/>
      <c r="W311" s="330"/>
      <c r="X311" s="330"/>
      <c r="Y311" s="330"/>
      <c r="Z311" s="619"/>
      <c r="AA311" s="619"/>
      <c r="AB311" s="619"/>
      <c r="AC311" s="619"/>
      <c r="AD311" s="60"/>
    </row>
    <row r="312" spans="1:30" x14ac:dyDescent="0.25">
      <c r="A312" s="443"/>
      <c r="B312" s="443"/>
      <c r="C312" s="443"/>
      <c r="D312" s="330"/>
      <c r="E312" s="330"/>
      <c r="F312" s="330"/>
      <c r="G312" s="330"/>
      <c r="H312" s="330"/>
      <c r="I312" s="330"/>
      <c r="J312" s="330"/>
      <c r="K312" s="330"/>
      <c r="L312" s="330"/>
      <c r="M312" s="330"/>
      <c r="N312" s="330"/>
      <c r="O312" s="330"/>
      <c r="P312" s="330"/>
      <c r="Q312" s="330"/>
      <c r="R312" s="330"/>
      <c r="S312" s="330"/>
      <c r="T312" s="330"/>
      <c r="U312" s="330"/>
      <c r="V312" s="330"/>
      <c r="W312" s="330"/>
      <c r="X312" s="330"/>
      <c r="Y312" s="330"/>
      <c r="Z312" s="619"/>
      <c r="AA312" s="619"/>
      <c r="AB312" s="619"/>
      <c r="AC312" s="619"/>
      <c r="AD312" s="60"/>
    </row>
    <row r="313" spans="1:30" x14ac:dyDescent="0.25">
      <c r="A313" s="443"/>
      <c r="B313" s="443"/>
      <c r="C313" s="443"/>
      <c r="D313" s="330"/>
      <c r="E313" s="330"/>
      <c r="F313" s="330"/>
      <c r="G313" s="330"/>
      <c r="H313" s="330"/>
      <c r="I313" s="330"/>
      <c r="J313" s="330"/>
      <c r="K313" s="330"/>
      <c r="L313" s="330"/>
      <c r="M313" s="330"/>
      <c r="N313" s="330"/>
      <c r="O313" s="330"/>
      <c r="P313" s="330"/>
      <c r="Q313" s="330"/>
      <c r="R313" s="330"/>
      <c r="S313" s="330"/>
      <c r="T313" s="330"/>
      <c r="U313" s="330"/>
      <c r="V313" s="330"/>
      <c r="W313" s="330"/>
      <c r="X313" s="330"/>
      <c r="Y313" s="330"/>
      <c r="Z313" s="619"/>
      <c r="AA313" s="619"/>
      <c r="AB313" s="619"/>
      <c r="AC313" s="619"/>
      <c r="AD313" s="60"/>
    </row>
    <row r="314" spans="1:30" x14ac:dyDescent="0.25">
      <c r="A314" s="443"/>
      <c r="B314" s="443"/>
      <c r="C314" s="443"/>
      <c r="D314" s="330"/>
      <c r="E314" s="330"/>
      <c r="F314" s="330"/>
      <c r="G314" s="330"/>
      <c r="H314" s="330"/>
      <c r="I314" s="330"/>
      <c r="J314" s="330"/>
      <c r="K314" s="330"/>
      <c r="L314" s="330"/>
      <c r="M314" s="330"/>
      <c r="N314" s="330"/>
      <c r="O314" s="330"/>
      <c r="P314" s="330"/>
      <c r="Q314" s="330"/>
      <c r="R314" s="330"/>
      <c r="S314" s="330"/>
      <c r="T314" s="330"/>
      <c r="U314" s="330"/>
      <c r="V314" s="330"/>
      <c r="W314" s="330"/>
      <c r="X314" s="330"/>
      <c r="Y314" s="330"/>
      <c r="Z314" s="619"/>
      <c r="AA314" s="619"/>
      <c r="AB314" s="619"/>
      <c r="AC314" s="619"/>
      <c r="AD314" s="60"/>
    </row>
    <row r="315" spans="1:30" x14ac:dyDescent="0.25">
      <c r="A315" s="443"/>
      <c r="B315" s="443"/>
      <c r="C315" s="443"/>
      <c r="D315" s="330"/>
      <c r="E315" s="330"/>
      <c r="F315" s="330"/>
      <c r="G315" s="330"/>
      <c r="H315" s="330"/>
      <c r="I315" s="330"/>
      <c r="J315" s="330"/>
      <c r="K315" s="330"/>
      <c r="L315" s="330"/>
      <c r="M315" s="330"/>
      <c r="N315" s="330"/>
      <c r="O315" s="330"/>
      <c r="P315" s="330"/>
      <c r="Q315" s="330"/>
      <c r="R315" s="330"/>
      <c r="S315" s="330"/>
      <c r="T315" s="330"/>
      <c r="U315" s="330"/>
      <c r="V315" s="330"/>
      <c r="W315" s="330"/>
      <c r="X315" s="330"/>
      <c r="Y315" s="330"/>
      <c r="Z315" s="619"/>
      <c r="AA315" s="619"/>
      <c r="AB315" s="619"/>
      <c r="AC315" s="619"/>
      <c r="AD315" s="60"/>
    </row>
    <row r="316" spans="1:30" x14ac:dyDescent="0.25">
      <c r="A316" s="443"/>
      <c r="B316" s="443"/>
      <c r="C316" s="443"/>
      <c r="D316" s="330"/>
      <c r="E316" s="330"/>
      <c r="F316" s="330"/>
      <c r="G316" s="330"/>
      <c r="H316" s="330"/>
      <c r="I316" s="330"/>
      <c r="J316" s="330"/>
      <c r="K316" s="330"/>
      <c r="L316" s="330"/>
      <c r="M316" s="330"/>
      <c r="N316" s="330"/>
      <c r="O316" s="330"/>
      <c r="P316" s="330"/>
      <c r="Q316" s="330"/>
      <c r="R316" s="330"/>
      <c r="S316" s="330"/>
      <c r="T316" s="330"/>
      <c r="U316" s="330"/>
      <c r="V316" s="330"/>
      <c r="W316" s="330"/>
      <c r="X316" s="330"/>
      <c r="Y316" s="330"/>
      <c r="Z316" s="619"/>
      <c r="AA316" s="619"/>
      <c r="AB316" s="619"/>
      <c r="AC316" s="619"/>
      <c r="AD316" s="60"/>
    </row>
    <row r="317" spans="1:30" x14ac:dyDescent="0.25">
      <c r="A317" s="443"/>
      <c r="B317" s="443"/>
      <c r="C317" s="443"/>
      <c r="D317" s="330"/>
      <c r="E317" s="330"/>
      <c r="F317" s="330"/>
      <c r="G317" s="330"/>
      <c r="H317" s="330"/>
      <c r="I317" s="330"/>
      <c r="J317" s="330"/>
      <c r="K317" s="330"/>
      <c r="L317" s="330"/>
      <c r="M317" s="330"/>
      <c r="N317" s="330"/>
      <c r="O317" s="330"/>
      <c r="P317" s="330"/>
      <c r="Q317" s="330"/>
      <c r="R317" s="330"/>
      <c r="S317" s="330"/>
      <c r="T317" s="330"/>
      <c r="U317" s="330"/>
      <c r="V317" s="330"/>
      <c r="W317" s="330"/>
      <c r="X317" s="330"/>
      <c r="Y317" s="330"/>
      <c r="Z317" s="619"/>
      <c r="AA317" s="619"/>
      <c r="AB317" s="619"/>
      <c r="AC317" s="619"/>
      <c r="AD317" s="60"/>
    </row>
    <row r="318" spans="1:30" x14ac:dyDescent="0.25">
      <c r="A318" s="443"/>
      <c r="B318" s="443"/>
      <c r="C318" s="443"/>
      <c r="D318" s="330"/>
      <c r="E318" s="330"/>
      <c r="F318" s="330"/>
      <c r="G318" s="330"/>
      <c r="H318" s="330"/>
      <c r="I318" s="330"/>
      <c r="J318" s="330"/>
      <c r="K318" s="330"/>
      <c r="L318" s="330"/>
      <c r="M318" s="330"/>
      <c r="N318" s="330"/>
      <c r="O318" s="330"/>
      <c r="P318" s="330"/>
      <c r="Q318" s="330"/>
      <c r="R318" s="330"/>
      <c r="S318" s="330"/>
      <c r="T318" s="330"/>
      <c r="U318" s="330"/>
      <c r="V318" s="330"/>
      <c r="W318" s="330"/>
      <c r="X318" s="330"/>
      <c r="Y318" s="330"/>
      <c r="Z318" s="619"/>
      <c r="AA318" s="619"/>
      <c r="AB318" s="619"/>
      <c r="AC318" s="619"/>
      <c r="AD318" s="60"/>
    </row>
    <row r="319" spans="1:30" x14ac:dyDescent="0.25">
      <c r="A319" s="443"/>
      <c r="B319" s="443"/>
      <c r="C319" s="443"/>
      <c r="D319" s="330"/>
      <c r="E319" s="330"/>
      <c r="F319" s="330"/>
      <c r="G319" s="330"/>
      <c r="H319" s="330"/>
      <c r="I319" s="330"/>
      <c r="J319" s="330"/>
      <c r="K319" s="330"/>
      <c r="L319" s="330"/>
      <c r="M319" s="330"/>
      <c r="N319" s="330"/>
      <c r="O319" s="330"/>
      <c r="P319" s="330"/>
      <c r="Q319" s="330"/>
      <c r="R319" s="330"/>
      <c r="S319" s="330"/>
      <c r="T319" s="330"/>
      <c r="U319" s="330"/>
      <c r="V319" s="330"/>
      <c r="W319" s="330"/>
      <c r="X319" s="330"/>
      <c r="Y319" s="330"/>
      <c r="Z319" s="619"/>
      <c r="AA319" s="619"/>
      <c r="AB319" s="619"/>
      <c r="AC319" s="619"/>
      <c r="AD319" s="60"/>
    </row>
    <row r="320" spans="1:30" x14ac:dyDescent="0.25">
      <c r="A320" s="443"/>
      <c r="B320" s="443"/>
      <c r="C320" s="443"/>
      <c r="D320" s="330"/>
      <c r="E320" s="330"/>
      <c r="F320" s="330"/>
      <c r="G320" s="330"/>
      <c r="H320" s="330"/>
      <c r="I320" s="330"/>
      <c r="J320" s="330"/>
      <c r="K320" s="330"/>
      <c r="L320" s="330"/>
      <c r="M320" s="330"/>
      <c r="N320" s="330"/>
      <c r="O320" s="330"/>
      <c r="P320" s="330"/>
      <c r="Q320" s="330"/>
      <c r="R320" s="330"/>
      <c r="S320" s="330"/>
      <c r="T320" s="330"/>
      <c r="U320" s="330"/>
      <c r="V320" s="330"/>
      <c r="W320" s="330"/>
      <c r="X320" s="330"/>
      <c r="Y320" s="330"/>
      <c r="Z320" s="619"/>
      <c r="AA320" s="619"/>
      <c r="AB320" s="619"/>
      <c r="AC320" s="619"/>
      <c r="AD320" s="60"/>
    </row>
    <row r="321" spans="1:30" x14ac:dyDescent="0.25">
      <c r="A321" s="443"/>
      <c r="B321" s="443"/>
      <c r="C321" s="443"/>
      <c r="D321" s="330"/>
      <c r="E321" s="330"/>
      <c r="F321" s="330"/>
      <c r="G321" s="330"/>
      <c r="H321" s="330"/>
      <c r="I321" s="330"/>
      <c r="J321" s="330"/>
      <c r="K321" s="330"/>
      <c r="L321" s="330"/>
      <c r="M321" s="330"/>
      <c r="N321" s="330"/>
      <c r="O321" s="330"/>
      <c r="P321" s="330"/>
      <c r="Q321" s="330"/>
      <c r="R321" s="330"/>
      <c r="S321" s="330"/>
      <c r="T321" s="330"/>
      <c r="U321" s="330"/>
      <c r="V321" s="330"/>
      <c r="W321" s="330"/>
      <c r="X321" s="330"/>
      <c r="Y321" s="330"/>
      <c r="Z321" s="619"/>
      <c r="AA321" s="619"/>
      <c r="AB321" s="619"/>
      <c r="AC321" s="619"/>
      <c r="AD321" s="60"/>
    </row>
    <row r="322" spans="1:30" x14ac:dyDescent="0.25">
      <c r="A322" s="443"/>
      <c r="B322" s="443"/>
      <c r="C322" s="443"/>
      <c r="D322" s="330"/>
      <c r="E322" s="330"/>
      <c r="F322" s="330"/>
      <c r="G322" s="330"/>
      <c r="H322" s="330"/>
      <c r="I322" s="330"/>
      <c r="J322" s="330"/>
      <c r="K322" s="330"/>
      <c r="L322" s="330"/>
      <c r="M322" s="330"/>
      <c r="N322" s="330"/>
      <c r="O322" s="330"/>
      <c r="P322" s="330"/>
      <c r="Q322" s="330"/>
      <c r="R322" s="330"/>
      <c r="S322" s="330"/>
      <c r="T322" s="330"/>
      <c r="U322" s="330"/>
      <c r="V322" s="330"/>
      <c r="W322" s="330"/>
      <c r="X322" s="330"/>
      <c r="Y322" s="330"/>
      <c r="Z322" s="619"/>
      <c r="AA322" s="619"/>
      <c r="AB322" s="619"/>
      <c r="AC322" s="619"/>
      <c r="AD322" s="60"/>
    </row>
    <row r="323" spans="1:30" x14ac:dyDescent="0.25">
      <c r="A323" s="443"/>
      <c r="B323" s="443"/>
      <c r="C323" s="443"/>
      <c r="D323" s="330"/>
      <c r="E323" s="330"/>
      <c r="F323" s="330"/>
      <c r="G323" s="330"/>
      <c r="H323" s="330"/>
      <c r="I323" s="330"/>
      <c r="J323" s="330"/>
      <c r="K323" s="330"/>
      <c r="L323" s="330"/>
      <c r="M323" s="330"/>
      <c r="N323" s="330"/>
      <c r="O323" s="330"/>
      <c r="P323" s="330"/>
      <c r="Q323" s="330"/>
      <c r="R323" s="330"/>
      <c r="S323" s="330"/>
      <c r="T323" s="330"/>
      <c r="U323" s="330"/>
      <c r="V323" s="330"/>
      <c r="W323" s="330"/>
      <c r="X323" s="330"/>
      <c r="Y323" s="330"/>
      <c r="Z323" s="619"/>
      <c r="AA323" s="619"/>
      <c r="AB323" s="619"/>
      <c r="AC323" s="619"/>
      <c r="AD323" s="60"/>
    </row>
    <row r="324" spans="1:30" x14ac:dyDescent="0.25">
      <c r="A324" s="443"/>
      <c r="B324" s="443"/>
      <c r="C324" s="443"/>
      <c r="D324" s="330"/>
      <c r="E324" s="330"/>
      <c r="F324" s="330"/>
      <c r="G324" s="330"/>
      <c r="H324" s="330"/>
      <c r="I324" s="330"/>
      <c r="J324" s="330"/>
      <c r="K324" s="330"/>
      <c r="L324" s="330"/>
      <c r="M324" s="330"/>
      <c r="N324" s="330"/>
      <c r="O324" s="330"/>
      <c r="P324" s="330"/>
      <c r="Q324" s="330"/>
      <c r="R324" s="330"/>
      <c r="S324" s="330"/>
      <c r="T324" s="330"/>
      <c r="U324" s="330"/>
      <c r="V324" s="330"/>
      <c r="W324" s="330"/>
      <c r="X324" s="330"/>
      <c r="Y324" s="330"/>
      <c r="Z324" s="619"/>
      <c r="AA324" s="619"/>
      <c r="AB324" s="619"/>
      <c r="AC324" s="619"/>
      <c r="AD324" s="60"/>
    </row>
    <row r="325" spans="1:30" x14ac:dyDescent="0.25">
      <c r="A325" s="443"/>
      <c r="B325" s="443"/>
      <c r="C325" s="443"/>
      <c r="D325" s="330"/>
      <c r="E325" s="330"/>
      <c r="F325" s="330"/>
      <c r="G325" s="330"/>
      <c r="H325" s="330"/>
      <c r="I325" s="330"/>
      <c r="J325" s="330"/>
      <c r="K325" s="330"/>
      <c r="L325" s="330"/>
      <c r="M325" s="330"/>
      <c r="N325" s="330"/>
      <c r="O325" s="330"/>
      <c r="P325" s="330"/>
      <c r="Q325" s="330"/>
      <c r="R325" s="330"/>
      <c r="S325" s="330"/>
      <c r="T325" s="330"/>
      <c r="U325" s="330"/>
      <c r="V325" s="330"/>
      <c r="W325" s="330"/>
      <c r="X325" s="330"/>
      <c r="Y325" s="330"/>
      <c r="Z325" s="619"/>
      <c r="AA325" s="619"/>
      <c r="AB325" s="619"/>
      <c r="AC325" s="619"/>
      <c r="AD325" s="60"/>
    </row>
    <row r="326" spans="1:30" x14ac:dyDescent="0.25">
      <c r="A326" s="443"/>
      <c r="B326" s="443"/>
      <c r="C326" s="443"/>
      <c r="D326" s="330"/>
      <c r="E326" s="330"/>
      <c r="F326" s="330"/>
      <c r="G326" s="330"/>
      <c r="H326" s="330"/>
      <c r="I326" s="330"/>
      <c r="J326" s="330"/>
      <c r="K326" s="330"/>
      <c r="L326" s="330"/>
      <c r="M326" s="330"/>
      <c r="N326" s="330"/>
      <c r="O326" s="330"/>
      <c r="P326" s="330"/>
      <c r="Q326" s="330"/>
      <c r="R326" s="330"/>
      <c r="S326" s="330"/>
      <c r="T326" s="330"/>
      <c r="U326" s="330"/>
      <c r="V326" s="330"/>
      <c r="W326" s="330"/>
      <c r="X326" s="330"/>
      <c r="Y326" s="330"/>
      <c r="Z326" s="619"/>
      <c r="AA326" s="619"/>
      <c r="AB326" s="619"/>
      <c r="AC326" s="619"/>
      <c r="AD326" s="60"/>
    </row>
    <row r="327" spans="1:30" x14ac:dyDescent="0.25">
      <c r="A327" s="443"/>
      <c r="B327" s="443"/>
      <c r="C327" s="443"/>
      <c r="D327" s="330"/>
      <c r="E327" s="330"/>
      <c r="F327" s="330"/>
      <c r="G327" s="330"/>
      <c r="H327" s="330"/>
      <c r="I327" s="330"/>
      <c r="J327" s="330"/>
      <c r="K327" s="330"/>
      <c r="L327" s="330"/>
      <c r="M327" s="330"/>
      <c r="N327" s="330"/>
      <c r="O327" s="330"/>
      <c r="P327" s="330"/>
      <c r="Q327" s="330"/>
      <c r="R327" s="330"/>
      <c r="S327" s="330"/>
      <c r="T327" s="330"/>
      <c r="U327" s="330"/>
      <c r="V327" s="330"/>
      <c r="W327" s="330"/>
      <c r="X327" s="330"/>
      <c r="Y327" s="330"/>
      <c r="Z327" s="619"/>
      <c r="AA327" s="619"/>
      <c r="AB327" s="619"/>
      <c r="AC327" s="619"/>
      <c r="AD327" s="60"/>
    </row>
    <row r="328" spans="1:30" x14ac:dyDescent="0.25">
      <c r="A328" s="443"/>
      <c r="B328" s="443"/>
      <c r="C328" s="443"/>
      <c r="D328" s="330"/>
      <c r="E328" s="330"/>
      <c r="F328" s="330"/>
      <c r="G328" s="330"/>
      <c r="H328" s="330"/>
      <c r="I328" s="330"/>
      <c r="J328" s="330"/>
      <c r="K328" s="330"/>
      <c r="L328" s="330"/>
      <c r="M328" s="330"/>
      <c r="N328" s="330"/>
      <c r="O328" s="330"/>
      <c r="P328" s="330"/>
      <c r="Q328" s="330"/>
      <c r="R328" s="330"/>
      <c r="S328" s="330"/>
      <c r="T328" s="330"/>
      <c r="U328" s="330"/>
      <c r="V328" s="330"/>
      <c r="W328" s="330"/>
      <c r="X328" s="330"/>
      <c r="Y328" s="330"/>
      <c r="Z328" s="619"/>
      <c r="AA328" s="619"/>
      <c r="AB328" s="619"/>
      <c r="AC328" s="619"/>
      <c r="AD328" s="60"/>
    </row>
    <row r="329" spans="1:30" x14ac:dyDescent="0.25">
      <c r="A329" s="443"/>
      <c r="B329" s="443"/>
      <c r="C329" s="443"/>
      <c r="D329" s="330"/>
      <c r="E329" s="330"/>
      <c r="F329" s="330"/>
      <c r="G329" s="330"/>
      <c r="H329" s="330"/>
      <c r="I329" s="330"/>
      <c r="J329" s="330"/>
      <c r="K329" s="330"/>
      <c r="L329" s="330"/>
      <c r="M329" s="330"/>
      <c r="N329" s="330"/>
      <c r="O329" s="330"/>
      <c r="P329" s="330"/>
      <c r="Q329" s="330"/>
      <c r="R329" s="330"/>
      <c r="S329" s="330"/>
      <c r="T329" s="330"/>
      <c r="U329" s="330"/>
      <c r="V329" s="330"/>
      <c r="W329" s="330"/>
      <c r="X329" s="330"/>
      <c r="Y329" s="330"/>
      <c r="Z329" s="619"/>
      <c r="AA329" s="619"/>
      <c r="AB329" s="619"/>
      <c r="AC329" s="619"/>
      <c r="AD329" s="60"/>
    </row>
    <row r="330" spans="1:30" x14ac:dyDescent="0.25">
      <c r="A330" s="443"/>
      <c r="B330" s="443"/>
      <c r="C330" s="443"/>
      <c r="D330" s="330"/>
      <c r="E330" s="330"/>
      <c r="F330" s="330"/>
      <c r="G330" s="330"/>
      <c r="H330" s="330"/>
      <c r="I330" s="330"/>
      <c r="J330" s="330"/>
      <c r="K330" s="330"/>
      <c r="L330" s="330"/>
      <c r="M330" s="330"/>
      <c r="N330" s="330"/>
      <c r="O330" s="330"/>
      <c r="P330" s="330"/>
      <c r="Q330" s="330"/>
      <c r="R330" s="330"/>
      <c r="S330" s="330"/>
      <c r="T330" s="330"/>
      <c r="U330" s="330"/>
      <c r="V330" s="330"/>
      <c r="W330" s="330"/>
      <c r="X330" s="330"/>
      <c r="Y330" s="330"/>
      <c r="Z330" s="619"/>
      <c r="AA330" s="619"/>
      <c r="AB330" s="619"/>
      <c r="AC330" s="619"/>
      <c r="AD330" s="60"/>
    </row>
    <row r="331" spans="1:30" x14ac:dyDescent="0.25">
      <c r="A331" s="443"/>
      <c r="B331" s="443"/>
      <c r="C331" s="443"/>
      <c r="D331" s="330"/>
      <c r="E331" s="330"/>
      <c r="F331" s="330"/>
      <c r="G331" s="330"/>
      <c r="H331" s="330"/>
      <c r="I331" s="330"/>
      <c r="J331" s="330"/>
      <c r="K331" s="330"/>
      <c r="L331" s="330"/>
      <c r="M331" s="330"/>
      <c r="N331" s="330"/>
      <c r="O331" s="330"/>
      <c r="P331" s="330"/>
      <c r="Q331" s="330"/>
      <c r="R331" s="330"/>
      <c r="S331" s="330"/>
      <c r="T331" s="330"/>
      <c r="U331" s="330"/>
      <c r="V331" s="330"/>
      <c r="W331" s="330"/>
      <c r="X331" s="330"/>
      <c r="Y331" s="330"/>
      <c r="Z331" s="619"/>
      <c r="AA331" s="619"/>
      <c r="AB331" s="619"/>
      <c r="AC331" s="619"/>
      <c r="AD331" s="60"/>
    </row>
    <row r="332" spans="1:30" x14ac:dyDescent="0.25">
      <c r="A332" s="443"/>
      <c r="B332" s="443"/>
      <c r="C332" s="443"/>
      <c r="D332" s="330"/>
      <c r="E332" s="330"/>
      <c r="F332" s="330"/>
      <c r="G332" s="330"/>
      <c r="H332" s="330"/>
      <c r="I332" s="330"/>
      <c r="J332" s="330"/>
      <c r="K332" s="330"/>
      <c r="L332" s="330"/>
      <c r="M332" s="330"/>
      <c r="N332" s="330"/>
      <c r="O332" s="330"/>
      <c r="P332" s="330"/>
      <c r="Q332" s="330"/>
      <c r="R332" s="330"/>
      <c r="S332" s="330"/>
      <c r="T332" s="330"/>
      <c r="U332" s="330"/>
      <c r="V332" s="330"/>
      <c r="W332" s="330"/>
      <c r="X332" s="330"/>
      <c r="Y332" s="330"/>
      <c r="Z332" s="619"/>
      <c r="AA332" s="619"/>
      <c r="AB332" s="619"/>
      <c r="AC332" s="619"/>
      <c r="AD332" s="60"/>
    </row>
    <row r="333" spans="1:30" x14ac:dyDescent="0.25">
      <c r="A333" s="443"/>
      <c r="B333" s="443"/>
      <c r="C333" s="443"/>
      <c r="D333" s="330"/>
      <c r="E333" s="330"/>
      <c r="F333" s="330"/>
      <c r="G333" s="330"/>
      <c r="H333" s="330"/>
      <c r="I333" s="330"/>
      <c r="J333" s="330"/>
      <c r="K333" s="330"/>
      <c r="L333" s="330"/>
      <c r="M333" s="330"/>
      <c r="N333" s="330"/>
      <c r="O333" s="330"/>
      <c r="P333" s="330"/>
      <c r="Q333" s="330"/>
      <c r="R333" s="330"/>
      <c r="S333" s="330"/>
      <c r="T333" s="330"/>
      <c r="U333" s="330"/>
      <c r="V333" s="330"/>
      <c r="W333" s="330"/>
      <c r="X333" s="330"/>
      <c r="Y333" s="330"/>
      <c r="Z333" s="619"/>
      <c r="AA333" s="619"/>
      <c r="AB333" s="619"/>
      <c r="AC333" s="619"/>
      <c r="AD333" s="60"/>
    </row>
    <row r="334" spans="1:30" x14ac:dyDescent="0.25">
      <c r="A334" s="443"/>
      <c r="B334" s="443"/>
      <c r="C334" s="443"/>
      <c r="D334" s="330"/>
      <c r="E334" s="330"/>
      <c r="F334" s="330"/>
      <c r="G334" s="330"/>
      <c r="H334" s="330"/>
      <c r="I334" s="330"/>
      <c r="J334" s="330"/>
      <c r="K334" s="330"/>
      <c r="L334" s="330"/>
      <c r="M334" s="330"/>
      <c r="N334" s="330"/>
      <c r="O334" s="330"/>
      <c r="P334" s="330"/>
      <c r="Q334" s="330"/>
      <c r="R334" s="330"/>
      <c r="S334" s="330"/>
      <c r="T334" s="330"/>
      <c r="U334" s="330"/>
      <c r="V334" s="330"/>
      <c r="W334" s="330"/>
      <c r="X334" s="330"/>
      <c r="Y334" s="330"/>
      <c r="Z334" s="619"/>
      <c r="AA334" s="619"/>
      <c r="AB334" s="619"/>
      <c r="AC334" s="619"/>
      <c r="AD334" s="60"/>
    </row>
    <row r="335" spans="1:30" x14ac:dyDescent="0.25">
      <c r="A335" s="443"/>
      <c r="B335" s="443"/>
      <c r="C335" s="443"/>
      <c r="D335" s="330"/>
      <c r="E335" s="330"/>
      <c r="F335" s="330"/>
      <c r="G335" s="330"/>
      <c r="H335" s="330"/>
      <c r="I335" s="330"/>
      <c r="J335" s="330"/>
      <c r="K335" s="330"/>
      <c r="L335" s="330"/>
      <c r="M335" s="330"/>
      <c r="N335" s="330"/>
      <c r="O335" s="330"/>
      <c r="P335" s="330"/>
      <c r="Q335" s="330"/>
      <c r="R335" s="330"/>
      <c r="S335" s="330"/>
      <c r="T335" s="330"/>
      <c r="U335" s="330"/>
      <c r="V335" s="330"/>
      <c r="W335" s="330"/>
      <c r="X335" s="330"/>
      <c r="Y335" s="330"/>
      <c r="Z335" s="619"/>
      <c r="AA335" s="619"/>
      <c r="AB335" s="619"/>
      <c r="AC335" s="619"/>
      <c r="AD335" s="60"/>
    </row>
    <row r="336" spans="1:30" x14ac:dyDescent="0.25">
      <c r="A336" s="443"/>
      <c r="B336" s="443"/>
      <c r="C336" s="443"/>
      <c r="D336" s="330"/>
      <c r="E336" s="330"/>
      <c r="F336" s="330"/>
      <c r="G336" s="330"/>
      <c r="H336" s="330"/>
      <c r="I336" s="330"/>
      <c r="J336" s="330"/>
      <c r="K336" s="330"/>
      <c r="L336" s="330"/>
      <c r="M336" s="330"/>
      <c r="N336" s="330"/>
      <c r="O336" s="330"/>
      <c r="P336" s="330"/>
      <c r="Q336" s="330"/>
      <c r="R336" s="330"/>
      <c r="S336" s="330"/>
      <c r="T336" s="330"/>
      <c r="U336" s="330"/>
      <c r="V336" s="330"/>
      <c r="W336" s="330"/>
      <c r="X336" s="330"/>
      <c r="Y336" s="330"/>
      <c r="Z336" s="619"/>
      <c r="AA336" s="619"/>
      <c r="AB336" s="619"/>
      <c r="AC336" s="619"/>
      <c r="AD336" s="60"/>
    </row>
    <row r="337" spans="1:30" x14ac:dyDescent="0.25">
      <c r="A337" s="443"/>
      <c r="B337" s="443"/>
      <c r="C337" s="443"/>
      <c r="D337" s="330"/>
      <c r="E337" s="330"/>
      <c r="F337" s="330"/>
      <c r="G337" s="330"/>
      <c r="H337" s="330"/>
      <c r="I337" s="330"/>
      <c r="J337" s="330"/>
      <c r="K337" s="330"/>
      <c r="L337" s="330"/>
      <c r="M337" s="330"/>
      <c r="N337" s="330"/>
      <c r="O337" s="330"/>
      <c r="P337" s="330"/>
      <c r="Q337" s="330"/>
      <c r="R337" s="330"/>
      <c r="S337" s="330"/>
      <c r="T337" s="330"/>
      <c r="U337" s="330"/>
      <c r="V337" s="330"/>
      <c r="W337" s="330"/>
      <c r="X337" s="330"/>
      <c r="Y337" s="330"/>
      <c r="Z337" s="619"/>
      <c r="AA337" s="619"/>
      <c r="AB337" s="619"/>
      <c r="AC337" s="619"/>
      <c r="AD337" s="60"/>
    </row>
    <row r="338" spans="1:30" x14ac:dyDescent="0.25">
      <c r="A338" s="443"/>
      <c r="B338" s="443"/>
      <c r="C338" s="443"/>
      <c r="D338" s="330"/>
      <c r="E338" s="330"/>
      <c r="F338" s="330"/>
      <c r="G338" s="330"/>
      <c r="H338" s="330"/>
      <c r="I338" s="330"/>
      <c r="J338" s="330"/>
      <c r="K338" s="330"/>
      <c r="L338" s="330"/>
      <c r="M338" s="330"/>
      <c r="N338" s="330"/>
      <c r="O338" s="330"/>
      <c r="P338" s="330"/>
      <c r="Q338" s="330"/>
      <c r="R338" s="330"/>
      <c r="S338" s="330"/>
      <c r="T338" s="330"/>
      <c r="U338" s="330"/>
      <c r="V338" s="330"/>
      <c r="W338" s="330"/>
      <c r="X338" s="330"/>
      <c r="Y338" s="330"/>
      <c r="Z338" s="619"/>
      <c r="AA338" s="619"/>
      <c r="AB338" s="619"/>
      <c r="AC338" s="619"/>
      <c r="AD338" s="60"/>
    </row>
    <row r="339" spans="1:30" x14ac:dyDescent="0.25">
      <c r="A339" s="443"/>
      <c r="B339" s="443"/>
      <c r="C339" s="443"/>
      <c r="D339" s="330"/>
      <c r="E339" s="330"/>
      <c r="F339" s="330"/>
      <c r="G339" s="330"/>
      <c r="H339" s="330"/>
      <c r="I339" s="330"/>
      <c r="J339" s="330"/>
      <c r="K339" s="330"/>
      <c r="L339" s="330"/>
      <c r="M339" s="330"/>
      <c r="N339" s="330"/>
      <c r="O339" s="330"/>
      <c r="P339" s="330"/>
      <c r="Q339" s="330"/>
      <c r="R339" s="330"/>
      <c r="S339" s="330"/>
      <c r="T339" s="330"/>
      <c r="U339" s="330"/>
      <c r="V339" s="330"/>
      <c r="W339" s="330"/>
      <c r="X339" s="330"/>
      <c r="Y339" s="330"/>
      <c r="Z339" s="619"/>
      <c r="AA339" s="619"/>
      <c r="AB339" s="619"/>
      <c r="AC339" s="619"/>
      <c r="AD339" s="60"/>
    </row>
    <row r="340" spans="1:30" x14ac:dyDescent="0.25">
      <c r="A340" s="443"/>
      <c r="B340" s="443"/>
      <c r="C340" s="443"/>
      <c r="D340" s="330"/>
      <c r="E340" s="330"/>
      <c r="F340" s="330"/>
      <c r="G340" s="330"/>
      <c r="H340" s="330"/>
      <c r="I340" s="330"/>
      <c r="J340" s="330"/>
      <c r="K340" s="330"/>
      <c r="L340" s="330"/>
      <c r="M340" s="330"/>
      <c r="N340" s="330"/>
      <c r="O340" s="330"/>
      <c r="P340" s="330"/>
      <c r="Q340" s="330"/>
      <c r="R340" s="330"/>
      <c r="S340" s="330"/>
      <c r="T340" s="330"/>
      <c r="U340" s="330"/>
      <c r="V340" s="330"/>
      <c r="W340" s="330"/>
      <c r="X340" s="330"/>
      <c r="Y340" s="330"/>
      <c r="Z340" s="619"/>
      <c r="AA340" s="619"/>
      <c r="AB340" s="619"/>
      <c r="AC340" s="619"/>
      <c r="AD340" s="60"/>
    </row>
    <row r="341" spans="1:30" x14ac:dyDescent="0.25">
      <c r="A341" s="443"/>
      <c r="B341" s="443"/>
      <c r="C341" s="443"/>
      <c r="D341" s="330"/>
      <c r="E341" s="330"/>
      <c r="F341" s="330"/>
      <c r="G341" s="330"/>
      <c r="H341" s="330"/>
      <c r="I341" s="330"/>
      <c r="J341" s="330"/>
      <c r="K341" s="330"/>
      <c r="L341" s="330"/>
      <c r="M341" s="330"/>
      <c r="N341" s="330"/>
      <c r="O341" s="330"/>
      <c r="P341" s="330"/>
      <c r="Q341" s="330"/>
      <c r="R341" s="330"/>
      <c r="S341" s="330"/>
      <c r="T341" s="330"/>
      <c r="U341" s="330"/>
      <c r="V341" s="330"/>
      <c r="W341" s="330"/>
      <c r="X341" s="330"/>
      <c r="Y341" s="330"/>
      <c r="Z341" s="619"/>
      <c r="AA341" s="619"/>
      <c r="AB341" s="619"/>
      <c r="AC341" s="619"/>
      <c r="AD341" s="60"/>
    </row>
    <row r="342" spans="1:30" x14ac:dyDescent="0.25">
      <c r="A342" s="443"/>
      <c r="B342" s="443"/>
      <c r="C342" s="443"/>
      <c r="D342" s="330"/>
      <c r="E342" s="330"/>
      <c r="F342" s="330"/>
      <c r="G342" s="330"/>
      <c r="H342" s="330"/>
      <c r="I342" s="330"/>
      <c r="J342" s="330"/>
      <c r="K342" s="330"/>
      <c r="L342" s="330"/>
      <c r="M342" s="330"/>
      <c r="N342" s="330"/>
      <c r="O342" s="330"/>
      <c r="P342" s="330"/>
      <c r="Q342" s="330"/>
      <c r="R342" s="330"/>
      <c r="S342" s="330"/>
      <c r="T342" s="330"/>
      <c r="U342" s="330"/>
      <c r="V342" s="330"/>
      <c r="W342" s="330"/>
      <c r="X342" s="330"/>
      <c r="Y342" s="330"/>
      <c r="Z342" s="619"/>
      <c r="AA342" s="619"/>
      <c r="AB342" s="619"/>
      <c r="AC342" s="619"/>
      <c r="AD342" s="60"/>
    </row>
    <row r="343" spans="1:30" x14ac:dyDescent="0.25">
      <c r="A343" s="443"/>
      <c r="B343" s="443"/>
      <c r="C343" s="443"/>
      <c r="D343" s="330"/>
      <c r="E343" s="330"/>
      <c r="F343" s="330"/>
      <c r="G343" s="330"/>
      <c r="H343" s="330"/>
      <c r="I343" s="330"/>
      <c r="J343" s="330"/>
      <c r="K343" s="330"/>
      <c r="L343" s="330"/>
      <c r="M343" s="330"/>
      <c r="N343" s="330"/>
      <c r="O343" s="330"/>
      <c r="P343" s="330"/>
      <c r="Q343" s="330"/>
      <c r="R343" s="330"/>
      <c r="S343" s="330"/>
      <c r="T343" s="330"/>
      <c r="U343" s="330"/>
      <c r="V343" s="330"/>
      <c r="W343" s="330"/>
      <c r="X343" s="330"/>
      <c r="Y343" s="330"/>
      <c r="Z343" s="619"/>
      <c r="AA343" s="619"/>
      <c r="AB343" s="619"/>
      <c r="AC343" s="619"/>
      <c r="AD343" s="60"/>
    </row>
    <row r="344" spans="1:30" x14ac:dyDescent="0.25">
      <c r="A344" s="443"/>
      <c r="B344" s="443"/>
      <c r="C344" s="443"/>
      <c r="D344" s="330"/>
      <c r="E344" s="330"/>
      <c r="F344" s="330"/>
      <c r="G344" s="330"/>
      <c r="H344" s="330"/>
      <c r="I344" s="330"/>
      <c r="J344" s="330"/>
      <c r="K344" s="330"/>
      <c r="L344" s="330"/>
      <c r="M344" s="330"/>
      <c r="N344" s="330"/>
      <c r="O344" s="330"/>
      <c r="P344" s="330"/>
      <c r="Q344" s="330"/>
      <c r="R344" s="330"/>
      <c r="S344" s="330"/>
      <c r="T344" s="330"/>
      <c r="U344" s="330"/>
      <c r="V344" s="330"/>
      <c r="W344" s="330"/>
      <c r="X344" s="330"/>
      <c r="Y344" s="330"/>
      <c r="Z344" s="619"/>
      <c r="AA344" s="619"/>
      <c r="AB344" s="619"/>
      <c r="AC344" s="619"/>
      <c r="AD344" s="60"/>
    </row>
    <row r="345" spans="1:30" x14ac:dyDescent="0.25">
      <c r="A345" s="443"/>
      <c r="B345" s="443"/>
      <c r="C345" s="443"/>
      <c r="D345" s="330"/>
      <c r="E345" s="330"/>
      <c r="F345" s="330"/>
      <c r="G345" s="330"/>
      <c r="H345" s="330"/>
      <c r="I345" s="330"/>
      <c r="J345" s="330"/>
      <c r="K345" s="330"/>
      <c r="L345" s="330"/>
      <c r="M345" s="330"/>
      <c r="N345" s="330"/>
      <c r="O345" s="330"/>
      <c r="P345" s="330"/>
      <c r="Q345" s="330"/>
      <c r="R345" s="330"/>
      <c r="S345" s="330"/>
      <c r="T345" s="330"/>
      <c r="U345" s="330"/>
      <c r="V345" s="330"/>
      <c r="W345" s="330"/>
      <c r="X345" s="330"/>
      <c r="Y345" s="330"/>
      <c r="Z345" s="619"/>
      <c r="AA345" s="619"/>
      <c r="AB345" s="619"/>
      <c r="AC345" s="619"/>
      <c r="AD345" s="60"/>
    </row>
    <row r="346" spans="1:30" x14ac:dyDescent="0.25">
      <c r="A346" s="443"/>
      <c r="B346" s="443"/>
      <c r="C346" s="443"/>
      <c r="D346" s="330"/>
      <c r="E346" s="330"/>
      <c r="F346" s="330"/>
      <c r="G346" s="330"/>
      <c r="H346" s="330"/>
      <c r="I346" s="330"/>
      <c r="J346" s="330"/>
      <c r="K346" s="330"/>
      <c r="L346" s="330"/>
      <c r="M346" s="330"/>
      <c r="N346" s="330"/>
      <c r="O346" s="330"/>
      <c r="P346" s="330"/>
      <c r="Q346" s="330"/>
      <c r="R346" s="330"/>
      <c r="S346" s="330"/>
      <c r="T346" s="330"/>
      <c r="U346" s="330"/>
      <c r="V346" s="330"/>
      <c r="W346" s="330"/>
      <c r="X346" s="330"/>
      <c r="Y346" s="330"/>
      <c r="Z346" s="619"/>
      <c r="AA346" s="619"/>
      <c r="AB346" s="619"/>
      <c r="AC346" s="619"/>
      <c r="AD346" s="60"/>
    </row>
    <row r="347" spans="1:30" x14ac:dyDescent="0.25">
      <c r="A347" s="443"/>
      <c r="B347" s="443"/>
      <c r="C347" s="443"/>
      <c r="D347" s="330"/>
      <c r="E347" s="330"/>
      <c r="F347" s="330"/>
      <c r="G347" s="330"/>
      <c r="H347" s="330"/>
      <c r="I347" s="330"/>
      <c r="J347" s="330"/>
      <c r="K347" s="330"/>
      <c r="L347" s="330"/>
      <c r="M347" s="330"/>
      <c r="N347" s="330"/>
      <c r="O347" s="330"/>
      <c r="P347" s="330"/>
      <c r="Q347" s="330"/>
      <c r="R347" s="330"/>
      <c r="S347" s="330"/>
      <c r="T347" s="330"/>
      <c r="U347" s="330"/>
      <c r="V347" s="330"/>
      <c r="W347" s="330"/>
      <c r="X347" s="330"/>
      <c r="Y347" s="330"/>
      <c r="Z347" s="619"/>
      <c r="AA347" s="619"/>
      <c r="AB347" s="619"/>
      <c r="AC347" s="619"/>
      <c r="AD347" s="60"/>
    </row>
    <row r="348" spans="1:30" x14ac:dyDescent="0.25">
      <c r="A348" s="443"/>
      <c r="B348" s="443"/>
      <c r="C348" s="443"/>
      <c r="D348" s="330"/>
      <c r="E348" s="330"/>
      <c r="F348" s="330"/>
      <c r="G348" s="330"/>
      <c r="H348" s="330"/>
      <c r="I348" s="330"/>
      <c r="J348" s="330"/>
      <c r="K348" s="330"/>
      <c r="L348" s="330"/>
      <c r="M348" s="330"/>
      <c r="N348" s="330"/>
      <c r="O348" s="330"/>
      <c r="P348" s="330"/>
      <c r="Q348" s="330"/>
      <c r="R348" s="330"/>
      <c r="S348" s="330"/>
      <c r="T348" s="330"/>
      <c r="U348" s="330"/>
      <c r="V348" s="330"/>
      <c r="W348" s="330"/>
      <c r="X348" s="330"/>
      <c r="Y348" s="330"/>
      <c r="Z348" s="619"/>
      <c r="AA348" s="619"/>
      <c r="AB348" s="619"/>
      <c r="AC348" s="619"/>
      <c r="AD348" s="60"/>
    </row>
    <row r="349" spans="1:30" x14ac:dyDescent="0.25">
      <c r="A349" s="443"/>
      <c r="B349" s="443"/>
      <c r="C349" s="443"/>
      <c r="D349" s="330"/>
      <c r="E349" s="330"/>
      <c r="F349" s="330"/>
      <c r="G349" s="330"/>
      <c r="H349" s="330"/>
      <c r="I349" s="330"/>
      <c r="J349" s="330"/>
      <c r="K349" s="330"/>
      <c r="L349" s="330"/>
      <c r="M349" s="330"/>
      <c r="N349" s="330"/>
      <c r="O349" s="330"/>
      <c r="P349" s="330"/>
      <c r="Q349" s="330"/>
      <c r="R349" s="330"/>
      <c r="S349" s="330"/>
      <c r="T349" s="330"/>
      <c r="U349" s="330"/>
      <c r="V349" s="330"/>
      <c r="W349" s="330"/>
      <c r="X349" s="330"/>
      <c r="Y349" s="330"/>
      <c r="Z349" s="619"/>
      <c r="AA349" s="619"/>
      <c r="AB349" s="619"/>
      <c r="AC349" s="619"/>
      <c r="AD349" s="60"/>
    </row>
    <row r="350" spans="1:30" x14ac:dyDescent="0.25">
      <c r="A350" s="443"/>
      <c r="B350" s="443"/>
      <c r="C350" s="443"/>
      <c r="D350" s="330"/>
      <c r="E350" s="330"/>
      <c r="F350" s="330"/>
      <c r="G350" s="330"/>
      <c r="H350" s="330"/>
      <c r="I350" s="330"/>
      <c r="J350" s="330"/>
      <c r="K350" s="330"/>
      <c r="L350" s="330"/>
      <c r="M350" s="330"/>
      <c r="N350" s="330"/>
      <c r="O350" s="330"/>
      <c r="P350" s="330"/>
      <c r="Q350" s="330"/>
      <c r="R350" s="330"/>
      <c r="S350" s="330"/>
      <c r="T350" s="330"/>
      <c r="U350" s="330"/>
      <c r="V350" s="330"/>
      <c r="W350" s="330"/>
      <c r="X350" s="330"/>
      <c r="Y350" s="330"/>
      <c r="Z350" s="619"/>
      <c r="AA350" s="619"/>
      <c r="AB350" s="619"/>
      <c r="AC350" s="619"/>
      <c r="AD350" s="60"/>
    </row>
    <row r="351" spans="1:30" x14ac:dyDescent="0.25">
      <c r="A351" s="443"/>
      <c r="B351" s="443"/>
      <c r="C351" s="443"/>
      <c r="D351" s="330"/>
      <c r="E351" s="330"/>
      <c r="F351" s="330"/>
      <c r="G351" s="330"/>
      <c r="H351" s="330"/>
      <c r="I351" s="330"/>
      <c r="J351" s="330"/>
      <c r="K351" s="330"/>
      <c r="L351" s="330"/>
      <c r="M351" s="330"/>
      <c r="N351" s="330"/>
      <c r="O351" s="330"/>
      <c r="P351" s="330"/>
      <c r="Q351" s="330"/>
      <c r="R351" s="330"/>
      <c r="S351" s="330"/>
      <c r="T351" s="330"/>
      <c r="U351" s="330"/>
      <c r="V351" s="330"/>
      <c r="W351" s="330"/>
      <c r="X351" s="330"/>
      <c r="Y351" s="330"/>
      <c r="Z351" s="619"/>
      <c r="AA351" s="619"/>
      <c r="AB351" s="619"/>
      <c r="AC351" s="619"/>
      <c r="AD351" s="60"/>
    </row>
    <row r="352" spans="1:30" x14ac:dyDescent="0.25">
      <c r="A352" s="443"/>
      <c r="B352" s="443"/>
      <c r="C352" s="443"/>
      <c r="D352" s="330"/>
      <c r="E352" s="330"/>
      <c r="F352" s="330"/>
      <c r="G352" s="330"/>
      <c r="H352" s="330"/>
      <c r="I352" s="330"/>
      <c r="J352" s="330"/>
      <c r="K352" s="330"/>
      <c r="L352" s="330"/>
      <c r="M352" s="330"/>
      <c r="N352" s="330"/>
      <c r="O352" s="330"/>
      <c r="P352" s="330"/>
      <c r="Q352" s="330"/>
      <c r="R352" s="330"/>
      <c r="S352" s="330"/>
      <c r="T352" s="330"/>
      <c r="U352" s="330"/>
      <c r="V352" s="330"/>
      <c r="W352" s="330"/>
      <c r="X352" s="330"/>
      <c r="Y352" s="330"/>
      <c r="Z352" s="619"/>
      <c r="AA352" s="619"/>
      <c r="AB352" s="619"/>
      <c r="AC352" s="619"/>
      <c r="AD352" s="60"/>
    </row>
    <row r="353" spans="1:30" x14ac:dyDescent="0.25">
      <c r="A353" s="443"/>
      <c r="B353" s="443"/>
      <c r="C353" s="443"/>
      <c r="D353" s="330"/>
      <c r="E353" s="330"/>
      <c r="F353" s="330"/>
      <c r="G353" s="330"/>
      <c r="H353" s="330"/>
      <c r="I353" s="330"/>
      <c r="J353" s="330"/>
      <c r="K353" s="330"/>
      <c r="L353" s="330"/>
      <c r="M353" s="330"/>
      <c r="N353" s="330"/>
      <c r="O353" s="330"/>
      <c r="P353" s="330"/>
      <c r="Q353" s="330"/>
      <c r="R353" s="330"/>
      <c r="S353" s="330"/>
      <c r="T353" s="330"/>
      <c r="U353" s="330"/>
      <c r="V353" s="330"/>
      <c r="W353" s="330"/>
      <c r="X353" s="330"/>
      <c r="Y353" s="330"/>
      <c r="Z353" s="619"/>
      <c r="AA353" s="619"/>
      <c r="AB353" s="619"/>
      <c r="AC353" s="619"/>
      <c r="AD353" s="60"/>
    </row>
    <row r="354" spans="1:30" x14ac:dyDescent="0.25">
      <c r="A354" s="443"/>
      <c r="B354" s="443"/>
      <c r="C354" s="443"/>
      <c r="D354" s="330"/>
      <c r="E354" s="330"/>
      <c r="F354" s="330"/>
      <c r="G354" s="330"/>
      <c r="H354" s="330"/>
      <c r="I354" s="330"/>
      <c r="J354" s="330"/>
      <c r="K354" s="330"/>
      <c r="L354" s="330"/>
      <c r="M354" s="330"/>
      <c r="N354" s="330"/>
      <c r="O354" s="330"/>
      <c r="P354" s="330"/>
      <c r="Q354" s="330"/>
      <c r="R354" s="330"/>
      <c r="S354" s="330"/>
      <c r="T354" s="330"/>
      <c r="U354" s="330"/>
      <c r="V354" s="330"/>
      <c r="W354" s="330"/>
      <c r="X354" s="330"/>
      <c r="Y354" s="330"/>
      <c r="Z354" s="619"/>
      <c r="AA354" s="619"/>
      <c r="AB354" s="619"/>
      <c r="AC354" s="619"/>
      <c r="AD354" s="60"/>
    </row>
    <row r="355" spans="1:30" x14ac:dyDescent="0.25">
      <c r="A355" s="443"/>
      <c r="B355" s="443"/>
      <c r="C355" s="443"/>
      <c r="D355" s="330"/>
      <c r="E355" s="330"/>
      <c r="F355" s="330"/>
      <c r="G355" s="330"/>
      <c r="H355" s="330"/>
      <c r="I355" s="330"/>
      <c r="J355" s="330"/>
      <c r="K355" s="330"/>
      <c r="L355" s="330"/>
      <c r="M355" s="330"/>
      <c r="N355" s="330"/>
      <c r="O355" s="330"/>
      <c r="P355" s="330"/>
      <c r="Q355" s="330"/>
      <c r="R355" s="330"/>
      <c r="S355" s="330"/>
      <c r="T355" s="330"/>
      <c r="U355" s="330"/>
      <c r="V355" s="330"/>
      <c r="W355" s="330"/>
      <c r="X355" s="330"/>
      <c r="Y355" s="330"/>
      <c r="Z355" s="619"/>
      <c r="AA355" s="619"/>
      <c r="AB355" s="619"/>
      <c r="AC355" s="619"/>
      <c r="AD355" s="60"/>
    </row>
    <row r="356" spans="1:30" x14ac:dyDescent="0.25">
      <c r="A356" s="443"/>
      <c r="B356" s="443"/>
      <c r="C356" s="443"/>
      <c r="D356" s="330"/>
      <c r="E356" s="330"/>
      <c r="F356" s="330"/>
      <c r="G356" s="330"/>
      <c r="H356" s="330"/>
      <c r="I356" s="330"/>
      <c r="J356" s="330"/>
      <c r="K356" s="330"/>
      <c r="L356" s="330"/>
      <c r="M356" s="330"/>
      <c r="N356" s="330"/>
      <c r="O356" s="330"/>
      <c r="P356" s="330"/>
      <c r="Q356" s="330"/>
      <c r="R356" s="330"/>
      <c r="S356" s="330"/>
      <c r="T356" s="330"/>
      <c r="U356" s="330"/>
      <c r="V356" s="330"/>
      <c r="W356" s="330"/>
      <c r="X356" s="330"/>
      <c r="Y356" s="330"/>
      <c r="Z356" s="619"/>
      <c r="AA356" s="619"/>
      <c r="AB356" s="619"/>
      <c r="AC356" s="619"/>
      <c r="AD356" s="60"/>
    </row>
    <row r="357" spans="1:30" x14ac:dyDescent="0.25">
      <c r="A357" s="443"/>
      <c r="B357" s="443"/>
      <c r="C357" s="443"/>
      <c r="D357" s="330"/>
      <c r="E357" s="330"/>
      <c r="F357" s="330"/>
      <c r="G357" s="330"/>
      <c r="H357" s="330"/>
      <c r="I357" s="330"/>
      <c r="J357" s="330"/>
      <c r="K357" s="330"/>
      <c r="L357" s="330"/>
      <c r="M357" s="330"/>
      <c r="N357" s="330"/>
      <c r="O357" s="330"/>
      <c r="P357" s="330"/>
      <c r="Q357" s="330"/>
      <c r="R357" s="330"/>
      <c r="S357" s="330"/>
      <c r="T357" s="330"/>
      <c r="U357" s="330"/>
      <c r="V357" s="330"/>
      <c r="W357" s="330"/>
      <c r="X357" s="330"/>
      <c r="Y357" s="330"/>
      <c r="Z357" s="619"/>
      <c r="AA357" s="619"/>
      <c r="AB357" s="619"/>
      <c r="AC357" s="619"/>
      <c r="AD357" s="60"/>
    </row>
    <row r="358" spans="1:30" x14ac:dyDescent="0.25">
      <c r="A358" s="443"/>
      <c r="B358" s="443"/>
      <c r="C358" s="443"/>
      <c r="D358" s="330"/>
      <c r="E358" s="330"/>
      <c r="F358" s="330"/>
      <c r="G358" s="330"/>
      <c r="H358" s="330"/>
      <c r="I358" s="330"/>
      <c r="J358" s="330"/>
      <c r="K358" s="330"/>
      <c r="L358" s="330"/>
      <c r="M358" s="330"/>
      <c r="N358" s="330"/>
      <c r="O358" s="330"/>
      <c r="P358" s="330"/>
      <c r="Q358" s="330"/>
      <c r="R358" s="330"/>
      <c r="S358" s="330"/>
      <c r="T358" s="330"/>
      <c r="U358" s="330"/>
      <c r="V358" s="330"/>
      <c r="W358" s="330"/>
      <c r="X358" s="330"/>
      <c r="Y358" s="330"/>
      <c r="Z358" s="619"/>
      <c r="AA358" s="619"/>
      <c r="AB358" s="619"/>
      <c r="AC358" s="619"/>
      <c r="AD358" s="60"/>
    </row>
    <row r="359" spans="1:30" x14ac:dyDescent="0.25">
      <c r="A359" s="443"/>
      <c r="B359" s="443"/>
      <c r="C359" s="443"/>
      <c r="D359" s="330"/>
      <c r="E359" s="330"/>
      <c r="F359" s="330"/>
      <c r="G359" s="330"/>
      <c r="H359" s="330"/>
      <c r="I359" s="330"/>
      <c r="J359" s="330"/>
      <c r="K359" s="330"/>
      <c r="L359" s="330"/>
      <c r="M359" s="330"/>
      <c r="N359" s="330"/>
      <c r="O359" s="330"/>
      <c r="P359" s="330"/>
      <c r="Q359" s="330"/>
      <c r="R359" s="330"/>
      <c r="S359" s="330"/>
      <c r="T359" s="330"/>
      <c r="U359" s="330"/>
      <c r="V359" s="330"/>
      <c r="W359" s="330"/>
      <c r="X359" s="330"/>
      <c r="Y359" s="330"/>
      <c r="Z359" s="619"/>
      <c r="AA359" s="619"/>
      <c r="AB359" s="619"/>
      <c r="AC359" s="619"/>
      <c r="AD359" s="60"/>
    </row>
    <row r="360" spans="1:30" x14ac:dyDescent="0.25">
      <c r="A360" s="443"/>
      <c r="B360" s="443"/>
      <c r="C360" s="443"/>
      <c r="D360" s="330"/>
      <c r="E360" s="330"/>
      <c r="F360" s="330"/>
      <c r="G360" s="330"/>
      <c r="H360" s="330"/>
      <c r="I360" s="330"/>
      <c r="J360" s="330"/>
      <c r="K360" s="330"/>
      <c r="L360" s="330"/>
      <c r="M360" s="330"/>
      <c r="N360" s="330"/>
      <c r="O360" s="330"/>
      <c r="P360" s="330"/>
      <c r="Q360" s="330"/>
      <c r="R360" s="330"/>
      <c r="S360" s="330"/>
      <c r="T360" s="330"/>
      <c r="U360" s="330"/>
      <c r="V360" s="330"/>
      <c r="W360" s="330"/>
      <c r="X360" s="330"/>
      <c r="Y360" s="330"/>
      <c r="Z360" s="619"/>
      <c r="AA360" s="619"/>
      <c r="AB360" s="619"/>
      <c r="AC360" s="619"/>
      <c r="AD360" s="60"/>
    </row>
    <row r="361" spans="1:30" x14ac:dyDescent="0.25">
      <c r="A361" s="443"/>
      <c r="B361" s="443"/>
      <c r="C361" s="443"/>
      <c r="D361" s="330"/>
      <c r="E361" s="330"/>
      <c r="F361" s="330"/>
      <c r="G361" s="330"/>
      <c r="H361" s="330"/>
      <c r="I361" s="330"/>
      <c r="J361" s="330"/>
      <c r="K361" s="330"/>
      <c r="L361" s="330"/>
      <c r="M361" s="330"/>
      <c r="N361" s="330"/>
      <c r="O361" s="330"/>
      <c r="P361" s="330"/>
      <c r="Q361" s="330"/>
      <c r="R361" s="330"/>
      <c r="S361" s="330"/>
      <c r="T361" s="330"/>
      <c r="U361" s="330"/>
      <c r="V361" s="330"/>
      <c r="W361" s="330"/>
      <c r="X361" s="330"/>
      <c r="Y361" s="330"/>
      <c r="Z361" s="619"/>
      <c r="AA361" s="619"/>
      <c r="AB361" s="619"/>
      <c r="AC361" s="619"/>
      <c r="AD361" s="60"/>
    </row>
    <row r="362" spans="1:30" x14ac:dyDescent="0.25">
      <c r="A362" s="443"/>
      <c r="B362" s="443"/>
      <c r="C362" s="443"/>
      <c r="D362" s="330"/>
      <c r="E362" s="330"/>
      <c r="F362" s="330"/>
      <c r="G362" s="330"/>
      <c r="H362" s="330"/>
      <c r="I362" s="330"/>
      <c r="J362" s="330"/>
      <c r="K362" s="330"/>
      <c r="L362" s="330"/>
      <c r="M362" s="330"/>
      <c r="N362" s="330"/>
      <c r="O362" s="330"/>
      <c r="P362" s="330"/>
      <c r="Q362" s="330"/>
      <c r="R362" s="330"/>
      <c r="S362" s="330"/>
      <c r="T362" s="330"/>
      <c r="U362" s="330"/>
      <c r="V362" s="330"/>
      <c r="W362" s="330"/>
      <c r="X362" s="330"/>
      <c r="Y362" s="330"/>
      <c r="Z362" s="619"/>
      <c r="AA362" s="619"/>
      <c r="AB362" s="619"/>
      <c r="AC362" s="619"/>
      <c r="AD362" s="60"/>
    </row>
    <row r="363" spans="1:30" x14ac:dyDescent="0.25">
      <c r="A363" s="443"/>
      <c r="B363" s="443"/>
      <c r="C363" s="443"/>
      <c r="D363" s="330"/>
      <c r="E363" s="330"/>
      <c r="F363" s="330"/>
      <c r="G363" s="330"/>
      <c r="H363" s="330"/>
      <c r="I363" s="330"/>
      <c r="J363" s="330"/>
      <c r="K363" s="330"/>
      <c r="L363" s="330"/>
      <c r="M363" s="330"/>
      <c r="N363" s="330"/>
      <c r="O363" s="330"/>
      <c r="P363" s="330"/>
      <c r="Q363" s="330"/>
      <c r="R363" s="330"/>
      <c r="S363" s="330"/>
      <c r="T363" s="330"/>
      <c r="U363" s="330"/>
      <c r="V363" s="330"/>
      <c r="W363" s="330"/>
      <c r="X363" s="330"/>
      <c r="Y363" s="330"/>
      <c r="Z363" s="619"/>
      <c r="AA363" s="619"/>
      <c r="AB363" s="619"/>
      <c r="AC363" s="619"/>
      <c r="AD363" s="60"/>
    </row>
    <row r="364" spans="1:30" x14ac:dyDescent="0.25">
      <c r="A364" s="443"/>
      <c r="B364" s="443"/>
      <c r="C364" s="443"/>
      <c r="D364" s="330"/>
      <c r="E364" s="330"/>
      <c r="F364" s="330"/>
      <c r="G364" s="330"/>
      <c r="H364" s="330"/>
      <c r="I364" s="330"/>
      <c r="J364" s="330"/>
      <c r="K364" s="330"/>
      <c r="L364" s="330"/>
      <c r="M364" s="330"/>
      <c r="N364" s="330"/>
      <c r="O364" s="330"/>
      <c r="P364" s="330"/>
      <c r="Q364" s="330"/>
      <c r="R364" s="330"/>
      <c r="S364" s="330"/>
      <c r="T364" s="330"/>
      <c r="U364" s="330"/>
      <c r="V364" s="330"/>
      <c r="W364" s="330"/>
      <c r="X364" s="330"/>
      <c r="Y364" s="330"/>
      <c r="Z364" s="619"/>
      <c r="AA364" s="619"/>
      <c r="AB364" s="619"/>
      <c r="AC364" s="619"/>
      <c r="AD364" s="60"/>
    </row>
    <row r="365" spans="1:30" x14ac:dyDescent="0.25">
      <c r="A365" s="443"/>
      <c r="B365" s="443"/>
      <c r="C365" s="443"/>
      <c r="D365" s="330"/>
      <c r="E365" s="330"/>
      <c r="F365" s="330"/>
      <c r="G365" s="330"/>
      <c r="H365" s="330"/>
      <c r="I365" s="330"/>
      <c r="J365" s="330"/>
      <c r="K365" s="330"/>
      <c r="L365" s="330"/>
      <c r="M365" s="330"/>
      <c r="N365" s="330"/>
      <c r="O365" s="330"/>
      <c r="P365" s="330"/>
      <c r="Q365" s="330"/>
      <c r="R365" s="330"/>
      <c r="S365" s="330"/>
      <c r="T365" s="330"/>
      <c r="U365" s="330"/>
      <c r="V365" s="330"/>
      <c r="W365" s="330"/>
      <c r="X365" s="330"/>
      <c r="Y365" s="330"/>
      <c r="Z365" s="619"/>
      <c r="AA365" s="619"/>
      <c r="AB365" s="619"/>
      <c r="AC365" s="619"/>
      <c r="AD365" s="60"/>
    </row>
    <row r="366" spans="1:30" x14ac:dyDescent="0.25">
      <c r="A366" s="443"/>
      <c r="B366" s="443"/>
      <c r="C366" s="443"/>
      <c r="D366" s="330"/>
      <c r="E366" s="330"/>
      <c r="F366" s="330"/>
      <c r="G366" s="330"/>
      <c r="H366" s="330"/>
      <c r="I366" s="330"/>
      <c r="J366" s="330"/>
      <c r="K366" s="330"/>
      <c r="L366" s="330"/>
      <c r="M366" s="330"/>
      <c r="N366" s="330"/>
      <c r="O366" s="330"/>
      <c r="P366" s="330"/>
      <c r="Q366" s="330"/>
      <c r="R366" s="330"/>
      <c r="S366" s="330"/>
      <c r="T366" s="330"/>
      <c r="U366" s="330"/>
      <c r="V366" s="330"/>
      <c r="W366" s="330"/>
      <c r="X366" s="330"/>
      <c r="Y366" s="330"/>
      <c r="Z366" s="619"/>
      <c r="AA366" s="619"/>
      <c r="AB366" s="619"/>
      <c r="AC366" s="619"/>
      <c r="AD366" s="60"/>
    </row>
    <row r="367" spans="1:30" x14ac:dyDescent="0.25">
      <c r="A367" s="443"/>
      <c r="B367" s="443"/>
      <c r="C367" s="443"/>
      <c r="D367" s="330"/>
      <c r="E367" s="330"/>
      <c r="F367" s="330"/>
      <c r="G367" s="330"/>
      <c r="H367" s="330"/>
      <c r="I367" s="330"/>
      <c r="J367" s="330"/>
      <c r="K367" s="330"/>
      <c r="L367" s="330"/>
      <c r="M367" s="330"/>
      <c r="N367" s="330"/>
      <c r="O367" s="330"/>
      <c r="P367" s="330"/>
      <c r="Q367" s="330"/>
      <c r="R367" s="330"/>
      <c r="S367" s="330"/>
      <c r="T367" s="330"/>
      <c r="U367" s="330"/>
      <c r="V367" s="330"/>
      <c r="W367" s="330"/>
      <c r="X367" s="330"/>
      <c r="Y367" s="330"/>
      <c r="Z367" s="619"/>
      <c r="AA367" s="619"/>
      <c r="AB367" s="619"/>
      <c r="AC367" s="619"/>
      <c r="AD367" s="60"/>
    </row>
    <row r="368" spans="1:30" x14ac:dyDescent="0.25">
      <c r="A368" s="443"/>
      <c r="B368" s="443"/>
      <c r="C368" s="443"/>
      <c r="D368" s="330"/>
      <c r="E368" s="330"/>
      <c r="F368" s="330"/>
      <c r="G368" s="330"/>
      <c r="H368" s="330"/>
      <c r="I368" s="330"/>
      <c r="J368" s="330"/>
      <c r="K368" s="330"/>
      <c r="L368" s="330"/>
      <c r="M368" s="330"/>
      <c r="N368" s="330"/>
      <c r="O368" s="330"/>
      <c r="P368" s="330"/>
      <c r="Q368" s="330"/>
      <c r="R368" s="330"/>
      <c r="S368" s="330"/>
      <c r="T368" s="330"/>
      <c r="U368" s="330"/>
      <c r="V368" s="330"/>
      <c r="W368" s="330"/>
      <c r="X368" s="330"/>
      <c r="Y368" s="330"/>
      <c r="Z368" s="619"/>
      <c r="AA368" s="619"/>
      <c r="AB368" s="619"/>
      <c r="AC368" s="619"/>
      <c r="AD368" s="60"/>
    </row>
    <row r="369" spans="1:30" x14ac:dyDescent="0.25">
      <c r="A369" s="443"/>
      <c r="B369" s="443"/>
      <c r="C369" s="443"/>
      <c r="D369" s="330"/>
      <c r="E369" s="330"/>
      <c r="F369" s="330"/>
      <c r="G369" s="330"/>
      <c r="H369" s="330"/>
      <c r="I369" s="330"/>
      <c r="J369" s="330"/>
      <c r="K369" s="330"/>
      <c r="L369" s="330"/>
      <c r="M369" s="330"/>
      <c r="N369" s="330"/>
      <c r="O369" s="330"/>
      <c r="P369" s="330"/>
      <c r="Q369" s="330"/>
      <c r="R369" s="330"/>
      <c r="S369" s="330"/>
      <c r="T369" s="330"/>
      <c r="U369" s="330"/>
      <c r="V369" s="330"/>
      <c r="W369" s="330"/>
      <c r="X369" s="330"/>
      <c r="Y369" s="330"/>
      <c r="Z369" s="619"/>
      <c r="AA369" s="619"/>
      <c r="AB369" s="619"/>
      <c r="AC369" s="619"/>
      <c r="AD369" s="60"/>
    </row>
    <row r="370" spans="1:30" x14ac:dyDescent="0.25">
      <c r="A370" s="443"/>
      <c r="B370" s="443"/>
      <c r="C370" s="443"/>
      <c r="D370" s="330"/>
      <c r="E370" s="330"/>
      <c r="F370" s="330"/>
      <c r="G370" s="330"/>
      <c r="H370" s="330"/>
      <c r="I370" s="330"/>
      <c r="J370" s="330"/>
      <c r="K370" s="330"/>
      <c r="L370" s="330"/>
      <c r="M370" s="330"/>
      <c r="N370" s="330"/>
      <c r="O370" s="330"/>
      <c r="P370" s="330"/>
      <c r="Q370" s="330"/>
      <c r="R370" s="330"/>
      <c r="S370" s="330"/>
      <c r="T370" s="330"/>
      <c r="U370" s="330"/>
      <c r="V370" s="330"/>
      <c r="W370" s="330"/>
      <c r="X370" s="330"/>
      <c r="Y370" s="330"/>
      <c r="Z370" s="619"/>
      <c r="AA370" s="619"/>
      <c r="AB370" s="619"/>
      <c r="AC370" s="619"/>
      <c r="AD370" s="60"/>
    </row>
    <row r="371" spans="1:30" x14ac:dyDescent="0.25">
      <c r="A371" s="443"/>
      <c r="B371" s="443"/>
      <c r="C371" s="443"/>
      <c r="D371" s="330"/>
      <c r="E371" s="330"/>
      <c r="F371" s="330"/>
      <c r="G371" s="330"/>
      <c r="H371" s="330"/>
      <c r="I371" s="330"/>
      <c r="J371" s="330"/>
      <c r="K371" s="330"/>
      <c r="L371" s="330"/>
      <c r="M371" s="330"/>
      <c r="N371" s="330"/>
      <c r="O371" s="330"/>
      <c r="P371" s="330"/>
      <c r="Q371" s="330"/>
      <c r="R371" s="330"/>
      <c r="S371" s="330"/>
      <c r="T371" s="330"/>
      <c r="U371" s="330"/>
      <c r="V371" s="330"/>
      <c r="W371" s="330"/>
      <c r="X371" s="330"/>
      <c r="Y371" s="330"/>
      <c r="Z371" s="619"/>
      <c r="AA371" s="619"/>
      <c r="AB371" s="619"/>
      <c r="AC371" s="619"/>
      <c r="AD371" s="60"/>
    </row>
    <row r="372" spans="1:30" x14ac:dyDescent="0.25">
      <c r="A372" s="443"/>
      <c r="B372" s="443"/>
      <c r="C372" s="443"/>
      <c r="D372" s="330"/>
      <c r="E372" s="330"/>
      <c r="F372" s="330"/>
      <c r="G372" s="330"/>
      <c r="H372" s="330"/>
      <c r="I372" s="330"/>
      <c r="J372" s="330"/>
      <c r="K372" s="330"/>
      <c r="L372" s="330"/>
      <c r="M372" s="330"/>
      <c r="N372" s="330"/>
      <c r="O372" s="330"/>
      <c r="P372" s="330"/>
      <c r="Q372" s="330"/>
      <c r="R372" s="330"/>
      <c r="S372" s="330"/>
      <c r="T372" s="330"/>
      <c r="U372" s="330"/>
      <c r="V372" s="330"/>
      <c r="W372" s="330"/>
      <c r="X372" s="330"/>
      <c r="Y372" s="330"/>
      <c r="Z372" s="619"/>
      <c r="AA372" s="619"/>
      <c r="AB372" s="619"/>
      <c r="AC372" s="619"/>
      <c r="AD372" s="60"/>
    </row>
    <row r="373" spans="1:30" x14ac:dyDescent="0.25">
      <c r="A373" s="443"/>
      <c r="B373" s="443"/>
      <c r="C373" s="443"/>
      <c r="D373" s="330"/>
      <c r="E373" s="330"/>
      <c r="F373" s="330"/>
      <c r="G373" s="330"/>
      <c r="H373" s="330"/>
      <c r="I373" s="330"/>
      <c r="J373" s="330"/>
      <c r="K373" s="330"/>
      <c r="L373" s="330"/>
      <c r="M373" s="330"/>
      <c r="N373" s="330"/>
      <c r="O373" s="330"/>
      <c r="P373" s="330"/>
      <c r="Q373" s="330"/>
      <c r="R373" s="330"/>
      <c r="S373" s="330"/>
      <c r="T373" s="330"/>
      <c r="U373" s="330"/>
      <c r="V373" s="330"/>
      <c r="W373" s="330"/>
      <c r="X373" s="330"/>
      <c r="Y373" s="330"/>
      <c r="Z373" s="619"/>
      <c r="AA373" s="619"/>
      <c r="AB373" s="619"/>
      <c r="AC373" s="619"/>
      <c r="AD373" s="60"/>
    </row>
    <row r="374" spans="1:30" x14ac:dyDescent="0.25">
      <c r="A374" s="443"/>
      <c r="B374" s="443"/>
      <c r="C374" s="443"/>
      <c r="D374" s="330"/>
      <c r="E374" s="330"/>
      <c r="F374" s="330"/>
      <c r="G374" s="330"/>
      <c r="H374" s="330"/>
      <c r="I374" s="330"/>
      <c r="J374" s="330"/>
      <c r="K374" s="330"/>
      <c r="L374" s="330"/>
      <c r="M374" s="330"/>
      <c r="N374" s="330"/>
      <c r="O374" s="330"/>
      <c r="P374" s="330"/>
      <c r="Q374" s="330"/>
      <c r="R374" s="330"/>
      <c r="S374" s="330"/>
      <c r="T374" s="330"/>
      <c r="U374" s="330"/>
      <c r="V374" s="330"/>
      <c r="W374" s="330"/>
      <c r="X374" s="330"/>
      <c r="Y374" s="330"/>
      <c r="Z374" s="619"/>
      <c r="AA374" s="619"/>
      <c r="AB374" s="619"/>
      <c r="AC374" s="619"/>
      <c r="AD374" s="60"/>
    </row>
    <row r="375" spans="1:30" x14ac:dyDescent="0.25">
      <c r="A375" s="443"/>
      <c r="B375" s="443"/>
      <c r="C375" s="443"/>
      <c r="D375" s="330"/>
      <c r="E375" s="330"/>
      <c r="F375" s="330"/>
      <c r="G375" s="330"/>
      <c r="H375" s="330"/>
      <c r="I375" s="330"/>
      <c r="J375" s="330"/>
      <c r="K375" s="330"/>
      <c r="L375" s="330"/>
      <c r="M375" s="330"/>
      <c r="N375" s="330"/>
      <c r="O375" s="330"/>
      <c r="P375" s="330"/>
      <c r="Q375" s="330"/>
      <c r="R375" s="330"/>
      <c r="S375" s="330"/>
      <c r="T375" s="330"/>
      <c r="U375" s="330"/>
      <c r="V375" s="330"/>
      <c r="W375" s="330"/>
      <c r="X375" s="330"/>
      <c r="Y375" s="330"/>
      <c r="Z375" s="619"/>
      <c r="AA375" s="619"/>
      <c r="AB375" s="619"/>
      <c r="AC375" s="619"/>
      <c r="AD375" s="60"/>
    </row>
    <row r="376" spans="1:30" x14ac:dyDescent="0.25">
      <c r="A376" s="443"/>
      <c r="B376" s="443"/>
      <c r="C376" s="443"/>
      <c r="D376" s="330"/>
      <c r="E376" s="330"/>
      <c r="F376" s="330"/>
      <c r="G376" s="330"/>
      <c r="H376" s="330"/>
      <c r="I376" s="330"/>
      <c r="J376" s="330"/>
      <c r="K376" s="330"/>
      <c r="L376" s="330"/>
      <c r="M376" s="330"/>
      <c r="N376" s="330"/>
      <c r="O376" s="330"/>
      <c r="P376" s="330"/>
      <c r="Q376" s="330"/>
      <c r="R376" s="330"/>
      <c r="S376" s="330"/>
      <c r="T376" s="330"/>
      <c r="U376" s="330"/>
      <c r="V376" s="330"/>
      <c r="W376" s="330"/>
      <c r="X376" s="330"/>
      <c r="Y376" s="330"/>
      <c r="Z376" s="619"/>
      <c r="AA376" s="619"/>
      <c r="AB376" s="619"/>
      <c r="AC376" s="619"/>
      <c r="AD376" s="60"/>
    </row>
    <row r="377" spans="1:30" x14ac:dyDescent="0.25">
      <c r="A377" s="443"/>
      <c r="B377" s="443"/>
      <c r="C377" s="443"/>
      <c r="D377" s="330"/>
      <c r="E377" s="330"/>
      <c r="F377" s="330"/>
      <c r="G377" s="330"/>
      <c r="H377" s="330"/>
      <c r="I377" s="330"/>
      <c r="J377" s="330"/>
      <c r="K377" s="330"/>
      <c r="L377" s="330"/>
      <c r="M377" s="330"/>
      <c r="N377" s="330"/>
      <c r="O377" s="330"/>
      <c r="P377" s="330"/>
      <c r="Q377" s="330"/>
      <c r="R377" s="330"/>
      <c r="S377" s="330"/>
      <c r="T377" s="330"/>
      <c r="U377" s="330"/>
      <c r="V377" s="330"/>
      <c r="W377" s="330"/>
      <c r="X377" s="330"/>
      <c r="Y377" s="330"/>
      <c r="Z377" s="619"/>
      <c r="AA377" s="619"/>
      <c r="AB377" s="619"/>
      <c r="AC377" s="619"/>
      <c r="AD377" s="60"/>
    </row>
    <row r="378" spans="1:30" x14ac:dyDescent="0.25">
      <c r="A378" s="443"/>
      <c r="B378" s="443"/>
      <c r="C378" s="443"/>
      <c r="D378" s="330"/>
      <c r="E378" s="330"/>
      <c r="F378" s="330"/>
      <c r="G378" s="330"/>
      <c r="H378" s="330"/>
      <c r="I378" s="330"/>
      <c r="J378" s="330"/>
      <c r="K378" s="330"/>
      <c r="L378" s="330"/>
      <c r="M378" s="330"/>
      <c r="N378" s="330"/>
      <c r="O378" s="330"/>
      <c r="P378" s="330"/>
      <c r="Q378" s="330"/>
      <c r="R378" s="330"/>
      <c r="S378" s="330"/>
      <c r="T378" s="330"/>
      <c r="U378" s="330"/>
      <c r="V378" s="330"/>
      <c r="W378" s="330"/>
      <c r="X378" s="330"/>
      <c r="Y378" s="330"/>
      <c r="Z378" s="619"/>
      <c r="AA378" s="619"/>
      <c r="AB378" s="619"/>
      <c r="AC378" s="619"/>
      <c r="AD378" s="60"/>
    </row>
    <row r="379" spans="1:30" x14ac:dyDescent="0.25">
      <c r="A379" s="443"/>
      <c r="B379" s="443"/>
      <c r="C379" s="443"/>
      <c r="D379" s="330"/>
      <c r="E379" s="330"/>
      <c r="F379" s="330"/>
      <c r="G379" s="330"/>
      <c r="H379" s="330"/>
      <c r="I379" s="330"/>
      <c r="J379" s="330"/>
      <c r="K379" s="330"/>
      <c r="L379" s="330"/>
      <c r="M379" s="330"/>
      <c r="N379" s="330"/>
      <c r="O379" s="330"/>
      <c r="P379" s="330"/>
      <c r="Q379" s="330"/>
      <c r="R379" s="330"/>
      <c r="S379" s="330"/>
      <c r="T379" s="330"/>
      <c r="U379" s="330"/>
      <c r="V379" s="330"/>
      <c r="W379" s="330"/>
      <c r="X379" s="330"/>
      <c r="Y379" s="330"/>
      <c r="Z379" s="619"/>
      <c r="AA379" s="619"/>
      <c r="AB379" s="619"/>
      <c r="AC379" s="619"/>
      <c r="AD379" s="60"/>
    </row>
    <row r="380" spans="1:30" x14ac:dyDescent="0.25">
      <c r="A380" s="443"/>
      <c r="B380" s="443"/>
      <c r="C380" s="443"/>
      <c r="D380" s="330"/>
      <c r="E380" s="330"/>
      <c r="F380" s="330"/>
      <c r="G380" s="330"/>
      <c r="H380" s="330"/>
      <c r="I380" s="330"/>
      <c r="J380" s="330"/>
      <c r="K380" s="330"/>
      <c r="L380" s="330"/>
      <c r="M380" s="330"/>
      <c r="N380" s="330"/>
      <c r="O380" s="330"/>
      <c r="P380" s="330"/>
      <c r="Q380" s="330"/>
      <c r="R380" s="330"/>
      <c r="S380" s="330"/>
      <c r="T380" s="330"/>
      <c r="U380" s="330"/>
      <c r="V380" s="330"/>
      <c r="W380" s="330"/>
      <c r="X380" s="330"/>
      <c r="Y380" s="330"/>
      <c r="Z380" s="619"/>
      <c r="AA380" s="619"/>
      <c r="AB380" s="619"/>
      <c r="AC380" s="619"/>
      <c r="AD380" s="60"/>
    </row>
    <row r="381" spans="1:30" x14ac:dyDescent="0.25">
      <c r="A381" s="443"/>
      <c r="B381" s="443"/>
      <c r="C381" s="443"/>
      <c r="D381" s="330"/>
      <c r="E381" s="330"/>
      <c r="F381" s="330"/>
      <c r="G381" s="330"/>
      <c r="H381" s="330"/>
      <c r="I381" s="330"/>
      <c r="J381" s="330"/>
      <c r="K381" s="330"/>
      <c r="L381" s="330"/>
      <c r="M381" s="330"/>
      <c r="N381" s="330"/>
      <c r="O381" s="330"/>
      <c r="P381" s="330"/>
      <c r="Q381" s="330"/>
      <c r="R381" s="330"/>
      <c r="S381" s="330"/>
      <c r="T381" s="330"/>
      <c r="U381" s="330"/>
      <c r="V381" s="330"/>
      <c r="W381" s="330"/>
      <c r="X381" s="330"/>
      <c r="Y381" s="330"/>
      <c r="Z381" s="619"/>
      <c r="AA381" s="619"/>
      <c r="AB381" s="619"/>
      <c r="AC381" s="619"/>
      <c r="AD381" s="60"/>
    </row>
    <row r="382" spans="1:30" x14ac:dyDescent="0.25">
      <c r="A382" s="443"/>
      <c r="B382" s="443"/>
      <c r="C382" s="443"/>
      <c r="D382" s="330"/>
      <c r="E382" s="330"/>
      <c r="F382" s="330"/>
      <c r="G382" s="330"/>
      <c r="H382" s="330"/>
      <c r="I382" s="330"/>
      <c r="J382" s="330"/>
      <c r="K382" s="330"/>
      <c r="L382" s="330"/>
      <c r="M382" s="330"/>
      <c r="N382" s="330"/>
      <c r="O382" s="330"/>
      <c r="P382" s="330"/>
      <c r="Q382" s="330"/>
      <c r="R382" s="330"/>
      <c r="S382" s="330"/>
      <c r="T382" s="330"/>
      <c r="U382" s="330"/>
      <c r="V382" s="330"/>
      <c r="W382" s="330"/>
      <c r="X382" s="330"/>
      <c r="Y382" s="330"/>
      <c r="Z382" s="619"/>
      <c r="AA382" s="619"/>
      <c r="AB382" s="619"/>
      <c r="AC382" s="619"/>
      <c r="AD382" s="60"/>
    </row>
    <row r="383" spans="1:30" x14ac:dyDescent="0.25">
      <c r="A383" s="443"/>
      <c r="B383" s="443"/>
      <c r="C383" s="443"/>
      <c r="D383" s="330"/>
      <c r="E383" s="330"/>
      <c r="F383" s="330"/>
      <c r="G383" s="330"/>
      <c r="H383" s="330"/>
      <c r="I383" s="330"/>
      <c r="J383" s="330"/>
      <c r="K383" s="330"/>
      <c r="L383" s="330"/>
      <c r="M383" s="330"/>
      <c r="N383" s="330"/>
      <c r="O383" s="330"/>
      <c r="P383" s="330"/>
      <c r="Q383" s="330"/>
      <c r="R383" s="330"/>
      <c r="S383" s="330"/>
      <c r="T383" s="330"/>
      <c r="U383" s="330"/>
      <c r="V383" s="330"/>
      <c r="W383" s="330"/>
      <c r="X383" s="330"/>
      <c r="Y383" s="330"/>
      <c r="Z383" s="619"/>
      <c r="AA383" s="619"/>
      <c r="AB383" s="619"/>
      <c r="AC383" s="619"/>
      <c r="AD383" s="60"/>
    </row>
    <row r="384" spans="1:30" x14ac:dyDescent="0.25">
      <c r="A384" s="443"/>
      <c r="B384" s="443"/>
      <c r="C384" s="443"/>
      <c r="D384" s="330"/>
      <c r="E384" s="330"/>
      <c r="F384" s="330"/>
      <c r="G384" s="330"/>
      <c r="H384" s="330"/>
      <c r="I384" s="330"/>
      <c r="J384" s="330"/>
      <c r="K384" s="330"/>
      <c r="L384" s="330"/>
      <c r="M384" s="330"/>
      <c r="N384" s="330"/>
      <c r="O384" s="330"/>
      <c r="P384" s="330"/>
      <c r="Q384" s="330"/>
      <c r="R384" s="330"/>
      <c r="S384" s="330"/>
      <c r="T384" s="330"/>
      <c r="U384" s="330"/>
      <c r="V384" s="330"/>
      <c r="W384" s="330"/>
      <c r="X384" s="330"/>
      <c r="Y384" s="330"/>
      <c r="Z384" s="619"/>
      <c r="AA384" s="619"/>
      <c r="AB384" s="619"/>
      <c r="AC384" s="619"/>
      <c r="AD384" s="60"/>
    </row>
    <row r="385" spans="1:30" x14ac:dyDescent="0.25">
      <c r="A385" s="443"/>
      <c r="B385" s="443"/>
      <c r="C385" s="443"/>
      <c r="D385" s="330"/>
      <c r="E385" s="330"/>
      <c r="F385" s="330"/>
      <c r="G385" s="330"/>
      <c r="H385" s="330"/>
      <c r="I385" s="330"/>
      <c r="J385" s="330"/>
      <c r="K385" s="330"/>
      <c r="L385" s="330"/>
      <c r="M385" s="330"/>
      <c r="N385" s="330"/>
      <c r="O385" s="330"/>
      <c r="P385" s="330"/>
      <c r="Q385" s="330"/>
      <c r="R385" s="330"/>
      <c r="S385" s="330"/>
      <c r="T385" s="330"/>
      <c r="U385" s="330"/>
      <c r="V385" s="330"/>
      <c r="W385" s="330"/>
      <c r="X385" s="330"/>
      <c r="Y385" s="330"/>
      <c r="Z385" s="619"/>
      <c r="AA385" s="619"/>
      <c r="AB385" s="619"/>
      <c r="AC385" s="619"/>
      <c r="AD385" s="60"/>
    </row>
    <row r="386" spans="1:30" x14ac:dyDescent="0.25">
      <c r="A386" s="443"/>
      <c r="B386" s="443"/>
      <c r="C386" s="443"/>
      <c r="D386" s="330"/>
      <c r="E386" s="330"/>
      <c r="F386" s="330"/>
      <c r="G386" s="330"/>
      <c r="H386" s="330"/>
      <c r="I386" s="330"/>
      <c r="J386" s="330"/>
      <c r="K386" s="330"/>
      <c r="L386" s="330"/>
      <c r="M386" s="330"/>
      <c r="N386" s="330"/>
      <c r="O386" s="330"/>
      <c r="P386" s="330"/>
      <c r="Q386" s="330"/>
      <c r="R386" s="330"/>
      <c r="S386" s="330"/>
      <c r="T386" s="330"/>
      <c r="U386" s="330"/>
      <c r="V386" s="330"/>
      <c r="W386" s="330"/>
      <c r="X386" s="330"/>
      <c r="Y386" s="330"/>
      <c r="Z386" s="619"/>
      <c r="AA386" s="619"/>
      <c r="AB386" s="619"/>
      <c r="AC386" s="619"/>
      <c r="AD386" s="60"/>
    </row>
    <row r="387" spans="1:30" x14ac:dyDescent="0.25">
      <c r="A387" s="443"/>
      <c r="B387" s="443"/>
      <c r="C387" s="443"/>
      <c r="D387" s="330"/>
      <c r="E387" s="330"/>
      <c r="F387" s="330"/>
      <c r="G387" s="330"/>
      <c r="H387" s="330"/>
      <c r="I387" s="330"/>
      <c r="J387" s="330"/>
      <c r="K387" s="330"/>
      <c r="L387" s="330"/>
      <c r="M387" s="330"/>
      <c r="N387" s="330"/>
      <c r="O387" s="330"/>
      <c r="P387" s="330"/>
      <c r="Q387" s="330"/>
      <c r="R387" s="330"/>
      <c r="S387" s="330"/>
      <c r="T387" s="330"/>
      <c r="U387" s="330"/>
      <c r="V387" s="330"/>
      <c r="W387" s="330"/>
      <c r="X387" s="330"/>
      <c r="Y387" s="330"/>
      <c r="Z387" s="619"/>
      <c r="AA387" s="619"/>
      <c r="AB387" s="619"/>
      <c r="AC387" s="619"/>
      <c r="AD387" s="60"/>
    </row>
    <row r="388" spans="1:30" x14ac:dyDescent="0.25">
      <c r="A388" s="443"/>
      <c r="B388" s="443"/>
      <c r="C388" s="443"/>
      <c r="D388" s="330"/>
      <c r="E388" s="330"/>
      <c r="F388" s="330"/>
      <c r="G388" s="330"/>
      <c r="H388" s="330"/>
      <c r="I388" s="330"/>
      <c r="J388" s="330"/>
      <c r="K388" s="330"/>
      <c r="L388" s="330"/>
      <c r="M388" s="330"/>
      <c r="N388" s="330"/>
      <c r="O388" s="330"/>
      <c r="P388" s="330"/>
      <c r="Q388" s="330"/>
      <c r="R388" s="330"/>
      <c r="S388" s="330"/>
      <c r="T388" s="330"/>
      <c r="U388" s="330"/>
      <c r="V388" s="330"/>
      <c r="W388" s="330"/>
      <c r="X388" s="330"/>
      <c r="Y388" s="330"/>
      <c r="Z388" s="619"/>
      <c r="AA388" s="619"/>
      <c r="AB388" s="619"/>
      <c r="AC388" s="619"/>
      <c r="AD388" s="60"/>
    </row>
    <row r="389" spans="1:30" x14ac:dyDescent="0.25">
      <c r="A389" s="443"/>
      <c r="B389" s="443"/>
      <c r="C389" s="443"/>
      <c r="D389" s="330"/>
      <c r="E389" s="330"/>
      <c r="F389" s="330"/>
      <c r="G389" s="330"/>
      <c r="H389" s="330"/>
      <c r="I389" s="330"/>
      <c r="J389" s="330"/>
      <c r="K389" s="330"/>
      <c r="L389" s="330"/>
      <c r="M389" s="330"/>
      <c r="N389" s="330"/>
      <c r="O389" s="330"/>
      <c r="P389" s="330"/>
      <c r="Q389" s="330"/>
      <c r="R389" s="330"/>
      <c r="S389" s="330"/>
      <c r="T389" s="330"/>
      <c r="U389" s="330"/>
      <c r="V389" s="330"/>
      <c r="W389" s="330"/>
      <c r="X389" s="330"/>
      <c r="Y389" s="330"/>
      <c r="Z389" s="619"/>
      <c r="AA389" s="619"/>
      <c r="AB389" s="619"/>
      <c r="AC389" s="619"/>
      <c r="AD389" s="60"/>
    </row>
    <row r="390" spans="1:30" x14ac:dyDescent="0.25">
      <c r="A390" s="443"/>
      <c r="B390" s="443"/>
      <c r="C390" s="443"/>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619"/>
      <c r="AA390" s="619"/>
      <c r="AB390" s="619"/>
      <c r="AC390" s="619"/>
      <c r="AD390" s="60"/>
    </row>
    <row r="391" spans="1:30" x14ac:dyDescent="0.25">
      <c r="A391" s="443"/>
      <c r="B391" s="443"/>
      <c r="C391" s="443"/>
      <c r="D391" s="330"/>
      <c r="E391" s="330"/>
      <c r="F391" s="330"/>
      <c r="G391" s="330"/>
      <c r="H391" s="330"/>
      <c r="I391" s="330"/>
      <c r="J391" s="330"/>
      <c r="K391" s="330"/>
      <c r="L391" s="330"/>
      <c r="M391" s="330"/>
      <c r="N391" s="330"/>
      <c r="O391" s="330"/>
      <c r="P391" s="330"/>
      <c r="Q391" s="330"/>
      <c r="R391" s="330"/>
      <c r="S391" s="330"/>
      <c r="T391" s="330"/>
      <c r="U391" s="330"/>
      <c r="V391" s="330"/>
      <c r="W391" s="330"/>
      <c r="X391" s="330"/>
      <c r="Y391" s="330"/>
      <c r="Z391" s="619"/>
      <c r="AA391" s="619"/>
      <c r="AB391" s="619"/>
      <c r="AC391" s="619"/>
      <c r="AD391" s="60"/>
    </row>
    <row r="392" spans="1:30" x14ac:dyDescent="0.25">
      <c r="A392" s="443"/>
      <c r="B392" s="443"/>
      <c r="C392" s="443"/>
      <c r="D392" s="330"/>
      <c r="E392" s="330"/>
      <c r="F392" s="330"/>
      <c r="G392" s="330"/>
      <c r="H392" s="330"/>
      <c r="I392" s="330"/>
      <c r="J392" s="330"/>
      <c r="K392" s="330"/>
      <c r="L392" s="330"/>
      <c r="M392" s="330"/>
      <c r="N392" s="330"/>
      <c r="O392" s="330"/>
      <c r="P392" s="330"/>
      <c r="Q392" s="330"/>
      <c r="R392" s="330"/>
      <c r="S392" s="330"/>
      <c r="T392" s="330"/>
      <c r="U392" s="330"/>
      <c r="V392" s="330"/>
      <c r="W392" s="330"/>
      <c r="X392" s="330"/>
      <c r="Y392" s="330"/>
      <c r="Z392" s="619"/>
      <c r="AA392" s="619"/>
      <c r="AB392" s="619"/>
      <c r="AC392" s="619"/>
      <c r="AD392" s="60"/>
    </row>
    <row r="393" spans="1:30" x14ac:dyDescent="0.25">
      <c r="A393" s="443"/>
      <c r="B393" s="443"/>
      <c r="C393" s="443"/>
      <c r="D393" s="330"/>
      <c r="E393" s="330"/>
      <c r="F393" s="330"/>
      <c r="G393" s="330"/>
      <c r="H393" s="330"/>
      <c r="I393" s="330"/>
      <c r="J393" s="330"/>
      <c r="K393" s="330"/>
      <c r="L393" s="330"/>
      <c r="M393" s="330"/>
      <c r="N393" s="330"/>
      <c r="O393" s="330"/>
      <c r="P393" s="330"/>
      <c r="Q393" s="330"/>
      <c r="R393" s="330"/>
      <c r="S393" s="330"/>
      <c r="T393" s="330"/>
      <c r="U393" s="330"/>
      <c r="V393" s="330"/>
      <c r="W393" s="330"/>
      <c r="X393" s="330"/>
      <c r="Y393" s="330"/>
      <c r="Z393" s="619"/>
      <c r="AA393" s="619"/>
      <c r="AB393" s="619"/>
      <c r="AC393" s="619"/>
      <c r="AD393" s="60"/>
    </row>
    <row r="394" spans="1:30" x14ac:dyDescent="0.25">
      <c r="A394" s="443"/>
      <c r="B394" s="443"/>
      <c r="C394" s="443"/>
      <c r="D394" s="330"/>
      <c r="E394" s="330"/>
      <c r="F394" s="330"/>
      <c r="G394" s="330"/>
      <c r="H394" s="330"/>
      <c r="I394" s="330"/>
      <c r="J394" s="330"/>
      <c r="K394" s="330"/>
      <c r="L394" s="330"/>
      <c r="M394" s="330"/>
      <c r="N394" s="330"/>
      <c r="O394" s="330"/>
      <c r="P394" s="330"/>
      <c r="Q394" s="330"/>
      <c r="R394" s="330"/>
      <c r="S394" s="330"/>
      <c r="T394" s="330"/>
      <c r="U394" s="330"/>
      <c r="V394" s="330"/>
      <c r="W394" s="330"/>
      <c r="X394" s="330"/>
      <c r="Y394" s="330"/>
      <c r="Z394" s="619"/>
      <c r="AA394" s="619"/>
      <c r="AB394" s="619"/>
      <c r="AC394" s="619"/>
      <c r="AD394" s="60"/>
    </row>
    <row r="395" spans="1:30" x14ac:dyDescent="0.25">
      <c r="A395" s="443"/>
      <c r="B395" s="443"/>
      <c r="C395" s="443"/>
      <c r="D395" s="330"/>
      <c r="E395" s="330"/>
      <c r="F395" s="330"/>
      <c r="G395" s="330"/>
      <c r="H395" s="330"/>
      <c r="I395" s="330"/>
      <c r="J395" s="330"/>
      <c r="K395" s="330"/>
      <c r="L395" s="330"/>
      <c r="M395" s="330"/>
      <c r="N395" s="330"/>
      <c r="O395" s="330"/>
      <c r="P395" s="330"/>
      <c r="Q395" s="330"/>
      <c r="R395" s="330"/>
      <c r="S395" s="330"/>
      <c r="T395" s="330"/>
      <c r="U395" s="330"/>
      <c r="V395" s="330"/>
      <c r="W395" s="330"/>
      <c r="X395" s="330"/>
      <c r="Y395" s="330"/>
      <c r="Z395" s="619"/>
      <c r="AA395" s="619"/>
      <c r="AB395" s="619"/>
      <c r="AC395" s="619"/>
      <c r="AD395" s="60"/>
    </row>
    <row r="396" spans="1:30" x14ac:dyDescent="0.25">
      <c r="A396" s="443"/>
      <c r="B396" s="443"/>
      <c r="C396" s="443"/>
      <c r="D396" s="330"/>
      <c r="E396" s="330"/>
      <c r="F396" s="330"/>
      <c r="G396" s="330"/>
      <c r="H396" s="330"/>
      <c r="I396" s="330"/>
      <c r="J396" s="330"/>
      <c r="K396" s="330"/>
      <c r="L396" s="330"/>
      <c r="M396" s="330"/>
      <c r="N396" s="330"/>
      <c r="O396" s="330"/>
      <c r="P396" s="330"/>
      <c r="Q396" s="330"/>
      <c r="R396" s="330"/>
      <c r="S396" s="330"/>
      <c r="T396" s="330"/>
      <c r="U396" s="330"/>
      <c r="V396" s="330"/>
      <c r="W396" s="330"/>
      <c r="X396" s="330"/>
      <c r="Y396" s="330"/>
      <c r="Z396" s="619"/>
      <c r="AA396" s="619"/>
      <c r="AB396" s="619"/>
      <c r="AC396" s="619"/>
      <c r="AD396" s="60"/>
    </row>
    <row r="397" spans="1:30" x14ac:dyDescent="0.25">
      <c r="A397" s="443"/>
      <c r="B397" s="443"/>
      <c r="C397" s="443"/>
      <c r="D397" s="330"/>
      <c r="E397" s="330"/>
      <c r="F397" s="330"/>
      <c r="G397" s="330"/>
      <c r="H397" s="330"/>
      <c r="I397" s="330"/>
      <c r="J397" s="330"/>
      <c r="K397" s="330"/>
      <c r="L397" s="330"/>
      <c r="M397" s="330"/>
      <c r="N397" s="330"/>
      <c r="O397" s="330"/>
      <c r="P397" s="330"/>
      <c r="Q397" s="330"/>
      <c r="R397" s="330"/>
      <c r="S397" s="330"/>
      <c r="T397" s="330"/>
      <c r="U397" s="330"/>
      <c r="V397" s="330"/>
      <c r="W397" s="330"/>
      <c r="X397" s="330"/>
      <c r="Y397" s="330"/>
      <c r="Z397" s="619"/>
      <c r="AA397" s="619"/>
      <c r="AB397" s="619"/>
      <c r="AC397" s="619"/>
      <c r="AD397" s="60"/>
    </row>
    <row r="398" spans="1:30" x14ac:dyDescent="0.25">
      <c r="A398" s="443"/>
      <c r="B398" s="443"/>
      <c r="C398" s="443"/>
      <c r="D398" s="330"/>
      <c r="E398" s="330"/>
      <c r="F398" s="330"/>
      <c r="G398" s="330"/>
      <c r="H398" s="330"/>
      <c r="I398" s="330"/>
      <c r="J398" s="330"/>
      <c r="K398" s="330"/>
      <c r="L398" s="330"/>
      <c r="M398" s="330"/>
      <c r="N398" s="330"/>
      <c r="O398" s="330"/>
      <c r="P398" s="330"/>
      <c r="Q398" s="330"/>
      <c r="R398" s="330"/>
      <c r="S398" s="330"/>
      <c r="T398" s="330"/>
      <c r="U398" s="330"/>
      <c r="V398" s="330"/>
      <c r="W398" s="330"/>
      <c r="X398" s="330"/>
      <c r="Y398" s="330"/>
      <c r="Z398" s="619"/>
      <c r="AA398" s="619"/>
      <c r="AB398" s="619"/>
      <c r="AC398" s="619"/>
      <c r="AD398" s="60"/>
    </row>
    <row r="399" spans="1:30" x14ac:dyDescent="0.25">
      <c r="A399" s="443"/>
      <c r="B399" s="443"/>
      <c r="C399" s="443"/>
      <c r="D399" s="330"/>
      <c r="E399" s="330"/>
      <c r="F399" s="330"/>
      <c r="G399" s="330"/>
      <c r="H399" s="330"/>
      <c r="I399" s="330"/>
      <c r="J399" s="330"/>
      <c r="K399" s="330"/>
      <c r="L399" s="330"/>
      <c r="M399" s="330"/>
      <c r="N399" s="330"/>
      <c r="O399" s="330"/>
      <c r="P399" s="330"/>
      <c r="Q399" s="330"/>
      <c r="R399" s="330"/>
      <c r="S399" s="330"/>
      <c r="T399" s="330"/>
      <c r="U399" s="330"/>
      <c r="V399" s="330"/>
      <c r="W399" s="330"/>
      <c r="X399" s="330"/>
      <c r="Y399" s="330"/>
      <c r="Z399" s="619"/>
      <c r="AA399" s="619"/>
      <c r="AB399" s="619"/>
      <c r="AC399" s="619"/>
      <c r="AD399" s="60"/>
    </row>
    <row r="400" spans="1:30" x14ac:dyDescent="0.25">
      <c r="A400" s="443"/>
      <c r="B400" s="443"/>
      <c r="C400" s="443"/>
      <c r="D400" s="330"/>
      <c r="E400" s="330"/>
      <c r="F400" s="330"/>
      <c r="G400" s="330"/>
      <c r="H400" s="330"/>
      <c r="I400" s="330"/>
      <c r="J400" s="330"/>
      <c r="K400" s="330"/>
      <c r="L400" s="330"/>
      <c r="M400" s="330"/>
      <c r="N400" s="330"/>
      <c r="O400" s="330"/>
      <c r="P400" s="330"/>
      <c r="Q400" s="330"/>
      <c r="R400" s="330"/>
      <c r="S400" s="330"/>
      <c r="T400" s="330"/>
      <c r="U400" s="330"/>
      <c r="V400" s="330"/>
      <c r="W400" s="330"/>
      <c r="X400" s="330"/>
      <c r="Y400" s="330"/>
      <c r="Z400" s="619"/>
      <c r="AA400" s="619"/>
      <c r="AB400" s="619"/>
      <c r="AC400" s="619"/>
      <c r="AD400" s="60"/>
    </row>
    <row r="401" spans="1:30" x14ac:dyDescent="0.25">
      <c r="A401" s="443"/>
      <c r="B401" s="443"/>
      <c r="C401" s="443"/>
      <c r="D401" s="330"/>
      <c r="E401" s="330"/>
      <c r="F401" s="330"/>
      <c r="G401" s="330"/>
      <c r="H401" s="330"/>
      <c r="I401" s="330"/>
      <c r="J401" s="330"/>
      <c r="K401" s="330"/>
      <c r="L401" s="330"/>
      <c r="M401" s="330"/>
      <c r="N401" s="330"/>
      <c r="O401" s="330"/>
      <c r="P401" s="330"/>
      <c r="Q401" s="330"/>
      <c r="R401" s="330"/>
      <c r="S401" s="330"/>
      <c r="T401" s="330"/>
      <c r="U401" s="330"/>
      <c r="V401" s="330"/>
      <c r="W401" s="330"/>
      <c r="X401" s="330"/>
      <c r="Y401" s="330"/>
      <c r="Z401" s="619"/>
      <c r="AA401" s="619"/>
      <c r="AB401" s="619"/>
      <c r="AC401" s="619"/>
      <c r="AD401" s="60"/>
    </row>
    <row r="402" spans="1:30" x14ac:dyDescent="0.25">
      <c r="A402" s="443"/>
      <c r="B402" s="443"/>
      <c r="C402" s="443"/>
      <c r="D402" s="330"/>
      <c r="E402" s="330"/>
      <c r="F402" s="330"/>
      <c r="G402" s="330"/>
      <c r="H402" s="330"/>
      <c r="I402" s="330"/>
      <c r="J402" s="330"/>
      <c r="K402" s="330"/>
      <c r="L402" s="330"/>
      <c r="M402" s="330"/>
      <c r="N402" s="330"/>
      <c r="O402" s="330"/>
      <c r="P402" s="330"/>
      <c r="Q402" s="330"/>
      <c r="R402" s="330"/>
      <c r="S402" s="330"/>
      <c r="T402" s="330"/>
      <c r="U402" s="330"/>
      <c r="V402" s="330"/>
      <c r="W402" s="330"/>
      <c r="X402" s="330"/>
      <c r="Y402" s="330"/>
      <c r="Z402" s="619"/>
      <c r="AA402" s="619"/>
      <c r="AB402" s="619"/>
      <c r="AC402" s="619"/>
      <c r="AD402" s="60"/>
    </row>
    <row r="403" spans="1:30" x14ac:dyDescent="0.25">
      <c r="A403" s="443"/>
      <c r="B403" s="443"/>
      <c r="C403" s="443"/>
      <c r="D403" s="330"/>
      <c r="E403" s="330"/>
      <c r="F403" s="330"/>
      <c r="G403" s="330"/>
      <c r="H403" s="330"/>
      <c r="I403" s="330"/>
      <c r="J403" s="330"/>
      <c r="K403" s="330"/>
      <c r="L403" s="330"/>
      <c r="M403" s="330"/>
      <c r="N403" s="330"/>
      <c r="O403" s="330"/>
      <c r="P403" s="330"/>
      <c r="Q403" s="330"/>
      <c r="R403" s="330"/>
      <c r="S403" s="330"/>
      <c r="T403" s="330"/>
      <c r="U403" s="330"/>
      <c r="V403" s="330"/>
      <c r="W403" s="330"/>
      <c r="X403" s="330"/>
      <c r="Y403" s="330"/>
      <c r="Z403" s="619"/>
      <c r="AA403" s="619"/>
      <c r="AB403" s="619"/>
      <c r="AC403" s="619"/>
      <c r="AD403" s="60"/>
    </row>
    <row r="404" spans="1:30" x14ac:dyDescent="0.25">
      <c r="A404" s="443"/>
      <c r="B404" s="443"/>
      <c r="C404" s="443"/>
      <c r="D404" s="330"/>
      <c r="E404" s="330"/>
      <c r="F404" s="330"/>
      <c r="G404" s="330"/>
      <c r="H404" s="330"/>
      <c r="I404" s="330"/>
      <c r="J404" s="330"/>
      <c r="K404" s="330"/>
      <c r="L404" s="330"/>
      <c r="M404" s="330"/>
      <c r="N404" s="330"/>
      <c r="O404" s="330"/>
      <c r="P404" s="330"/>
      <c r="Q404" s="330"/>
      <c r="R404" s="330"/>
      <c r="S404" s="330"/>
      <c r="T404" s="330"/>
      <c r="U404" s="330"/>
      <c r="V404" s="330"/>
      <c r="W404" s="330"/>
      <c r="X404" s="330"/>
      <c r="Y404" s="330"/>
      <c r="Z404" s="619"/>
      <c r="AA404" s="619"/>
      <c r="AB404" s="619"/>
      <c r="AC404" s="619"/>
      <c r="AD404" s="60"/>
    </row>
    <row r="405" spans="1:30" x14ac:dyDescent="0.25">
      <c r="A405" s="443"/>
      <c r="B405" s="443"/>
      <c r="C405" s="443"/>
      <c r="D405" s="330"/>
      <c r="E405" s="330"/>
      <c r="F405" s="330"/>
      <c r="G405" s="330"/>
      <c r="H405" s="330"/>
      <c r="I405" s="330"/>
      <c r="J405" s="330"/>
      <c r="K405" s="330"/>
      <c r="L405" s="330"/>
      <c r="M405" s="330"/>
      <c r="N405" s="330"/>
      <c r="O405" s="330"/>
      <c r="P405" s="330"/>
      <c r="Q405" s="330"/>
      <c r="R405" s="330"/>
      <c r="S405" s="330"/>
      <c r="T405" s="330"/>
      <c r="U405" s="330"/>
      <c r="V405" s="330"/>
      <c r="W405" s="330"/>
      <c r="X405" s="330"/>
      <c r="Y405" s="330"/>
      <c r="Z405" s="619"/>
      <c r="AA405" s="619"/>
      <c r="AB405" s="619"/>
      <c r="AC405" s="619"/>
      <c r="AD405" s="60"/>
    </row>
    <row r="406" spans="1:30" x14ac:dyDescent="0.25">
      <c r="A406" s="443"/>
      <c r="B406" s="443"/>
      <c r="C406" s="443"/>
      <c r="D406" s="330"/>
      <c r="E406" s="330"/>
      <c r="F406" s="330"/>
      <c r="G406" s="330"/>
      <c r="H406" s="330"/>
      <c r="I406" s="330"/>
      <c r="J406" s="330"/>
      <c r="K406" s="330"/>
      <c r="L406" s="330"/>
      <c r="M406" s="330"/>
      <c r="N406" s="330"/>
      <c r="O406" s="330"/>
      <c r="P406" s="330"/>
      <c r="Q406" s="330"/>
      <c r="R406" s="330"/>
      <c r="S406" s="330"/>
      <c r="T406" s="330"/>
      <c r="U406" s="330"/>
      <c r="V406" s="330"/>
      <c r="W406" s="330"/>
      <c r="X406" s="330"/>
      <c r="Y406" s="330"/>
      <c r="Z406" s="619"/>
      <c r="AA406" s="619"/>
      <c r="AB406" s="619"/>
      <c r="AC406" s="619"/>
      <c r="AD406" s="60"/>
    </row>
    <row r="407" spans="1:30" x14ac:dyDescent="0.25">
      <c r="A407" s="443"/>
      <c r="B407" s="443"/>
      <c r="C407" s="443"/>
      <c r="D407" s="330"/>
      <c r="E407" s="330"/>
      <c r="F407" s="330"/>
      <c r="G407" s="330"/>
      <c r="H407" s="330"/>
      <c r="I407" s="330"/>
      <c r="J407" s="330"/>
      <c r="K407" s="330"/>
      <c r="L407" s="330"/>
      <c r="M407" s="330"/>
      <c r="N407" s="330"/>
      <c r="O407" s="330"/>
      <c r="P407" s="330"/>
      <c r="Q407" s="330"/>
      <c r="R407" s="330"/>
      <c r="S407" s="330"/>
      <c r="T407" s="330"/>
      <c r="U407" s="330"/>
      <c r="V407" s="330"/>
      <c r="W407" s="330"/>
      <c r="X407" s="330"/>
      <c r="Y407" s="330"/>
      <c r="Z407" s="619"/>
      <c r="AA407" s="619"/>
      <c r="AB407" s="619"/>
      <c r="AC407" s="619"/>
      <c r="AD407" s="60"/>
    </row>
    <row r="408" spans="1:30" x14ac:dyDescent="0.25">
      <c r="A408" s="443"/>
      <c r="B408" s="443"/>
      <c r="C408" s="443"/>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619"/>
      <c r="AA408" s="619"/>
      <c r="AB408" s="619"/>
      <c r="AC408" s="619"/>
      <c r="AD408" s="60"/>
    </row>
    <row r="409" spans="1:30" x14ac:dyDescent="0.25">
      <c r="A409" s="443"/>
      <c r="B409" s="443"/>
      <c r="C409" s="443"/>
      <c r="D409" s="330"/>
      <c r="E409" s="330"/>
      <c r="F409" s="330"/>
      <c r="G409" s="330"/>
      <c r="H409" s="330"/>
      <c r="I409" s="330"/>
      <c r="J409" s="330"/>
      <c r="K409" s="330"/>
      <c r="L409" s="330"/>
      <c r="M409" s="330"/>
      <c r="N409" s="330"/>
      <c r="O409" s="330"/>
      <c r="P409" s="330"/>
      <c r="Q409" s="330"/>
      <c r="R409" s="330"/>
      <c r="S409" s="330"/>
      <c r="T409" s="330"/>
      <c r="U409" s="330"/>
      <c r="V409" s="330"/>
      <c r="W409" s="330"/>
      <c r="X409" s="330"/>
      <c r="Y409" s="330"/>
      <c r="Z409" s="619"/>
      <c r="AA409" s="619"/>
      <c r="AB409" s="619"/>
      <c r="AC409" s="619"/>
      <c r="AD409" s="60"/>
    </row>
    <row r="410" spans="1:30" x14ac:dyDescent="0.25">
      <c r="A410" s="443"/>
      <c r="B410" s="443"/>
      <c r="C410" s="443"/>
      <c r="D410" s="330"/>
      <c r="E410" s="330"/>
      <c r="F410" s="330"/>
      <c r="G410" s="330"/>
      <c r="H410" s="330"/>
      <c r="I410" s="330"/>
      <c r="J410" s="330"/>
      <c r="K410" s="330"/>
      <c r="L410" s="330"/>
      <c r="M410" s="330"/>
      <c r="N410" s="330"/>
      <c r="O410" s="330"/>
      <c r="P410" s="330"/>
      <c r="Q410" s="330"/>
      <c r="R410" s="330"/>
      <c r="S410" s="330"/>
      <c r="T410" s="330"/>
      <c r="U410" s="330"/>
      <c r="V410" s="330"/>
      <c r="W410" s="330"/>
      <c r="X410" s="330"/>
      <c r="Y410" s="330"/>
      <c r="Z410" s="619"/>
      <c r="AA410" s="619"/>
      <c r="AB410" s="619"/>
      <c r="AC410" s="619"/>
      <c r="AD410" s="60"/>
    </row>
    <row r="411" spans="1:30" x14ac:dyDescent="0.25">
      <c r="A411" s="443"/>
      <c r="B411" s="443"/>
      <c r="C411" s="443"/>
      <c r="D411" s="330"/>
      <c r="E411" s="330"/>
      <c r="F411" s="330"/>
      <c r="G411" s="330"/>
      <c r="H411" s="330"/>
      <c r="I411" s="330"/>
      <c r="J411" s="330"/>
      <c r="K411" s="330"/>
      <c r="L411" s="330"/>
      <c r="M411" s="330"/>
      <c r="N411" s="330"/>
      <c r="O411" s="330"/>
      <c r="P411" s="330"/>
      <c r="Q411" s="330"/>
      <c r="R411" s="330"/>
      <c r="S411" s="330"/>
      <c r="T411" s="330"/>
      <c r="U411" s="330"/>
      <c r="V411" s="330"/>
      <c r="W411" s="330"/>
      <c r="X411" s="330"/>
      <c r="Y411" s="330"/>
      <c r="Z411" s="619"/>
      <c r="AA411" s="619"/>
      <c r="AB411" s="619"/>
      <c r="AC411" s="619"/>
      <c r="AD411" s="60"/>
    </row>
    <row r="412" spans="1:30" x14ac:dyDescent="0.25">
      <c r="A412" s="443"/>
      <c r="B412" s="443"/>
      <c r="C412" s="443"/>
      <c r="D412" s="330"/>
      <c r="E412" s="330"/>
      <c r="F412" s="330"/>
      <c r="G412" s="330"/>
      <c r="H412" s="330"/>
      <c r="I412" s="330"/>
      <c r="J412" s="330"/>
      <c r="K412" s="330"/>
      <c r="L412" s="330"/>
      <c r="M412" s="330"/>
      <c r="N412" s="330"/>
      <c r="O412" s="330"/>
      <c r="P412" s="330"/>
      <c r="Q412" s="330"/>
      <c r="R412" s="330"/>
      <c r="S412" s="330"/>
      <c r="T412" s="330"/>
      <c r="U412" s="330"/>
      <c r="V412" s="330"/>
      <c r="W412" s="330"/>
      <c r="X412" s="330"/>
      <c r="Y412" s="330"/>
      <c r="Z412" s="619"/>
      <c r="AA412" s="619"/>
      <c r="AB412" s="619"/>
      <c r="AC412" s="619"/>
      <c r="AD412" s="60"/>
    </row>
    <row r="413" spans="1:30" x14ac:dyDescent="0.25">
      <c r="A413" s="443"/>
      <c r="B413" s="443"/>
      <c r="C413" s="443"/>
      <c r="D413" s="330"/>
      <c r="E413" s="330"/>
      <c r="F413" s="330"/>
      <c r="G413" s="330"/>
      <c r="H413" s="330"/>
      <c r="I413" s="330"/>
      <c r="J413" s="330"/>
      <c r="K413" s="330"/>
      <c r="L413" s="330"/>
      <c r="M413" s="330"/>
      <c r="N413" s="330"/>
      <c r="O413" s="330"/>
      <c r="P413" s="330"/>
      <c r="Q413" s="330"/>
      <c r="R413" s="330"/>
      <c r="S413" s="330"/>
      <c r="T413" s="330"/>
      <c r="U413" s="330"/>
      <c r="V413" s="330"/>
      <c r="W413" s="330"/>
      <c r="X413" s="330"/>
      <c r="Y413" s="330"/>
      <c r="Z413" s="619"/>
      <c r="AA413" s="619"/>
      <c r="AB413" s="619"/>
      <c r="AC413" s="619"/>
      <c r="AD413" s="60"/>
    </row>
    <row r="414" spans="1:30" x14ac:dyDescent="0.25">
      <c r="A414" s="443"/>
      <c r="B414" s="443"/>
      <c r="C414" s="443"/>
      <c r="D414" s="330"/>
      <c r="E414" s="330"/>
      <c r="F414" s="330"/>
      <c r="G414" s="330"/>
      <c r="H414" s="330"/>
      <c r="I414" s="330"/>
      <c r="J414" s="330"/>
      <c r="K414" s="330"/>
      <c r="L414" s="330"/>
      <c r="M414" s="330"/>
      <c r="N414" s="330"/>
      <c r="O414" s="330"/>
      <c r="P414" s="330"/>
      <c r="Q414" s="330"/>
      <c r="R414" s="330"/>
      <c r="S414" s="330"/>
      <c r="T414" s="330"/>
      <c r="U414" s="330"/>
      <c r="V414" s="330"/>
      <c r="W414" s="330"/>
      <c r="X414" s="330"/>
      <c r="Y414" s="330"/>
      <c r="Z414" s="619"/>
      <c r="AA414" s="619"/>
      <c r="AB414" s="619"/>
      <c r="AC414" s="619"/>
      <c r="AD414" s="60"/>
    </row>
    <row r="415" spans="1:30" x14ac:dyDescent="0.25">
      <c r="A415" s="443"/>
      <c r="B415" s="443"/>
      <c r="C415" s="443"/>
      <c r="D415" s="330"/>
      <c r="E415" s="330"/>
      <c r="F415" s="330"/>
      <c r="G415" s="330"/>
      <c r="H415" s="330"/>
      <c r="I415" s="330"/>
      <c r="J415" s="330"/>
      <c r="K415" s="330"/>
      <c r="L415" s="330"/>
      <c r="M415" s="330"/>
      <c r="N415" s="330"/>
      <c r="O415" s="330"/>
      <c r="P415" s="330"/>
      <c r="Q415" s="330"/>
      <c r="R415" s="330"/>
      <c r="S415" s="330"/>
      <c r="T415" s="330"/>
      <c r="U415" s="330"/>
      <c r="V415" s="330"/>
      <c r="W415" s="330"/>
      <c r="X415" s="330"/>
      <c r="Y415" s="330"/>
      <c r="Z415" s="619"/>
      <c r="AA415" s="619"/>
      <c r="AB415" s="619"/>
      <c r="AC415" s="619"/>
      <c r="AD415" s="60"/>
    </row>
    <row r="416" spans="1:30" x14ac:dyDescent="0.25">
      <c r="A416" s="443"/>
      <c r="B416" s="443"/>
      <c r="C416" s="443"/>
      <c r="D416" s="330"/>
      <c r="E416" s="330"/>
      <c r="F416" s="330"/>
      <c r="G416" s="330"/>
      <c r="H416" s="330"/>
      <c r="I416" s="330"/>
      <c r="J416" s="330"/>
      <c r="K416" s="330"/>
      <c r="L416" s="330"/>
      <c r="M416" s="330"/>
      <c r="N416" s="330"/>
      <c r="O416" s="330"/>
      <c r="P416" s="330"/>
      <c r="Q416" s="330"/>
      <c r="R416" s="330"/>
      <c r="S416" s="330"/>
      <c r="T416" s="330"/>
      <c r="U416" s="330"/>
      <c r="V416" s="330"/>
      <c r="W416" s="330"/>
      <c r="X416" s="330"/>
      <c r="Y416" s="330"/>
      <c r="Z416" s="619"/>
      <c r="AA416" s="619"/>
      <c r="AB416" s="619"/>
      <c r="AC416" s="619"/>
      <c r="AD416" s="60"/>
    </row>
    <row r="417" spans="1:30" x14ac:dyDescent="0.25">
      <c r="A417" s="443"/>
      <c r="B417" s="443"/>
      <c r="C417" s="443"/>
      <c r="D417" s="330"/>
      <c r="E417" s="330"/>
      <c r="F417" s="330"/>
      <c r="G417" s="330"/>
      <c r="H417" s="330"/>
      <c r="I417" s="330"/>
      <c r="J417" s="330"/>
      <c r="K417" s="330"/>
      <c r="L417" s="330"/>
      <c r="M417" s="330"/>
      <c r="N417" s="330"/>
      <c r="O417" s="330"/>
      <c r="P417" s="330"/>
      <c r="Q417" s="330"/>
      <c r="R417" s="330"/>
      <c r="S417" s="330"/>
      <c r="T417" s="330"/>
      <c r="U417" s="330"/>
      <c r="V417" s="330"/>
      <c r="W417" s="330"/>
      <c r="X417" s="330"/>
      <c r="Y417" s="330"/>
      <c r="Z417" s="619"/>
      <c r="AA417" s="619"/>
      <c r="AB417" s="619"/>
      <c r="AC417" s="619"/>
      <c r="AD417" s="60"/>
    </row>
    <row r="418" spans="1:30" x14ac:dyDescent="0.25">
      <c r="A418" s="443"/>
      <c r="B418" s="443"/>
      <c r="C418" s="443"/>
      <c r="D418" s="330"/>
      <c r="E418" s="330"/>
      <c r="F418" s="330"/>
      <c r="G418" s="330"/>
      <c r="H418" s="330"/>
      <c r="I418" s="330"/>
      <c r="J418" s="330"/>
      <c r="K418" s="330"/>
      <c r="L418" s="330"/>
      <c r="M418" s="330"/>
      <c r="N418" s="330"/>
      <c r="O418" s="330"/>
      <c r="P418" s="330"/>
      <c r="Q418" s="330"/>
      <c r="R418" s="330"/>
      <c r="S418" s="330"/>
      <c r="T418" s="330"/>
      <c r="U418" s="330"/>
      <c r="V418" s="330"/>
      <c r="W418" s="330"/>
      <c r="X418" s="330"/>
      <c r="Y418" s="330"/>
      <c r="Z418" s="619"/>
      <c r="AA418" s="619"/>
      <c r="AB418" s="619"/>
      <c r="AC418" s="619"/>
      <c r="AD418" s="60"/>
    </row>
    <row r="419" spans="1:30" x14ac:dyDescent="0.25">
      <c r="A419" s="443"/>
      <c r="B419" s="443"/>
      <c r="C419" s="443"/>
      <c r="D419" s="330"/>
      <c r="E419" s="330"/>
      <c r="F419" s="330"/>
      <c r="G419" s="330"/>
      <c r="H419" s="330"/>
      <c r="I419" s="330"/>
      <c r="J419" s="330"/>
      <c r="K419" s="330"/>
      <c r="L419" s="330"/>
      <c r="M419" s="330"/>
      <c r="N419" s="330"/>
      <c r="O419" s="330"/>
      <c r="P419" s="330"/>
      <c r="Q419" s="330"/>
      <c r="R419" s="330"/>
      <c r="S419" s="330"/>
      <c r="T419" s="330"/>
      <c r="U419" s="330"/>
      <c r="V419" s="330"/>
      <c r="W419" s="330"/>
      <c r="X419" s="330"/>
      <c r="Y419" s="330"/>
      <c r="Z419" s="619"/>
      <c r="AA419" s="619"/>
      <c r="AB419" s="619"/>
      <c r="AC419" s="619"/>
      <c r="AD419" s="60"/>
    </row>
    <row r="420" spans="1:30" x14ac:dyDescent="0.25">
      <c r="A420" s="443"/>
      <c r="B420" s="443"/>
      <c r="C420" s="443"/>
      <c r="D420" s="330"/>
      <c r="E420" s="330"/>
      <c r="F420" s="330"/>
      <c r="G420" s="330"/>
      <c r="H420" s="330"/>
      <c r="I420" s="330"/>
      <c r="J420" s="330"/>
      <c r="K420" s="330"/>
      <c r="L420" s="330"/>
      <c r="M420" s="330"/>
      <c r="N420" s="330"/>
      <c r="O420" s="330"/>
      <c r="P420" s="330"/>
      <c r="Q420" s="330"/>
      <c r="R420" s="330"/>
      <c r="S420" s="330"/>
      <c r="T420" s="330"/>
      <c r="U420" s="330"/>
      <c r="V420" s="330"/>
      <c r="W420" s="330"/>
      <c r="X420" s="330"/>
      <c r="Y420" s="330"/>
      <c r="Z420" s="619"/>
      <c r="AA420" s="619"/>
      <c r="AB420" s="619"/>
      <c r="AC420" s="619"/>
      <c r="AD420" s="60"/>
    </row>
    <row r="421" spans="1:30" x14ac:dyDescent="0.25">
      <c r="A421" s="443"/>
      <c r="B421" s="443"/>
      <c r="C421" s="443"/>
      <c r="D421" s="330"/>
      <c r="E421" s="330"/>
      <c r="F421" s="330"/>
      <c r="G421" s="330"/>
      <c r="H421" s="330"/>
      <c r="I421" s="330"/>
      <c r="J421" s="330"/>
      <c r="K421" s="330"/>
      <c r="L421" s="330"/>
      <c r="M421" s="330"/>
      <c r="N421" s="330"/>
      <c r="O421" s="330"/>
      <c r="P421" s="330"/>
      <c r="Q421" s="330"/>
      <c r="R421" s="330"/>
      <c r="S421" s="330"/>
      <c r="T421" s="330"/>
      <c r="U421" s="330"/>
      <c r="V421" s="330"/>
      <c r="W421" s="330"/>
      <c r="X421" s="330"/>
      <c r="Y421" s="330"/>
      <c r="Z421" s="619"/>
      <c r="AA421" s="619"/>
      <c r="AB421" s="619"/>
      <c r="AC421" s="619"/>
      <c r="AD421" s="60"/>
    </row>
    <row r="422" spans="1:30" x14ac:dyDescent="0.25">
      <c r="A422" s="443"/>
      <c r="B422" s="443"/>
      <c r="C422" s="443"/>
      <c r="D422" s="330"/>
      <c r="E422" s="330"/>
      <c r="F422" s="330"/>
      <c r="G422" s="330"/>
      <c r="H422" s="330"/>
      <c r="I422" s="330"/>
      <c r="J422" s="330"/>
      <c r="K422" s="330"/>
      <c r="L422" s="330"/>
      <c r="M422" s="330"/>
      <c r="N422" s="330"/>
      <c r="O422" s="330"/>
      <c r="P422" s="330"/>
      <c r="Q422" s="330"/>
      <c r="R422" s="330"/>
      <c r="S422" s="330"/>
      <c r="T422" s="330"/>
      <c r="U422" s="330"/>
      <c r="V422" s="330"/>
      <c r="W422" s="330"/>
      <c r="X422" s="330"/>
      <c r="Y422" s="330"/>
      <c r="Z422" s="619"/>
      <c r="AA422" s="619"/>
      <c r="AB422" s="619"/>
      <c r="AC422" s="619"/>
      <c r="AD422" s="60"/>
    </row>
    <row r="423" spans="1:30" x14ac:dyDescent="0.25">
      <c r="A423" s="443"/>
      <c r="B423" s="443"/>
      <c r="C423" s="443"/>
      <c r="D423" s="330"/>
      <c r="E423" s="330"/>
      <c r="F423" s="330"/>
      <c r="G423" s="330"/>
      <c r="H423" s="330"/>
      <c r="I423" s="330"/>
      <c r="J423" s="330"/>
      <c r="K423" s="330"/>
      <c r="L423" s="330"/>
      <c r="M423" s="330"/>
      <c r="N423" s="330"/>
      <c r="O423" s="330"/>
      <c r="P423" s="330"/>
      <c r="Q423" s="330"/>
      <c r="R423" s="330"/>
      <c r="S423" s="330"/>
      <c r="T423" s="330"/>
      <c r="U423" s="330"/>
      <c r="V423" s="330"/>
      <c r="W423" s="330"/>
      <c r="X423" s="330"/>
      <c r="Y423" s="330"/>
      <c r="Z423" s="619"/>
      <c r="AA423" s="619"/>
      <c r="AB423" s="619"/>
      <c r="AC423" s="619"/>
      <c r="AD423" s="60"/>
    </row>
    <row r="424" spans="1:30" x14ac:dyDescent="0.25">
      <c r="A424" s="443"/>
      <c r="B424" s="443"/>
      <c r="C424" s="443"/>
      <c r="D424" s="330"/>
      <c r="E424" s="330"/>
      <c r="F424" s="330"/>
      <c r="G424" s="330"/>
      <c r="H424" s="330"/>
      <c r="I424" s="330"/>
      <c r="J424" s="330"/>
      <c r="K424" s="330"/>
      <c r="L424" s="330"/>
      <c r="M424" s="330"/>
      <c r="N424" s="330"/>
      <c r="O424" s="330"/>
      <c r="P424" s="330"/>
      <c r="Q424" s="330"/>
      <c r="R424" s="330"/>
      <c r="S424" s="330"/>
      <c r="T424" s="330"/>
      <c r="U424" s="330"/>
      <c r="V424" s="330"/>
      <c r="W424" s="330"/>
      <c r="X424" s="330"/>
      <c r="Y424" s="330"/>
      <c r="Z424" s="619"/>
      <c r="AA424" s="619"/>
      <c r="AB424" s="619"/>
      <c r="AC424" s="619"/>
      <c r="AD424" s="60"/>
    </row>
    <row r="425" spans="1:30" x14ac:dyDescent="0.25">
      <c r="A425" s="443"/>
      <c r="B425" s="443"/>
      <c r="C425" s="443"/>
      <c r="D425" s="330"/>
      <c r="E425" s="330"/>
      <c r="F425" s="330"/>
      <c r="G425" s="330"/>
      <c r="H425" s="330"/>
      <c r="I425" s="330"/>
      <c r="J425" s="330"/>
      <c r="K425" s="330"/>
      <c r="L425" s="330"/>
      <c r="M425" s="330"/>
      <c r="N425" s="330"/>
      <c r="O425" s="330"/>
      <c r="P425" s="330"/>
      <c r="Q425" s="330"/>
      <c r="R425" s="330"/>
      <c r="S425" s="330"/>
      <c r="T425" s="330"/>
      <c r="U425" s="330"/>
      <c r="V425" s="330"/>
      <c r="W425" s="330"/>
      <c r="X425" s="330"/>
      <c r="Y425" s="330"/>
      <c r="Z425" s="619"/>
      <c r="AA425" s="619"/>
      <c r="AB425" s="619"/>
      <c r="AC425" s="619"/>
      <c r="AD425" s="60"/>
    </row>
    <row r="426" spans="1:30" x14ac:dyDescent="0.25">
      <c r="A426" s="443"/>
      <c r="B426" s="443"/>
      <c r="C426" s="443"/>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619"/>
      <c r="AA426" s="619"/>
      <c r="AB426" s="619"/>
      <c r="AC426" s="619"/>
      <c r="AD426" s="60"/>
    </row>
    <row r="427" spans="1:30" x14ac:dyDescent="0.25">
      <c r="A427" s="443"/>
      <c r="B427" s="443"/>
      <c r="C427" s="443"/>
      <c r="D427" s="330"/>
      <c r="E427" s="330"/>
      <c r="F427" s="330"/>
      <c r="G427" s="330"/>
      <c r="H427" s="330"/>
      <c r="I427" s="330"/>
      <c r="J427" s="330"/>
      <c r="K427" s="330"/>
      <c r="L427" s="330"/>
      <c r="M427" s="330"/>
      <c r="N427" s="330"/>
      <c r="O427" s="330"/>
      <c r="P427" s="330"/>
      <c r="Q427" s="330"/>
      <c r="R427" s="330"/>
      <c r="S427" s="330"/>
      <c r="T427" s="330"/>
      <c r="U427" s="330"/>
      <c r="V427" s="330"/>
      <c r="W427" s="330"/>
      <c r="X427" s="330"/>
      <c r="Y427" s="330"/>
      <c r="Z427" s="619"/>
      <c r="AA427" s="619"/>
      <c r="AB427" s="619"/>
      <c r="AC427" s="619"/>
      <c r="AD427" s="60"/>
    </row>
    <row r="428" spans="1:30" x14ac:dyDescent="0.25">
      <c r="A428" s="443"/>
      <c r="B428" s="443"/>
      <c r="C428" s="443"/>
      <c r="D428" s="330"/>
      <c r="E428" s="330"/>
      <c r="F428" s="330"/>
      <c r="G428" s="330"/>
      <c r="H428" s="330"/>
      <c r="I428" s="330"/>
      <c r="J428" s="330"/>
      <c r="K428" s="330"/>
      <c r="L428" s="330"/>
      <c r="M428" s="330"/>
      <c r="N428" s="330"/>
      <c r="O428" s="330"/>
      <c r="P428" s="330"/>
      <c r="Q428" s="330"/>
      <c r="R428" s="330"/>
      <c r="S428" s="330"/>
      <c r="T428" s="330"/>
      <c r="U428" s="330"/>
      <c r="V428" s="330"/>
      <c r="W428" s="330"/>
      <c r="X428" s="330"/>
      <c r="Y428" s="330"/>
      <c r="Z428" s="619"/>
      <c r="AA428" s="619"/>
      <c r="AB428" s="619"/>
      <c r="AC428" s="619"/>
      <c r="AD428" s="60"/>
    </row>
    <row r="429" spans="1:30" x14ac:dyDescent="0.25">
      <c r="A429" s="443"/>
      <c r="B429" s="443"/>
      <c r="C429" s="443"/>
      <c r="D429" s="330"/>
      <c r="E429" s="330"/>
      <c r="F429" s="330"/>
      <c r="G429" s="330"/>
      <c r="H429" s="330"/>
      <c r="I429" s="330"/>
      <c r="J429" s="330"/>
      <c r="K429" s="330"/>
      <c r="L429" s="330"/>
      <c r="M429" s="330"/>
      <c r="N429" s="330"/>
      <c r="O429" s="330"/>
      <c r="P429" s="330"/>
      <c r="Q429" s="330"/>
      <c r="R429" s="330"/>
      <c r="S429" s="330"/>
      <c r="T429" s="330"/>
      <c r="U429" s="330"/>
      <c r="V429" s="330"/>
      <c r="W429" s="330"/>
      <c r="X429" s="330"/>
      <c r="Y429" s="330"/>
      <c r="Z429" s="619"/>
      <c r="AA429" s="619"/>
      <c r="AB429" s="619"/>
      <c r="AC429" s="619"/>
      <c r="AD429" s="60"/>
    </row>
    <row r="430" spans="1:30" x14ac:dyDescent="0.25">
      <c r="A430" s="443"/>
      <c r="B430" s="443"/>
      <c r="C430" s="443"/>
      <c r="D430" s="330"/>
      <c r="E430" s="330"/>
      <c r="F430" s="330"/>
      <c r="G430" s="330"/>
      <c r="H430" s="330"/>
      <c r="I430" s="330"/>
      <c r="J430" s="330"/>
      <c r="K430" s="330"/>
      <c r="L430" s="330"/>
      <c r="M430" s="330"/>
      <c r="N430" s="330"/>
      <c r="O430" s="330"/>
      <c r="P430" s="330"/>
      <c r="Q430" s="330"/>
      <c r="R430" s="330"/>
      <c r="S430" s="330"/>
      <c r="T430" s="330"/>
      <c r="U430" s="330"/>
      <c r="V430" s="330"/>
      <c r="W430" s="330"/>
      <c r="X430" s="330"/>
      <c r="Y430" s="330"/>
      <c r="Z430" s="619"/>
      <c r="AA430" s="619"/>
      <c r="AB430" s="619"/>
      <c r="AC430" s="619"/>
      <c r="AD430" s="60"/>
    </row>
    <row r="431" spans="1:30" x14ac:dyDescent="0.25">
      <c r="A431" s="443"/>
      <c r="B431" s="443"/>
      <c r="C431" s="443"/>
      <c r="D431" s="330"/>
      <c r="E431" s="330"/>
      <c r="F431" s="330"/>
      <c r="G431" s="330"/>
      <c r="H431" s="330"/>
      <c r="I431" s="330"/>
      <c r="J431" s="330"/>
      <c r="K431" s="330"/>
      <c r="L431" s="330"/>
      <c r="M431" s="330"/>
      <c r="N431" s="330"/>
      <c r="O431" s="330"/>
      <c r="P431" s="330"/>
      <c r="Q431" s="330"/>
      <c r="R431" s="330"/>
      <c r="S431" s="330"/>
      <c r="T431" s="330"/>
      <c r="U431" s="330"/>
      <c r="V431" s="330"/>
      <c r="W431" s="330"/>
      <c r="X431" s="330"/>
      <c r="Y431" s="330"/>
      <c r="Z431" s="619"/>
      <c r="AA431" s="619"/>
      <c r="AB431" s="619"/>
      <c r="AC431" s="619"/>
      <c r="AD431" s="60"/>
    </row>
    <row r="432" spans="1:30" x14ac:dyDescent="0.25">
      <c r="A432" s="443"/>
      <c r="B432" s="443"/>
      <c r="C432" s="443"/>
      <c r="D432" s="330"/>
      <c r="E432" s="330"/>
      <c r="F432" s="330"/>
      <c r="G432" s="330"/>
      <c r="H432" s="330"/>
      <c r="I432" s="330"/>
      <c r="J432" s="330"/>
      <c r="K432" s="330"/>
      <c r="L432" s="330"/>
      <c r="M432" s="330"/>
      <c r="N432" s="330"/>
      <c r="O432" s="330"/>
      <c r="P432" s="330"/>
      <c r="Q432" s="330"/>
      <c r="R432" s="330"/>
      <c r="S432" s="330"/>
      <c r="T432" s="330"/>
      <c r="U432" s="330"/>
      <c r="V432" s="330"/>
      <c r="W432" s="330"/>
      <c r="X432" s="330"/>
      <c r="Y432" s="330"/>
      <c r="Z432" s="619"/>
      <c r="AA432" s="619"/>
      <c r="AB432" s="619"/>
      <c r="AC432" s="619"/>
      <c r="AD432" s="60"/>
    </row>
    <row r="433" spans="1:30" x14ac:dyDescent="0.25">
      <c r="A433" s="443"/>
      <c r="B433" s="443"/>
      <c r="C433" s="443"/>
      <c r="D433" s="330"/>
      <c r="E433" s="330"/>
      <c r="F433" s="330"/>
      <c r="G433" s="330"/>
      <c r="H433" s="330"/>
      <c r="I433" s="330"/>
      <c r="J433" s="330"/>
      <c r="K433" s="330"/>
      <c r="L433" s="330"/>
      <c r="M433" s="330"/>
      <c r="N433" s="330"/>
      <c r="O433" s="330"/>
      <c r="P433" s="330"/>
      <c r="Q433" s="330"/>
      <c r="R433" s="330"/>
      <c r="S433" s="330"/>
      <c r="T433" s="330"/>
      <c r="U433" s="330"/>
      <c r="V433" s="330"/>
      <c r="W433" s="330"/>
      <c r="X433" s="330"/>
      <c r="Y433" s="330"/>
      <c r="Z433" s="619"/>
      <c r="AA433" s="619"/>
      <c r="AB433" s="619"/>
      <c r="AC433" s="619"/>
      <c r="AD433" s="60"/>
    </row>
    <row r="434" spans="1:30" x14ac:dyDescent="0.25">
      <c r="A434" s="443"/>
      <c r="B434" s="443"/>
      <c r="C434" s="443"/>
      <c r="D434" s="330"/>
      <c r="E434" s="330"/>
      <c r="F434" s="330"/>
      <c r="G434" s="330"/>
      <c r="H434" s="330"/>
      <c r="I434" s="330"/>
      <c r="J434" s="330"/>
      <c r="K434" s="330"/>
      <c r="L434" s="330"/>
      <c r="M434" s="330"/>
      <c r="N434" s="330"/>
      <c r="O434" s="330"/>
      <c r="P434" s="330"/>
      <c r="Q434" s="330"/>
      <c r="R434" s="330"/>
      <c r="S434" s="330"/>
      <c r="T434" s="330"/>
      <c r="U434" s="330"/>
      <c r="V434" s="330"/>
      <c r="W434" s="330"/>
      <c r="X434" s="330"/>
      <c r="Y434" s="330"/>
      <c r="Z434" s="619"/>
      <c r="AA434" s="619"/>
      <c r="AB434" s="619"/>
      <c r="AC434" s="619"/>
      <c r="AD434" s="60"/>
    </row>
    <row r="435" spans="1:30" x14ac:dyDescent="0.25">
      <c r="A435" s="443"/>
      <c r="B435" s="443"/>
      <c r="C435" s="443"/>
      <c r="D435" s="330"/>
      <c r="E435" s="330"/>
      <c r="F435" s="330"/>
      <c r="G435" s="330"/>
      <c r="H435" s="330"/>
      <c r="I435" s="330"/>
      <c r="J435" s="330"/>
      <c r="K435" s="330"/>
      <c r="L435" s="330"/>
      <c r="M435" s="330"/>
      <c r="N435" s="330"/>
      <c r="O435" s="330"/>
      <c r="P435" s="330"/>
      <c r="Q435" s="330"/>
      <c r="R435" s="330"/>
      <c r="S435" s="330"/>
      <c r="T435" s="330"/>
      <c r="U435" s="330"/>
      <c r="V435" s="330"/>
      <c r="W435" s="330"/>
      <c r="X435" s="330"/>
      <c r="Y435" s="330"/>
      <c r="Z435" s="619"/>
      <c r="AA435" s="619"/>
      <c r="AB435" s="619"/>
      <c r="AC435" s="619"/>
      <c r="AD435" s="60"/>
    </row>
    <row r="436" spans="1:30" x14ac:dyDescent="0.25">
      <c r="A436" s="443"/>
      <c r="B436" s="443"/>
      <c r="C436" s="443"/>
      <c r="D436" s="330"/>
      <c r="E436" s="330"/>
      <c r="F436" s="330"/>
      <c r="G436" s="330"/>
      <c r="H436" s="330"/>
      <c r="I436" s="330"/>
      <c r="J436" s="330"/>
      <c r="K436" s="330"/>
      <c r="L436" s="330"/>
      <c r="M436" s="330"/>
      <c r="N436" s="330"/>
      <c r="O436" s="330"/>
      <c r="P436" s="330"/>
      <c r="Q436" s="330"/>
      <c r="R436" s="330"/>
      <c r="S436" s="330"/>
      <c r="T436" s="330"/>
      <c r="U436" s="330"/>
      <c r="V436" s="330"/>
      <c r="W436" s="330"/>
      <c r="X436" s="330"/>
      <c r="Y436" s="330"/>
      <c r="Z436" s="619"/>
      <c r="AA436" s="619"/>
      <c r="AB436" s="619"/>
      <c r="AC436" s="619"/>
      <c r="AD436" s="60"/>
    </row>
    <row r="437" spans="1:30" x14ac:dyDescent="0.25">
      <c r="A437" s="443"/>
      <c r="B437" s="443"/>
      <c r="C437" s="443"/>
      <c r="D437" s="330"/>
      <c r="E437" s="330"/>
      <c r="F437" s="330"/>
      <c r="G437" s="330"/>
      <c r="H437" s="330"/>
      <c r="I437" s="330"/>
      <c r="J437" s="330"/>
      <c r="K437" s="330"/>
      <c r="L437" s="330"/>
      <c r="M437" s="330"/>
      <c r="N437" s="330"/>
      <c r="O437" s="330"/>
      <c r="P437" s="330"/>
      <c r="Q437" s="330"/>
      <c r="R437" s="330"/>
      <c r="S437" s="330"/>
      <c r="T437" s="330"/>
      <c r="U437" s="330"/>
      <c r="V437" s="330"/>
      <c r="W437" s="330"/>
      <c r="X437" s="330"/>
      <c r="Y437" s="330"/>
      <c r="Z437" s="619"/>
      <c r="AA437" s="619"/>
      <c r="AB437" s="619"/>
      <c r="AC437" s="619"/>
      <c r="AD437" s="60"/>
    </row>
    <row r="438" spans="1:30" x14ac:dyDescent="0.25">
      <c r="A438" s="443"/>
      <c r="B438" s="443"/>
      <c r="C438" s="443"/>
      <c r="D438" s="330"/>
      <c r="E438" s="330"/>
      <c r="F438" s="330"/>
      <c r="G438" s="330"/>
      <c r="H438" s="330"/>
      <c r="I438" s="330"/>
      <c r="J438" s="330"/>
      <c r="K438" s="330"/>
      <c r="L438" s="330"/>
      <c r="M438" s="330"/>
      <c r="N438" s="330"/>
      <c r="O438" s="330"/>
      <c r="P438" s="330"/>
      <c r="Q438" s="330"/>
      <c r="R438" s="330"/>
      <c r="S438" s="330"/>
      <c r="T438" s="330"/>
      <c r="U438" s="330"/>
      <c r="V438" s="330"/>
      <c r="W438" s="330"/>
      <c r="X438" s="330"/>
      <c r="Y438" s="330"/>
      <c r="Z438" s="619"/>
      <c r="AA438" s="619"/>
      <c r="AB438" s="619"/>
      <c r="AC438" s="619"/>
      <c r="AD438" s="60"/>
    </row>
    <row r="439" spans="1:30" x14ac:dyDescent="0.25">
      <c r="A439" s="443"/>
      <c r="B439" s="443"/>
      <c r="C439" s="443"/>
      <c r="D439" s="330"/>
      <c r="E439" s="330"/>
      <c r="F439" s="330"/>
      <c r="G439" s="330"/>
      <c r="H439" s="330"/>
      <c r="I439" s="330"/>
      <c r="J439" s="330"/>
      <c r="K439" s="330"/>
      <c r="L439" s="330"/>
      <c r="M439" s="330"/>
      <c r="N439" s="330"/>
      <c r="O439" s="330"/>
      <c r="P439" s="330"/>
      <c r="Q439" s="330"/>
      <c r="R439" s="330"/>
      <c r="S439" s="330"/>
      <c r="T439" s="330"/>
      <c r="U439" s="330"/>
      <c r="V439" s="330"/>
      <c r="W439" s="330"/>
      <c r="X439" s="330"/>
      <c r="Y439" s="330"/>
      <c r="Z439" s="619"/>
      <c r="AA439" s="619"/>
      <c r="AB439" s="619"/>
      <c r="AC439" s="619"/>
      <c r="AD439" s="60"/>
    </row>
    <row r="440" spans="1:30" x14ac:dyDescent="0.25">
      <c r="A440" s="443"/>
      <c r="B440" s="443"/>
      <c r="C440" s="443"/>
      <c r="D440" s="330"/>
      <c r="E440" s="330"/>
      <c r="F440" s="330"/>
      <c r="G440" s="330"/>
      <c r="H440" s="330"/>
      <c r="I440" s="330"/>
      <c r="J440" s="330"/>
      <c r="K440" s="330"/>
      <c r="L440" s="330"/>
      <c r="M440" s="330"/>
      <c r="N440" s="330"/>
      <c r="O440" s="330"/>
      <c r="P440" s="330"/>
      <c r="Q440" s="330"/>
      <c r="R440" s="330"/>
      <c r="S440" s="330"/>
      <c r="T440" s="330"/>
      <c r="U440" s="330"/>
      <c r="V440" s="330"/>
      <c r="W440" s="330"/>
      <c r="X440" s="330"/>
      <c r="Y440" s="330"/>
      <c r="Z440" s="619"/>
      <c r="AA440" s="619"/>
      <c r="AB440" s="619"/>
      <c r="AC440" s="619"/>
      <c r="AD440" s="60"/>
    </row>
    <row r="441" spans="1:30" x14ac:dyDescent="0.25">
      <c r="A441" s="443"/>
      <c r="B441" s="443"/>
      <c r="C441" s="443"/>
      <c r="D441" s="330"/>
      <c r="E441" s="330"/>
      <c r="F441" s="330"/>
      <c r="G441" s="330"/>
      <c r="H441" s="330"/>
      <c r="I441" s="330"/>
      <c r="J441" s="330"/>
      <c r="K441" s="330"/>
      <c r="L441" s="330"/>
      <c r="M441" s="330"/>
      <c r="N441" s="330"/>
      <c r="O441" s="330"/>
      <c r="P441" s="330"/>
      <c r="Q441" s="330"/>
      <c r="R441" s="330"/>
      <c r="S441" s="330"/>
      <c r="T441" s="330"/>
      <c r="U441" s="330"/>
      <c r="V441" s="330"/>
      <c r="W441" s="330"/>
      <c r="X441" s="330"/>
      <c r="Y441" s="330"/>
      <c r="Z441" s="619"/>
      <c r="AA441" s="619"/>
      <c r="AB441" s="619"/>
      <c r="AC441" s="619"/>
      <c r="AD441" s="60"/>
    </row>
    <row r="442" spans="1:30" x14ac:dyDescent="0.25">
      <c r="A442" s="443"/>
      <c r="B442" s="443"/>
      <c r="C442" s="443"/>
      <c r="D442" s="330"/>
      <c r="E442" s="330"/>
      <c r="F442" s="330"/>
      <c r="G442" s="330"/>
      <c r="H442" s="330"/>
      <c r="I442" s="330"/>
      <c r="J442" s="330"/>
      <c r="K442" s="330"/>
      <c r="L442" s="330"/>
      <c r="M442" s="330"/>
      <c r="N442" s="330"/>
      <c r="O442" s="330"/>
      <c r="P442" s="330"/>
      <c r="Q442" s="330"/>
      <c r="R442" s="330"/>
      <c r="S442" s="330"/>
      <c r="T442" s="330"/>
      <c r="U442" s="330"/>
      <c r="V442" s="330"/>
      <c r="W442" s="330"/>
      <c r="X442" s="330"/>
      <c r="Y442" s="330"/>
      <c r="Z442" s="619"/>
      <c r="AA442" s="619"/>
      <c r="AB442" s="619"/>
      <c r="AC442" s="619"/>
      <c r="AD442" s="60"/>
    </row>
    <row r="443" spans="1:30" x14ac:dyDescent="0.25">
      <c r="A443" s="443"/>
      <c r="B443" s="443"/>
      <c r="C443" s="443"/>
      <c r="D443" s="330"/>
      <c r="E443" s="330"/>
      <c r="F443" s="330"/>
      <c r="G443" s="330"/>
      <c r="H443" s="330"/>
      <c r="I443" s="330"/>
      <c r="J443" s="330"/>
      <c r="K443" s="330"/>
      <c r="L443" s="330"/>
      <c r="M443" s="330"/>
      <c r="N443" s="330"/>
      <c r="O443" s="330"/>
      <c r="P443" s="330"/>
      <c r="Q443" s="330"/>
      <c r="R443" s="330"/>
      <c r="S443" s="330"/>
      <c r="T443" s="330"/>
      <c r="U443" s="330"/>
      <c r="V443" s="330"/>
      <c r="W443" s="330"/>
      <c r="X443" s="330"/>
      <c r="Y443" s="330"/>
      <c r="Z443" s="619"/>
      <c r="AA443" s="619"/>
      <c r="AB443" s="619"/>
      <c r="AC443" s="619"/>
      <c r="AD443" s="60"/>
    </row>
    <row r="444" spans="1:30" x14ac:dyDescent="0.25">
      <c r="A444" s="443"/>
      <c r="B444" s="443"/>
      <c r="C444" s="443"/>
      <c r="D444" s="330"/>
      <c r="E444" s="330"/>
      <c r="F444" s="330"/>
      <c r="G444" s="330"/>
      <c r="H444" s="330"/>
      <c r="I444" s="330"/>
      <c r="J444" s="330"/>
      <c r="K444" s="330"/>
      <c r="L444" s="330"/>
      <c r="M444" s="330"/>
      <c r="N444" s="330"/>
      <c r="O444" s="330"/>
      <c r="P444" s="330"/>
      <c r="Q444" s="330"/>
      <c r="R444" s="330"/>
      <c r="S444" s="330"/>
      <c r="T444" s="330"/>
      <c r="U444" s="330"/>
      <c r="V444" s="330"/>
      <c r="W444" s="330"/>
      <c r="X444" s="330"/>
      <c r="Y444" s="330"/>
      <c r="Z444" s="619"/>
      <c r="AA444" s="619"/>
      <c r="AB444" s="619"/>
      <c r="AC444" s="619"/>
      <c r="AD444" s="60"/>
    </row>
    <row r="445" spans="1:30" x14ac:dyDescent="0.25">
      <c r="A445" s="443"/>
      <c r="B445" s="443"/>
      <c r="C445" s="443"/>
      <c r="D445" s="330"/>
      <c r="E445" s="330"/>
      <c r="F445" s="330"/>
      <c r="G445" s="330"/>
      <c r="H445" s="330"/>
      <c r="I445" s="330"/>
      <c r="J445" s="330"/>
      <c r="K445" s="330"/>
      <c r="L445" s="330"/>
      <c r="M445" s="330"/>
      <c r="N445" s="330"/>
      <c r="O445" s="330"/>
      <c r="P445" s="330"/>
      <c r="Q445" s="330"/>
      <c r="R445" s="330"/>
      <c r="S445" s="330"/>
      <c r="T445" s="330"/>
      <c r="U445" s="330"/>
      <c r="V445" s="330"/>
      <c r="W445" s="330"/>
      <c r="X445" s="330"/>
      <c r="Y445" s="330"/>
      <c r="Z445" s="619"/>
      <c r="AA445" s="619"/>
      <c r="AB445" s="619"/>
      <c r="AC445" s="619"/>
      <c r="AD445" s="60"/>
    </row>
    <row r="446" spans="1:30" x14ac:dyDescent="0.25">
      <c r="A446" s="443"/>
      <c r="B446" s="443"/>
      <c r="C446" s="443"/>
      <c r="D446" s="330"/>
      <c r="E446" s="330"/>
      <c r="F446" s="330"/>
      <c r="G446" s="330"/>
      <c r="H446" s="330"/>
      <c r="I446" s="330"/>
      <c r="J446" s="330"/>
      <c r="K446" s="330"/>
      <c r="L446" s="330"/>
      <c r="M446" s="330"/>
      <c r="N446" s="330"/>
      <c r="O446" s="330"/>
      <c r="P446" s="330"/>
      <c r="Q446" s="330"/>
      <c r="R446" s="330"/>
      <c r="S446" s="330"/>
      <c r="T446" s="330"/>
      <c r="U446" s="330"/>
      <c r="V446" s="330"/>
      <c r="W446" s="330"/>
      <c r="X446" s="330"/>
      <c r="Y446" s="330"/>
      <c r="Z446" s="619"/>
      <c r="AA446" s="619"/>
      <c r="AB446" s="619"/>
      <c r="AC446" s="619"/>
      <c r="AD446" s="60"/>
    </row>
    <row r="447" spans="1:30" x14ac:dyDescent="0.25">
      <c r="A447" s="443"/>
      <c r="B447" s="443"/>
      <c r="C447" s="443"/>
      <c r="D447" s="330"/>
      <c r="E447" s="330"/>
      <c r="F447" s="330"/>
      <c r="G447" s="330"/>
      <c r="H447" s="330"/>
      <c r="I447" s="330"/>
      <c r="J447" s="330"/>
      <c r="K447" s="330"/>
      <c r="L447" s="330"/>
      <c r="M447" s="330"/>
      <c r="N447" s="330"/>
      <c r="O447" s="330"/>
      <c r="P447" s="330"/>
      <c r="Q447" s="330"/>
      <c r="R447" s="330"/>
      <c r="S447" s="330"/>
      <c r="T447" s="330"/>
      <c r="U447" s="330"/>
      <c r="V447" s="330"/>
      <c r="W447" s="330"/>
      <c r="X447" s="330"/>
      <c r="Y447" s="330"/>
      <c r="Z447" s="619"/>
      <c r="AA447" s="619"/>
      <c r="AB447" s="619"/>
      <c r="AC447" s="619"/>
      <c r="AD447" s="60"/>
    </row>
    <row r="448" spans="1:30" x14ac:dyDescent="0.25">
      <c r="A448" s="443"/>
      <c r="B448" s="443"/>
      <c r="C448" s="443"/>
      <c r="D448" s="330"/>
      <c r="E448" s="330"/>
      <c r="F448" s="330"/>
      <c r="G448" s="330"/>
      <c r="H448" s="330"/>
      <c r="I448" s="330"/>
      <c r="J448" s="330"/>
      <c r="K448" s="330"/>
      <c r="L448" s="330"/>
      <c r="M448" s="330"/>
      <c r="N448" s="330"/>
      <c r="O448" s="330"/>
      <c r="P448" s="330"/>
      <c r="Q448" s="330"/>
      <c r="R448" s="330"/>
      <c r="S448" s="330"/>
      <c r="T448" s="330"/>
      <c r="U448" s="330"/>
      <c r="V448" s="330"/>
      <c r="W448" s="330"/>
      <c r="X448" s="330"/>
      <c r="Y448" s="330"/>
      <c r="Z448" s="619"/>
      <c r="AA448" s="619"/>
      <c r="AB448" s="619"/>
      <c r="AC448" s="619"/>
      <c r="AD448" s="60"/>
    </row>
    <row r="449" spans="1:30" x14ac:dyDescent="0.25">
      <c r="A449" s="443"/>
      <c r="B449" s="443"/>
      <c r="C449" s="443"/>
      <c r="D449" s="330"/>
      <c r="E449" s="330"/>
      <c r="F449" s="330"/>
      <c r="G449" s="330"/>
      <c r="H449" s="330"/>
      <c r="I449" s="330"/>
      <c r="J449" s="330"/>
      <c r="K449" s="330"/>
      <c r="L449" s="330"/>
      <c r="M449" s="330"/>
      <c r="N449" s="330"/>
      <c r="O449" s="330"/>
      <c r="P449" s="330"/>
      <c r="Q449" s="330"/>
      <c r="R449" s="330"/>
      <c r="S449" s="330"/>
      <c r="T449" s="330"/>
      <c r="U449" s="330"/>
      <c r="V449" s="330"/>
      <c r="W449" s="330"/>
      <c r="X449" s="330"/>
      <c r="Y449" s="330"/>
      <c r="Z449" s="619"/>
      <c r="AA449" s="619"/>
      <c r="AB449" s="619"/>
      <c r="AC449" s="619"/>
      <c r="AD449" s="60"/>
    </row>
    <row r="450" spans="1:30" x14ac:dyDescent="0.25">
      <c r="A450" s="443"/>
      <c r="B450" s="443"/>
      <c r="C450" s="443"/>
      <c r="D450" s="330"/>
      <c r="E450" s="330"/>
      <c r="F450" s="330"/>
      <c r="G450" s="330"/>
      <c r="H450" s="330"/>
      <c r="I450" s="330"/>
      <c r="J450" s="330"/>
      <c r="K450" s="330"/>
      <c r="L450" s="330"/>
      <c r="M450" s="330"/>
      <c r="N450" s="330"/>
      <c r="O450" s="330"/>
      <c r="P450" s="330"/>
      <c r="Q450" s="330"/>
      <c r="R450" s="330"/>
      <c r="S450" s="330"/>
      <c r="T450" s="330"/>
      <c r="U450" s="330"/>
      <c r="V450" s="330"/>
      <c r="W450" s="330"/>
      <c r="X450" s="330"/>
      <c r="Y450" s="330"/>
      <c r="Z450" s="619"/>
      <c r="AA450" s="619"/>
      <c r="AB450" s="619"/>
      <c r="AC450" s="619"/>
      <c r="AD450" s="60"/>
    </row>
    <row r="451" spans="1:30" x14ac:dyDescent="0.25">
      <c r="A451" s="443"/>
      <c r="B451" s="443"/>
      <c r="C451" s="443"/>
      <c r="D451" s="330"/>
      <c r="E451" s="330"/>
      <c r="F451" s="330"/>
      <c r="G451" s="330"/>
      <c r="H451" s="330"/>
      <c r="I451" s="330"/>
      <c r="J451" s="330"/>
      <c r="K451" s="330"/>
      <c r="L451" s="330"/>
      <c r="M451" s="330"/>
      <c r="N451" s="330"/>
      <c r="O451" s="330"/>
      <c r="P451" s="330"/>
      <c r="Q451" s="330"/>
      <c r="R451" s="330"/>
      <c r="S451" s="330"/>
      <c r="T451" s="330"/>
      <c r="U451" s="330"/>
      <c r="V451" s="330"/>
      <c r="W451" s="330"/>
      <c r="X451" s="330"/>
      <c r="Y451" s="330"/>
      <c r="Z451" s="619"/>
      <c r="AA451" s="619"/>
      <c r="AB451" s="619"/>
      <c r="AC451" s="619"/>
      <c r="AD451" s="60"/>
    </row>
    <row r="452" spans="1:30" x14ac:dyDescent="0.25">
      <c r="A452" s="443"/>
      <c r="B452" s="443"/>
      <c r="C452" s="443"/>
      <c r="D452" s="330"/>
      <c r="E452" s="330"/>
      <c r="F452" s="330"/>
      <c r="G452" s="330"/>
      <c r="H452" s="330"/>
      <c r="I452" s="330"/>
      <c r="J452" s="330"/>
      <c r="K452" s="330"/>
      <c r="L452" s="330"/>
      <c r="M452" s="330"/>
      <c r="N452" s="330"/>
      <c r="O452" s="330"/>
      <c r="P452" s="330"/>
      <c r="Q452" s="330"/>
      <c r="R452" s="330"/>
      <c r="S452" s="330"/>
      <c r="T452" s="330"/>
      <c r="U452" s="330"/>
      <c r="V452" s="330"/>
      <c r="W452" s="330"/>
      <c r="X452" s="330"/>
      <c r="Y452" s="330"/>
      <c r="Z452" s="619"/>
      <c r="AA452" s="619"/>
      <c r="AB452" s="619"/>
      <c r="AC452" s="619"/>
      <c r="AD452" s="60"/>
    </row>
    <row r="453" spans="1:30" x14ac:dyDescent="0.25">
      <c r="A453" s="443"/>
      <c r="B453" s="443"/>
      <c r="C453" s="443"/>
      <c r="D453" s="330"/>
      <c r="E453" s="330"/>
      <c r="F453" s="330"/>
      <c r="G453" s="330"/>
      <c r="H453" s="330"/>
      <c r="I453" s="330"/>
      <c r="J453" s="330"/>
      <c r="K453" s="330"/>
      <c r="L453" s="330"/>
      <c r="M453" s="330"/>
      <c r="N453" s="330"/>
      <c r="O453" s="330"/>
      <c r="P453" s="330"/>
      <c r="Q453" s="330"/>
      <c r="R453" s="330"/>
      <c r="S453" s="330"/>
      <c r="T453" s="330"/>
      <c r="U453" s="330"/>
      <c r="V453" s="330"/>
      <c r="W453" s="330"/>
      <c r="X453" s="330"/>
      <c r="Y453" s="330"/>
      <c r="Z453" s="619"/>
      <c r="AA453" s="619"/>
      <c r="AB453" s="619"/>
      <c r="AC453" s="619"/>
      <c r="AD453" s="60"/>
    </row>
    <row r="454" spans="1:30" x14ac:dyDescent="0.25">
      <c r="A454" s="443"/>
      <c r="B454" s="443"/>
      <c r="C454" s="443"/>
      <c r="D454" s="330"/>
      <c r="E454" s="330"/>
      <c r="F454" s="330"/>
      <c r="G454" s="330"/>
      <c r="H454" s="330"/>
      <c r="I454" s="330"/>
      <c r="J454" s="330"/>
      <c r="K454" s="330"/>
      <c r="L454" s="330"/>
      <c r="M454" s="330"/>
      <c r="N454" s="330"/>
      <c r="O454" s="330"/>
      <c r="P454" s="330"/>
      <c r="Q454" s="330"/>
      <c r="R454" s="330"/>
      <c r="S454" s="330"/>
      <c r="T454" s="330"/>
      <c r="U454" s="330"/>
      <c r="V454" s="330"/>
      <c r="W454" s="330"/>
      <c r="X454" s="330"/>
      <c r="Y454" s="330"/>
      <c r="Z454" s="619"/>
      <c r="AA454" s="619"/>
      <c r="AB454" s="619"/>
      <c r="AC454" s="619"/>
      <c r="AD454" s="60"/>
    </row>
    <row r="455" spans="1:30" x14ac:dyDescent="0.25">
      <c r="A455" s="443"/>
      <c r="B455" s="443"/>
      <c r="C455" s="443"/>
      <c r="D455" s="330"/>
      <c r="E455" s="330"/>
      <c r="F455" s="330"/>
      <c r="G455" s="330"/>
      <c r="H455" s="330"/>
      <c r="I455" s="330"/>
      <c r="J455" s="330"/>
      <c r="K455" s="330"/>
      <c r="L455" s="330"/>
      <c r="M455" s="330"/>
      <c r="N455" s="330"/>
      <c r="O455" s="330"/>
      <c r="P455" s="330"/>
      <c r="Q455" s="330"/>
      <c r="R455" s="330"/>
      <c r="S455" s="330"/>
      <c r="T455" s="330"/>
      <c r="U455" s="330"/>
      <c r="V455" s="330"/>
      <c r="W455" s="330"/>
      <c r="X455" s="330"/>
      <c r="Y455" s="330"/>
      <c r="Z455" s="619"/>
      <c r="AA455" s="619"/>
      <c r="AB455" s="619"/>
      <c r="AC455" s="619"/>
      <c r="AD455" s="60"/>
    </row>
    <row r="456" spans="1:30" x14ac:dyDescent="0.25">
      <c r="A456" s="443"/>
      <c r="B456" s="443"/>
      <c r="C456" s="443"/>
      <c r="D456" s="330"/>
      <c r="E456" s="330"/>
      <c r="F456" s="330"/>
      <c r="G456" s="330"/>
      <c r="H456" s="330"/>
      <c r="I456" s="330"/>
      <c r="J456" s="330"/>
      <c r="K456" s="330"/>
      <c r="L456" s="330"/>
      <c r="M456" s="330"/>
      <c r="N456" s="330"/>
      <c r="O456" s="330"/>
      <c r="P456" s="330"/>
      <c r="Q456" s="330"/>
      <c r="R456" s="330"/>
      <c r="S456" s="330"/>
      <c r="T456" s="330"/>
      <c r="U456" s="330"/>
      <c r="V456" s="330"/>
      <c r="W456" s="330"/>
      <c r="X456" s="330"/>
      <c r="Y456" s="330"/>
      <c r="Z456" s="619"/>
      <c r="AA456" s="619"/>
      <c r="AB456" s="619"/>
      <c r="AC456" s="619"/>
      <c r="AD456" s="60"/>
    </row>
    <row r="457" spans="1:30" x14ac:dyDescent="0.25">
      <c r="A457" s="443"/>
      <c r="B457" s="443"/>
      <c r="C457" s="443"/>
      <c r="D457" s="330"/>
      <c r="E457" s="330"/>
      <c r="F457" s="330"/>
      <c r="G457" s="330"/>
      <c r="H457" s="330"/>
      <c r="I457" s="330"/>
      <c r="J457" s="330"/>
      <c r="K457" s="330"/>
      <c r="L457" s="330"/>
      <c r="M457" s="330"/>
      <c r="N457" s="330"/>
      <c r="O457" s="330"/>
      <c r="P457" s="330"/>
      <c r="Q457" s="330"/>
      <c r="R457" s="330"/>
      <c r="S457" s="330"/>
      <c r="T457" s="330"/>
      <c r="U457" s="330"/>
      <c r="V457" s="330"/>
      <c r="W457" s="330"/>
      <c r="X457" s="330"/>
      <c r="Y457" s="330"/>
      <c r="Z457" s="619"/>
      <c r="AA457" s="619"/>
      <c r="AB457" s="619"/>
      <c r="AC457" s="619"/>
      <c r="AD457" s="60"/>
    </row>
    <row r="458" spans="1:30" x14ac:dyDescent="0.25">
      <c r="A458" s="443"/>
      <c r="B458" s="443"/>
      <c r="C458" s="443"/>
      <c r="D458" s="330"/>
      <c r="E458" s="330"/>
      <c r="F458" s="330"/>
      <c r="G458" s="330"/>
      <c r="H458" s="330"/>
      <c r="I458" s="330"/>
      <c r="J458" s="330"/>
      <c r="K458" s="330"/>
      <c r="L458" s="330"/>
      <c r="M458" s="330"/>
      <c r="N458" s="330"/>
      <c r="O458" s="330"/>
      <c r="P458" s="330"/>
      <c r="Q458" s="330"/>
      <c r="R458" s="330"/>
      <c r="S458" s="330"/>
      <c r="T458" s="330"/>
      <c r="U458" s="330"/>
      <c r="V458" s="330"/>
      <c r="W458" s="330"/>
      <c r="X458" s="330"/>
      <c r="Y458" s="330"/>
      <c r="Z458" s="619"/>
      <c r="AA458" s="619"/>
      <c r="AB458" s="619"/>
      <c r="AC458" s="619"/>
      <c r="AD458" s="60"/>
    </row>
    <row r="459" spans="1:30" x14ac:dyDescent="0.25">
      <c r="A459" s="443"/>
      <c r="B459" s="443"/>
      <c r="C459" s="443"/>
      <c r="D459" s="330"/>
      <c r="E459" s="330"/>
      <c r="F459" s="330"/>
      <c r="G459" s="330"/>
      <c r="H459" s="330"/>
      <c r="I459" s="330"/>
      <c r="J459" s="330"/>
      <c r="K459" s="330"/>
      <c r="L459" s="330"/>
      <c r="M459" s="330"/>
      <c r="N459" s="330"/>
      <c r="O459" s="330"/>
      <c r="P459" s="330"/>
      <c r="Q459" s="330"/>
      <c r="R459" s="330"/>
      <c r="S459" s="330"/>
      <c r="T459" s="330"/>
      <c r="U459" s="330"/>
      <c r="V459" s="330"/>
      <c r="W459" s="330"/>
      <c r="X459" s="330"/>
      <c r="Y459" s="330"/>
      <c r="Z459" s="619"/>
      <c r="AA459" s="619"/>
      <c r="AB459" s="619"/>
      <c r="AC459" s="619"/>
      <c r="AD459" s="60"/>
    </row>
    <row r="460" spans="1:30" x14ac:dyDescent="0.25">
      <c r="A460" s="443"/>
      <c r="B460" s="443"/>
      <c r="C460" s="443"/>
      <c r="D460" s="330"/>
      <c r="E460" s="330"/>
      <c r="F460" s="330"/>
      <c r="G460" s="330"/>
      <c r="H460" s="330"/>
      <c r="I460" s="330"/>
      <c r="J460" s="330"/>
      <c r="K460" s="330"/>
      <c r="L460" s="330"/>
      <c r="M460" s="330"/>
      <c r="N460" s="330"/>
      <c r="O460" s="330"/>
      <c r="P460" s="330"/>
      <c r="Q460" s="330"/>
      <c r="R460" s="330"/>
      <c r="S460" s="330"/>
      <c r="T460" s="330"/>
      <c r="U460" s="330"/>
      <c r="V460" s="330"/>
      <c r="W460" s="330"/>
      <c r="X460" s="330"/>
      <c r="Y460" s="330"/>
      <c r="Z460" s="619"/>
      <c r="AA460" s="619"/>
      <c r="AB460" s="619"/>
      <c r="AC460" s="619"/>
      <c r="AD460" s="60"/>
    </row>
    <row r="461" spans="1:30" x14ac:dyDescent="0.25">
      <c r="A461" s="443"/>
      <c r="B461" s="443"/>
      <c r="C461" s="443"/>
      <c r="D461" s="330"/>
      <c r="E461" s="330"/>
      <c r="F461" s="330"/>
      <c r="G461" s="330"/>
      <c r="H461" s="330"/>
      <c r="I461" s="330"/>
      <c r="J461" s="330"/>
      <c r="K461" s="330"/>
      <c r="L461" s="330"/>
      <c r="M461" s="330"/>
      <c r="N461" s="330"/>
      <c r="O461" s="330"/>
      <c r="P461" s="330"/>
      <c r="Q461" s="330"/>
      <c r="R461" s="330"/>
      <c r="S461" s="330"/>
      <c r="T461" s="330"/>
      <c r="U461" s="330"/>
      <c r="V461" s="330"/>
      <c r="W461" s="330"/>
      <c r="X461" s="330"/>
      <c r="Y461" s="330"/>
      <c r="Z461" s="619"/>
      <c r="AA461" s="619"/>
      <c r="AB461" s="619"/>
      <c r="AC461" s="619"/>
      <c r="AD461" s="60"/>
    </row>
    <row r="462" spans="1:30" x14ac:dyDescent="0.25">
      <c r="A462" s="443"/>
      <c r="B462" s="443"/>
      <c r="C462" s="443"/>
      <c r="D462" s="330"/>
      <c r="E462" s="330"/>
      <c r="F462" s="330"/>
      <c r="G462" s="330"/>
      <c r="H462" s="330"/>
      <c r="I462" s="330"/>
      <c r="J462" s="330"/>
      <c r="K462" s="330"/>
      <c r="L462" s="330"/>
      <c r="M462" s="330"/>
      <c r="N462" s="330"/>
      <c r="O462" s="330"/>
      <c r="P462" s="330"/>
      <c r="Q462" s="330"/>
      <c r="R462" s="330"/>
      <c r="S462" s="330"/>
      <c r="T462" s="330"/>
      <c r="U462" s="330"/>
      <c r="V462" s="330"/>
      <c r="W462" s="330"/>
      <c r="X462" s="330"/>
      <c r="Y462" s="330"/>
      <c r="Z462" s="619"/>
      <c r="AA462" s="619"/>
      <c r="AB462" s="619"/>
      <c r="AC462" s="619"/>
      <c r="AD462" s="60"/>
    </row>
    <row r="463" spans="1:30" x14ac:dyDescent="0.25">
      <c r="A463" s="443"/>
      <c r="B463" s="443"/>
      <c r="C463" s="443"/>
      <c r="D463" s="330"/>
      <c r="E463" s="330"/>
      <c r="F463" s="330"/>
      <c r="G463" s="330"/>
      <c r="H463" s="330"/>
      <c r="I463" s="330"/>
      <c r="J463" s="330"/>
      <c r="K463" s="330"/>
      <c r="L463" s="330"/>
      <c r="M463" s="330"/>
      <c r="N463" s="330"/>
      <c r="O463" s="330"/>
      <c r="P463" s="330"/>
      <c r="Q463" s="330"/>
      <c r="R463" s="330"/>
      <c r="S463" s="330"/>
      <c r="T463" s="330"/>
      <c r="U463" s="330"/>
      <c r="V463" s="330"/>
      <c r="W463" s="330"/>
      <c r="X463" s="330"/>
      <c r="Y463" s="330"/>
      <c r="Z463" s="619"/>
      <c r="AA463" s="619"/>
      <c r="AB463" s="619"/>
      <c r="AC463" s="619"/>
      <c r="AD463" s="60"/>
    </row>
    <row r="464" spans="1:30" x14ac:dyDescent="0.25">
      <c r="A464" s="443"/>
      <c r="B464" s="443"/>
      <c r="C464" s="443"/>
      <c r="D464" s="330"/>
      <c r="E464" s="330"/>
      <c r="F464" s="330"/>
      <c r="G464" s="330"/>
      <c r="H464" s="330"/>
      <c r="I464" s="330"/>
      <c r="J464" s="330"/>
      <c r="K464" s="330"/>
      <c r="L464" s="330"/>
      <c r="M464" s="330"/>
      <c r="N464" s="330"/>
      <c r="O464" s="330"/>
      <c r="P464" s="330"/>
      <c r="Q464" s="330"/>
      <c r="R464" s="330"/>
      <c r="S464" s="330"/>
      <c r="T464" s="330"/>
      <c r="U464" s="330"/>
      <c r="V464" s="330"/>
      <c r="W464" s="330"/>
      <c r="X464" s="330"/>
      <c r="Y464" s="330"/>
      <c r="Z464" s="619"/>
      <c r="AA464" s="619"/>
      <c r="AB464" s="619"/>
      <c r="AC464" s="619"/>
      <c r="AD464" s="60"/>
    </row>
    <row r="465" spans="1:30" x14ac:dyDescent="0.25">
      <c r="A465" s="443"/>
      <c r="B465" s="443"/>
      <c r="C465" s="443"/>
      <c r="D465" s="330"/>
      <c r="E465" s="330"/>
      <c r="F465" s="330"/>
      <c r="G465" s="330"/>
      <c r="H465" s="330"/>
      <c r="I465" s="330"/>
      <c r="J465" s="330"/>
      <c r="K465" s="330"/>
      <c r="L465" s="330"/>
      <c r="M465" s="330"/>
      <c r="N465" s="330"/>
      <c r="O465" s="330"/>
      <c r="P465" s="330"/>
      <c r="Q465" s="330"/>
      <c r="R465" s="330"/>
      <c r="S465" s="330"/>
      <c r="T465" s="330"/>
      <c r="U465" s="330"/>
      <c r="V465" s="330"/>
      <c r="W465" s="330"/>
      <c r="X465" s="330"/>
      <c r="Y465" s="330"/>
      <c r="Z465" s="619"/>
      <c r="AA465" s="619"/>
      <c r="AB465" s="619"/>
      <c r="AC465" s="619"/>
      <c r="AD465" s="60"/>
    </row>
    <row r="466" spans="1:30" x14ac:dyDescent="0.25">
      <c r="A466" s="443"/>
      <c r="B466" s="443"/>
      <c r="C466" s="443"/>
      <c r="D466" s="330"/>
      <c r="E466" s="330"/>
      <c r="F466" s="330"/>
      <c r="G466" s="330"/>
      <c r="H466" s="330"/>
      <c r="I466" s="330"/>
      <c r="J466" s="330"/>
      <c r="K466" s="330"/>
      <c r="L466" s="330"/>
      <c r="M466" s="330"/>
      <c r="N466" s="330"/>
      <c r="O466" s="330"/>
      <c r="P466" s="330"/>
      <c r="Q466" s="330"/>
      <c r="R466" s="330"/>
      <c r="S466" s="330"/>
      <c r="T466" s="330"/>
      <c r="U466" s="330"/>
      <c r="V466" s="330"/>
      <c r="W466" s="330"/>
      <c r="X466" s="330"/>
      <c r="Y466" s="330"/>
      <c r="Z466" s="619"/>
      <c r="AA466" s="619"/>
      <c r="AB466" s="619"/>
      <c r="AC466" s="619"/>
      <c r="AD466" s="60"/>
    </row>
    <row r="467" spans="1:30" x14ac:dyDescent="0.25">
      <c r="A467" s="443"/>
      <c r="B467" s="443"/>
      <c r="C467" s="443"/>
      <c r="D467" s="330"/>
      <c r="E467" s="330"/>
      <c r="F467" s="330"/>
      <c r="G467" s="330"/>
      <c r="H467" s="330"/>
      <c r="I467" s="330"/>
      <c r="J467" s="330"/>
      <c r="K467" s="330"/>
      <c r="L467" s="330"/>
      <c r="M467" s="330"/>
      <c r="N467" s="330"/>
      <c r="O467" s="330"/>
      <c r="P467" s="330"/>
      <c r="Q467" s="330"/>
      <c r="R467" s="330"/>
      <c r="S467" s="330"/>
      <c r="T467" s="330"/>
      <c r="U467" s="330"/>
      <c r="V467" s="330"/>
      <c r="W467" s="330"/>
      <c r="X467" s="330"/>
      <c r="Y467" s="330"/>
      <c r="Z467" s="619"/>
      <c r="AA467" s="619"/>
      <c r="AB467" s="619"/>
      <c r="AC467" s="619"/>
      <c r="AD467" s="60"/>
    </row>
    <row r="468" spans="1:30" x14ac:dyDescent="0.25">
      <c r="A468" s="443"/>
      <c r="B468" s="443"/>
      <c r="C468" s="443"/>
      <c r="D468" s="330"/>
      <c r="E468" s="330"/>
      <c r="F468" s="330"/>
      <c r="G468" s="330"/>
      <c r="H468" s="330"/>
      <c r="I468" s="330"/>
      <c r="J468" s="330"/>
      <c r="K468" s="330"/>
      <c r="L468" s="330"/>
      <c r="M468" s="330"/>
      <c r="N468" s="330"/>
      <c r="O468" s="330"/>
      <c r="P468" s="330"/>
      <c r="Q468" s="330"/>
      <c r="R468" s="330"/>
      <c r="S468" s="330"/>
      <c r="T468" s="330"/>
      <c r="U468" s="330"/>
      <c r="V468" s="330"/>
      <c r="W468" s="330"/>
      <c r="X468" s="330"/>
      <c r="Y468" s="330"/>
      <c r="Z468" s="619"/>
      <c r="AA468" s="619"/>
      <c r="AB468" s="619"/>
      <c r="AC468" s="619"/>
      <c r="AD468" s="60"/>
    </row>
    <row r="469" spans="1:30" x14ac:dyDescent="0.25">
      <c r="A469" s="443"/>
      <c r="B469" s="443"/>
      <c r="C469" s="443"/>
      <c r="D469" s="330"/>
      <c r="E469" s="330"/>
      <c r="F469" s="330"/>
      <c r="G469" s="330"/>
      <c r="H469" s="330"/>
      <c r="I469" s="330"/>
      <c r="J469" s="330"/>
      <c r="K469" s="330"/>
      <c r="L469" s="330"/>
      <c r="M469" s="330"/>
      <c r="N469" s="330"/>
      <c r="O469" s="330"/>
      <c r="P469" s="330"/>
      <c r="Q469" s="330"/>
      <c r="R469" s="330"/>
      <c r="S469" s="330"/>
      <c r="T469" s="330"/>
      <c r="U469" s="330"/>
      <c r="V469" s="330"/>
      <c r="W469" s="330"/>
      <c r="X469" s="330"/>
      <c r="Y469" s="330"/>
      <c r="Z469" s="619"/>
      <c r="AA469" s="619"/>
      <c r="AB469" s="619"/>
      <c r="AC469" s="619"/>
      <c r="AD469" s="60"/>
    </row>
    <row r="470" spans="1:30" x14ac:dyDescent="0.25">
      <c r="A470" s="443"/>
      <c r="B470" s="443"/>
      <c r="C470" s="443"/>
      <c r="D470" s="330"/>
      <c r="E470" s="330"/>
      <c r="F470" s="330"/>
      <c r="G470" s="330"/>
      <c r="H470" s="330"/>
      <c r="I470" s="330"/>
      <c r="J470" s="330"/>
      <c r="K470" s="330"/>
      <c r="L470" s="330"/>
      <c r="M470" s="330"/>
      <c r="N470" s="330"/>
      <c r="O470" s="330"/>
      <c r="P470" s="330"/>
      <c r="Q470" s="330"/>
      <c r="R470" s="330"/>
      <c r="S470" s="330"/>
      <c r="T470" s="330"/>
      <c r="U470" s="330"/>
      <c r="V470" s="330"/>
      <c r="W470" s="330"/>
      <c r="X470" s="330"/>
      <c r="Y470" s="330"/>
      <c r="Z470" s="619"/>
      <c r="AA470" s="619"/>
      <c r="AB470" s="619"/>
      <c r="AC470" s="619"/>
      <c r="AD470" s="60"/>
    </row>
    <row r="471" spans="1:30" x14ac:dyDescent="0.25">
      <c r="A471" s="443"/>
      <c r="B471" s="443"/>
      <c r="C471" s="443"/>
      <c r="D471" s="330"/>
      <c r="E471" s="330"/>
      <c r="F471" s="330"/>
      <c r="G471" s="330"/>
      <c r="H471" s="330"/>
      <c r="I471" s="330"/>
      <c r="J471" s="330"/>
      <c r="K471" s="330"/>
      <c r="L471" s="330"/>
      <c r="M471" s="330"/>
      <c r="N471" s="330"/>
      <c r="O471" s="330"/>
      <c r="P471" s="330"/>
      <c r="Q471" s="330"/>
      <c r="R471" s="330"/>
      <c r="S471" s="330"/>
      <c r="T471" s="330"/>
      <c r="U471" s="330"/>
      <c r="V471" s="330"/>
      <c r="W471" s="330"/>
      <c r="X471" s="330"/>
      <c r="Y471" s="330"/>
      <c r="Z471" s="619"/>
      <c r="AA471" s="619"/>
      <c r="AB471" s="619"/>
      <c r="AC471" s="619"/>
      <c r="AD471" s="60"/>
    </row>
    <row r="472" spans="1:30" x14ac:dyDescent="0.25">
      <c r="A472" s="443">
        <v>44014</v>
      </c>
      <c r="B472" s="443"/>
      <c r="C472" s="443"/>
      <c r="D472" s="330" t="s">
        <v>518</v>
      </c>
      <c r="E472" s="330"/>
      <c r="F472" s="330"/>
      <c r="G472" s="330"/>
      <c r="H472" s="330"/>
      <c r="I472" s="330"/>
      <c r="J472" s="330"/>
      <c r="K472" s="330"/>
      <c r="L472" s="330" t="s">
        <v>519</v>
      </c>
      <c r="M472" s="330"/>
      <c r="N472" s="330"/>
      <c r="O472" s="330"/>
      <c r="P472" s="330"/>
      <c r="Q472" s="330"/>
      <c r="R472" s="330"/>
      <c r="S472" s="330"/>
      <c r="T472" s="330"/>
      <c r="U472" s="330">
        <v>4</v>
      </c>
      <c r="V472" s="330"/>
      <c r="W472" s="330"/>
      <c r="X472" s="330"/>
      <c r="Y472" s="330"/>
      <c r="Z472" s="619">
        <v>3</v>
      </c>
      <c r="AA472" s="619"/>
      <c r="AB472" s="619"/>
      <c r="AC472" s="619"/>
      <c r="AD472" s="60"/>
    </row>
    <row r="473" spans="1:30" x14ac:dyDescent="0.25">
      <c r="A473" s="443">
        <v>44021</v>
      </c>
      <c r="B473" s="443"/>
      <c r="C473" s="443"/>
      <c r="D473" s="330" t="s">
        <v>518</v>
      </c>
      <c r="E473" s="330"/>
      <c r="F473" s="330"/>
      <c r="G473" s="330"/>
      <c r="H473" s="330"/>
      <c r="I473" s="330"/>
      <c r="J473" s="330"/>
      <c r="K473" s="330"/>
      <c r="L473" s="330" t="s">
        <v>519</v>
      </c>
      <c r="M473" s="330"/>
      <c r="N473" s="330"/>
      <c r="O473" s="330"/>
      <c r="P473" s="330"/>
      <c r="Q473" s="330"/>
      <c r="R473" s="330"/>
      <c r="S473" s="330"/>
      <c r="T473" s="330"/>
      <c r="U473" s="330">
        <v>4</v>
      </c>
      <c r="V473" s="330"/>
      <c r="W473" s="330"/>
      <c r="X473" s="330"/>
      <c r="Y473" s="330"/>
      <c r="Z473" s="619">
        <v>3</v>
      </c>
      <c r="AA473" s="619"/>
      <c r="AB473" s="619"/>
      <c r="AC473" s="619"/>
      <c r="AD473" s="60"/>
    </row>
    <row r="474" spans="1:30" x14ac:dyDescent="0.25">
      <c r="A474" s="443">
        <v>44028</v>
      </c>
      <c r="B474" s="443"/>
      <c r="C474" s="443"/>
      <c r="D474" s="330" t="s">
        <v>518</v>
      </c>
      <c r="E474" s="330"/>
      <c r="F474" s="330"/>
      <c r="G474" s="330"/>
      <c r="H474" s="330"/>
      <c r="I474" s="330"/>
      <c r="J474" s="330"/>
      <c r="K474" s="330"/>
      <c r="L474" s="330" t="s">
        <v>519</v>
      </c>
      <c r="M474" s="330"/>
      <c r="N474" s="330"/>
      <c r="O474" s="330"/>
      <c r="P474" s="330"/>
      <c r="Q474" s="330"/>
      <c r="R474" s="330"/>
      <c r="S474" s="330"/>
      <c r="T474" s="330"/>
      <c r="U474" s="330">
        <v>4</v>
      </c>
      <c r="V474" s="330"/>
      <c r="W474" s="330"/>
      <c r="X474" s="330"/>
      <c r="Y474" s="330"/>
      <c r="Z474" s="619">
        <v>3</v>
      </c>
      <c r="AA474" s="619"/>
      <c r="AB474" s="619"/>
      <c r="AC474" s="619"/>
      <c r="AD474" s="60"/>
    </row>
    <row r="475" spans="1:30" x14ac:dyDescent="0.25">
      <c r="A475" s="443">
        <v>44035</v>
      </c>
      <c r="B475" s="443"/>
      <c r="C475" s="443"/>
      <c r="D475" s="330" t="s">
        <v>518</v>
      </c>
      <c r="E475" s="330"/>
      <c r="F475" s="330"/>
      <c r="G475" s="330"/>
      <c r="H475" s="330"/>
      <c r="I475" s="330"/>
      <c r="J475" s="330"/>
      <c r="K475" s="330"/>
      <c r="L475" s="330" t="s">
        <v>519</v>
      </c>
      <c r="M475" s="330"/>
      <c r="N475" s="330"/>
      <c r="O475" s="330"/>
      <c r="P475" s="330"/>
      <c r="Q475" s="330"/>
      <c r="R475" s="330"/>
      <c r="S475" s="330"/>
      <c r="T475" s="330"/>
      <c r="U475" s="330">
        <v>4</v>
      </c>
      <c r="V475" s="330"/>
      <c r="W475" s="330"/>
      <c r="X475" s="330"/>
      <c r="Y475" s="330"/>
      <c r="Z475" s="619">
        <v>3</v>
      </c>
      <c r="AA475" s="619"/>
      <c r="AB475" s="619"/>
      <c r="AC475" s="619"/>
      <c r="AD475" s="60"/>
    </row>
    <row r="476" spans="1:30" x14ac:dyDescent="0.25">
      <c r="A476" s="443">
        <v>44042</v>
      </c>
      <c r="B476" s="443"/>
      <c r="C476" s="443"/>
      <c r="D476" s="330" t="s">
        <v>518</v>
      </c>
      <c r="E476" s="330"/>
      <c r="F476" s="330"/>
      <c r="G476" s="330"/>
      <c r="H476" s="330"/>
      <c r="I476" s="330"/>
      <c r="J476" s="330"/>
      <c r="K476" s="330"/>
      <c r="L476" s="330" t="s">
        <v>519</v>
      </c>
      <c r="M476" s="330"/>
      <c r="N476" s="330"/>
      <c r="O476" s="330"/>
      <c r="P476" s="330"/>
      <c r="Q476" s="330"/>
      <c r="R476" s="330"/>
      <c r="S476" s="330"/>
      <c r="T476" s="330"/>
      <c r="U476" s="330">
        <v>4</v>
      </c>
      <c r="V476" s="330"/>
      <c r="W476" s="330"/>
      <c r="X476" s="330"/>
      <c r="Y476" s="330"/>
      <c r="Z476" s="619">
        <v>3</v>
      </c>
      <c r="AA476" s="619"/>
      <c r="AB476" s="619"/>
      <c r="AC476" s="619"/>
      <c r="AD476" s="60"/>
    </row>
    <row r="477" spans="1:30" x14ac:dyDescent="0.25">
      <c r="A477" s="443"/>
      <c r="B477" s="443"/>
      <c r="C477" s="443"/>
      <c r="D477" s="330"/>
      <c r="E477" s="330"/>
      <c r="F477" s="330"/>
      <c r="G477" s="330"/>
      <c r="H477" s="330"/>
      <c r="I477" s="330"/>
      <c r="J477" s="330"/>
      <c r="K477" s="330"/>
      <c r="L477" s="330"/>
      <c r="M477" s="330"/>
      <c r="N477" s="330"/>
      <c r="O477" s="330"/>
      <c r="P477" s="330"/>
      <c r="Q477" s="330"/>
      <c r="R477" s="330"/>
      <c r="S477" s="330"/>
      <c r="T477" s="330"/>
      <c r="U477" s="330"/>
      <c r="V477" s="330"/>
      <c r="W477" s="330"/>
      <c r="X477" s="330"/>
      <c r="Y477" s="330"/>
      <c r="Z477" s="619"/>
      <c r="AA477" s="619"/>
      <c r="AB477" s="619"/>
      <c r="AC477" s="619"/>
      <c r="AD477" s="60"/>
    </row>
    <row r="478" spans="1:30" x14ac:dyDescent="0.25">
      <c r="A478" s="443"/>
      <c r="B478" s="443"/>
      <c r="C478" s="443"/>
      <c r="D478" s="330"/>
      <c r="E478" s="330"/>
      <c r="F478" s="330"/>
      <c r="G478" s="330"/>
      <c r="H478" s="330"/>
      <c r="I478" s="330"/>
      <c r="J478" s="330"/>
      <c r="K478" s="330"/>
      <c r="L478" s="330"/>
      <c r="M478" s="330"/>
      <c r="N478" s="330"/>
      <c r="O478" s="330"/>
      <c r="P478" s="330"/>
      <c r="Q478" s="330"/>
      <c r="R478" s="330"/>
      <c r="S478" s="330"/>
      <c r="T478" s="330"/>
      <c r="U478" s="330"/>
      <c r="V478" s="330"/>
      <c r="W478" s="330"/>
      <c r="X478" s="330"/>
      <c r="Y478" s="330"/>
      <c r="Z478" s="619"/>
      <c r="AA478" s="619"/>
      <c r="AB478" s="619"/>
      <c r="AC478" s="619"/>
      <c r="AD478" s="60"/>
    </row>
    <row r="479" spans="1:30" x14ac:dyDescent="0.25">
      <c r="A479" s="443"/>
      <c r="B479" s="443"/>
      <c r="C479" s="443"/>
      <c r="D479" s="330"/>
      <c r="E479" s="330"/>
      <c r="F479" s="330"/>
      <c r="G479" s="330"/>
      <c r="H479" s="330"/>
      <c r="I479" s="330"/>
      <c r="J479" s="330"/>
      <c r="K479" s="330"/>
      <c r="L479" s="330"/>
      <c r="M479" s="330"/>
      <c r="N479" s="330"/>
      <c r="O479" s="330"/>
      <c r="P479" s="330"/>
      <c r="Q479" s="330"/>
      <c r="R479" s="330"/>
      <c r="S479" s="330"/>
      <c r="T479" s="330"/>
      <c r="U479" s="330"/>
      <c r="V479" s="330"/>
      <c r="W479" s="330"/>
      <c r="X479" s="330"/>
      <c r="Y479" s="330"/>
      <c r="Z479" s="619"/>
      <c r="AA479" s="619"/>
      <c r="AB479" s="619"/>
      <c r="AC479" s="619"/>
      <c r="AD479" s="60"/>
    </row>
    <row r="480" spans="1:30" x14ac:dyDescent="0.25">
      <c r="A480" s="443"/>
      <c r="B480" s="443"/>
      <c r="C480" s="443"/>
      <c r="D480" s="330"/>
      <c r="E480" s="330"/>
      <c r="F480" s="330"/>
      <c r="G480" s="330"/>
      <c r="H480" s="330"/>
      <c r="I480" s="330"/>
      <c r="J480" s="330"/>
      <c r="K480" s="330"/>
      <c r="L480" s="330"/>
      <c r="M480" s="330"/>
      <c r="N480" s="330"/>
      <c r="O480" s="330"/>
      <c r="P480" s="330"/>
      <c r="Q480" s="330"/>
      <c r="R480" s="330"/>
      <c r="S480" s="330"/>
      <c r="T480" s="330"/>
      <c r="U480" s="330"/>
      <c r="V480" s="330"/>
      <c r="W480" s="330"/>
      <c r="X480" s="330"/>
      <c r="Y480" s="330"/>
      <c r="Z480" s="619"/>
      <c r="AA480" s="619"/>
      <c r="AB480" s="619"/>
      <c r="AC480" s="619"/>
      <c r="AD480" s="60"/>
    </row>
    <row r="481" spans="1:30" x14ac:dyDescent="0.25">
      <c r="A481" s="443"/>
      <c r="B481" s="443"/>
      <c r="C481" s="443"/>
      <c r="D481" s="330"/>
      <c r="E481" s="330"/>
      <c r="F481" s="330"/>
      <c r="G481" s="330"/>
      <c r="H481" s="330"/>
      <c r="I481" s="330"/>
      <c r="J481" s="330"/>
      <c r="K481" s="330"/>
      <c r="L481" s="330"/>
      <c r="M481" s="330"/>
      <c r="N481" s="330"/>
      <c r="O481" s="330"/>
      <c r="P481" s="330"/>
      <c r="Q481" s="330"/>
      <c r="R481" s="330"/>
      <c r="S481" s="330"/>
      <c r="T481" s="330"/>
      <c r="U481" s="330"/>
      <c r="V481" s="330"/>
      <c r="W481" s="330"/>
      <c r="X481" s="330"/>
      <c r="Y481" s="330"/>
      <c r="Z481" s="619"/>
      <c r="AA481" s="619"/>
      <c r="AB481" s="619"/>
      <c r="AC481" s="619"/>
      <c r="AD481" s="60"/>
    </row>
    <row r="482" spans="1:30" x14ac:dyDescent="0.25">
      <c r="A482" s="443"/>
      <c r="B482" s="443"/>
      <c r="C482" s="443"/>
      <c r="D482" s="330"/>
      <c r="E482" s="330"/>
      <c r="F482" s="330"/>
      <c r="G482" s="330"/>
      <c r="H482" s="330"/>
      <c r="I482" s="330"/>
      <c r="J482" s="330"/>
      <c r="K482" s="330"/>
      <c r="L482" s="330"/>
      <c r="M482" s="330"/>
      <c r="N482" s="330"/>
      <c r="O482" s="330"/>
      <c r="P482" s="330"/>
      <c r="Q482" s="330"/>
      <c r="R482" s="330"/>
      <c r="S482" s="330"/>
      <c r="T482" s="330"/>
      <c r="U482" s="330"/>
      <c r="V482" s="330"/>
      <c r="W482" s="330"/>
      <c r="X482" s="330"/>
      <c r="Y482" s="330"/>
      <c r="Z482" s="619"/>
      <c r="AA482" s="619"/>
      <c r="AB482" s="619"/>
      <c r="AC482" s="619"/>
      <c r="AD482" s="60"/>
    </row>
    <row r="483" spans="1:30" x14ac:dyDescent="0.25">
      <c r="A483" s="443"/>
      <c r="B483" s="443"/>
      <c r="C483" s="443"/>
      <c r="D483" s="330"/>
      <c r="E483" s="330"/>
      <c r="F483" s="330"/>
      <c r="G483" s="330"/>
      <c r="H483" s="330"/>
      <c r="I483" s="330"/>
      <c r="J483" s="330"/>
      <c r="K483" s="330"/>
      <c r="L483" s="330"/>
      <c r="M483" s="330"/>
      <c r="N483" s="330"/>
      <c r="O483" s="330"/>
      <c r="P483" s="330"/>
      <c r="Q483" s="330"/>
      <c r="R483" s="330"/>
      <c r="S483" s="330"/>
      <c r="T483" s="330"/>
      <c r="U483" s="330"/>
      <c r="V483" s="330"/>
      <c r="W483" s="330"/>
      <c r="X483" s="330"/>
      <c r="Y483" s="330"/>
      <c r="Z483" s="619"/>
      <c r="AA483" s="619"/>
      <c r="AB483" s="619"/>
      <c r="AC483" s="619"/>
      <c r="AD483" s="60"/>
    </row>
    <row r="484" spans="1:30" x14ac:dyDescent="0.25">
      <c r="A484" s="443"/>
      <c r="B484" s="443"/>
      <c r="C484" s="443"/>
      <c r="D484" s="330"/>
      <c r="E484" s="330"/>
      <c r="F484" s="330"/>
      <c r="G484" s="330"/>
      <c r="H484" s="330"/>
      <c r="I484" s="330"/>
      <c r="J484" s="330"/>
      <c r="K484" s="330"/>
      <c r="L484" s="330"/>
      <c r="M484" s="330"/>
      <c r="N484" s="330"/>
      <c r="O484" s="330"/>
      <c r="P484" s="330"/>
      <c r="Q484" s="330"/>
      <c r="R484" s="330"/>
      <c r="S484" s="330"/>
      <c r="T484" s="330"/>
      <c r="U484" s="330"/>
      <c r="V484" s="330"/>
      <c r="W484" s="330"/>
      <c r="X484" s="330"/>
      <c r="Y484" s="330"/>
      <c r="Z484" s="619"/>
      <c r="AA484" s="619"/>
      <c r="AB484" s="619"/>
      <c r="AC484" s="619"/>
      <c r="AD484" s="60"/>
    </row>
    <row r="485" spans="1:30" x14ac:dyDescent="0.25">
      <c r="A485" s="443"/>
      <c r="B485" s="443"/>
      <c r="C485" s="443"/>
      <c r="D485" s="330"/>
      <c r="E485" s="330"/>
      <c r="F485" s="330"/>
      <c r="G485" s="330"/>
      <c r="H485" s="330"/>
      <c r="I485" s="330"/>
      <c r="J485" s="330"/>
      <c r="K485" s="330"/>
      <c r="L485" s="330"/>
      <c r="M485" s="330"/>
      <c r="N485" s="330"/>
      <c r="O485" s="330"/>
      <c r="P485" s="330"/>
      <c r="Q485" s="330"/>
      <c r="R485" s="330"/>
      <c r="S485" s="330"/>
      <c r="T485" s="330"/>
      <c r="U485" s="330"/>
      <c r="V485" s="330"/>
      <c r="W485" s="330"/>
      <c r="X485" s="330"/>
      <c r="Y485" s="330"/>
      <c r="Z485" s="619"/>
      <c r="AA485" s="619"/>
      <c r="AB485" s="619"/>
      <c r="AC485" s="619"/>
      <c r="AD485" s="60"/>
    </row>
    <row r="486" spans="1:30" x14ac:dyDescent="0.25">
      <c r="A486" s="443"/>
      <c r="B486" s="443"/>
      <c r="C486" s="443"/>
      <c r="D486" s="330"/>
      <c r="E486" s="330"/>
      <c r="F486" s="330"/>
      <c r="G486" s="330"/>
      <c r="H486" s="330"/>
      <c r="I486" s="330"/>
      <c r="J486" s="330"/>
      <c r="K486" s="330"/>
      <c r="L486" s="330"/>
      <c r="M486" s="330"/>
      <c r="N486" s="330"/>
      <c r="O486" s="330"/>
      <c r="P486" s="330"/>
      <c r="Q486" s="330"/>
      <c r="R486" s="330"/>
      <c r="S486" s="330"/>
      <c r="T486" s="330"/>
      <c r="U486" s="330"/>
      <c r="V486" s="330"/>
      <c r="W486" s="330"/>
      <c r="X486" s="330"/>
      <c r="Y486" s="330"/>
      <c r="Z486" s="619"/>
      <c r="AA486" s="619"/>
      <c r="AB486" s="619"/>
      <c r="AC486" s="619"/>
      <c r="AD486" s="60"/>
    </row>
    <row r="487" spans="1:30" x14ac:dyDescent="0.25">
      <c r="A487" s="443"/>
      <c r="B487" s="443"/>
      <c r="C487" s="443"/>
      <c r="D487" s="330"/>
      <c r="E487" s="330"/>
      <c r="F487" s="330"/>
      <c r="G487" s="330"/>
      <c r="H487" s="330"/>
      <c r="I487" s="330"/>
      <c r="J487" s="330"/>
      <c r="K487" s="330"/>
      <c r="L487" s="330"/>
      <c r="M487" s="330"/>
      <c r="N487" s="330"/>
      <c r="O487" s="330"/>
      <c r="P487" s="330"/>
      <c r="Q487" s="330"/>
      <c r="R487" s="330"/>
      <c r="S487" s="330"/>
      <c r="T487" s="330"/>
      <c r="U487" s="330"/>
      <c r="V487" s="330"/>
      <c r="W487" s="330"/>
      <c r="X487" s="330"/>
      <c r="Y487" s="330"/>
      <c r="Z487" s="619"/>
      <c r="AA487" s="619"/>
      <c r="AB487" s="619"/>
      <c r="AC487" s="619"/>
      <c r="AD487" s="60"/>
    </row>
    <row r="488" spans="1:30" x14ac:dyDescent="0.25">
      <c r="A488" s="443"/>
      <c r="B488" s="443"/>
      <c r="C488" s="443"/>
      <c r="D488" s="330"/>
      <c r="E488" s="330"/>
      <c r="F488" s="330"/>
      <c r="G488" s="330"/>
      <c r="H488" s="330"/>
      <c r="I488" s="330"/>
      <c r="J488" s="330"/>
      <c r="K488" s="330"/>
      <c r="L488" s="330"/>
      <c r="M488" s="330"/>
      <c r="N488" s="330"/>
      <c r="O488" s="330"/>
      <c r="P488" s="330"/>
      <c r="Q488" s="330"/>
      <c r="R488" s="330"/>
      <c r="S488" s="330"/>
      <c r="T488" s="330"/>
      <c r="U488" s="330"/>
      <c r="V488" s="330"/>
      <c r="W488" s="330"/>
      <c r="X488" s="330"/>
      <c r="Y488" s="330"/>
      <c r="Z488" s="619"/>
      <c r="AA488" s="619"/>
      <c r="AB488" s="619"/>
      <c r="AC488" s="619"/>
      <c r="AD488" s="60"/>
    </row>
    <row r="489" spans="1:30" x14ac:dyDescent="0.25">
      <c r="A489" s="443"/>
      <c r="B489" s="443"/>
      <c r="C489" s="443"/>
      <c r="D489" s="330"/>
      <c r="E489" s="330"/>
      <c r="F489" s="330"/>
      <c r="G489" s="330"/>
      <c r="H489" s="330"/>
      <c r="I489" s="330"/>
      <c r="J489" s="330"/>
      <c r="K489" s="330"/>
      <c r="L489" s="330"/>
      <c r="M489" s="330"/>
      <c r="N489" s="330"/>
      <c r="O489" s="330"/>
      <c r="P489" s="330"/>
      <c r="Q489" s="330"/>
      <c r="R489" s="330"/>
      <c r="S489" s="330"/>
      <c r="T489" s="330"/>
      <c r="U489" s="330"/>
      <c r="V489" s="330"/>
      <c r="W489" s="330"/>
      <c r="X489" s="330"/>
      <c r="Y489" s="330"/>
      <c r="Z489" s="619"/>
      <c r="AA489" s="619"/>
      <c r="AB489" s="619"/>
      <c r="AC489" s="619"/>
      <c r="AD489" s="60"/>
    </row>
    <row r="490" spans="1:30" x14ac:dyDescent="0.25">
      <c r="A490" s="443"/>
      <c r="B490" s="443"/>
      <c r="C490" s="443"/>
      <c r="D490" s="330"/>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619"/>
      <c r="AA490" s="619"/>
      <c r="AB490" s="619"/>
      <c r="AC490" s="619"/>
      <c r="AD490" s="60"/>
    </row>
    <row r="491" spans="1:30" x14ac:dyDescent="0.25">
      <c r="A491" s="443"/>
      <c r="B491" s="443"/>
      <c r="C491" s="443"/>
      <c r="D491" s="330"/>
      <c r="E491" s="330"/>
      <c r="F491" s="330"/>
      <c r="G491" s="330"/>
      <c r="H491" s="330"/>
      <c r="I491" s="330"/>
      <c r="J491" s="330"/>
      <c r="K491" s="330"/>
      <c r="L491" s="330"/>
      <c r="M491" s="330"/>
      <c r="N491" s="330"/>
      <c r="O491" s="330"/>
      <c r="P491" s="330"/>
      <c r="Q491" s="330"/>
      <c r="R491" s="330"/>
      <c r="S491" s="330"/>
      <c r="T491" s="330"/>
      <c r="U491" s="330"/>
      <c r="V491" s="330"/>
      <c r="W491" s="330"/>
      <c r="X491" s="330"/>
      <c r="Y491" s="330"/>
      <c r="Z491" s="619"/>
      <c r="AA491" s="619"/>
      <c r="AB491" s="619"/>
      <c r="AC491" s="619"/>
      <c r="AD491" s="60"/>
    </row>
    <row r="492" spans="1:30" x14ac:dyDescent="0.25">
      <c r="A492" s="443"/>
      <c r="B492" s="443"/>
      <c r="C492" s="443"/>
      <c r="D492" s="330"/>
      <c r="E492" s="330"/>
      <c r="F492" s="330"/>
      <c r="G492" s="330"/>
      <c r="H492" s="330"/>
      <c r="I492" s="330"/>
      <c r="J492" s="330"/>
      <c r="K492" s="330"/>
      <c r="L492" s="330"/>
      <c r="M492" s="330"/>
      <c r="N492" s="330"/>
      <c r="O492" s="330"/>
      <c r="P492" s="330"/>
      <c r="Q492" s="330"/>
      <c r="R492" s="330"/>
      <c r="S492" s="330"/>
      <c r="T492" s="330"/>
      <c r="U492" s="330"/>
      <c r="V492" s="330"/>
      <c r="W492" s="330"/>
      <c r="X492" s="330"/>
      <c r="Y492" s="330"/>
      <c r="Z492" s="619"/>
      <c r="AA492" s="619"/>
      <c r="AB492" s="619"/>
      <c r="AC492" s="619"/>
      <c r="AD492" s="60"/>
    </row>
    <row r="493" spans="1:30" x14ac:dyDescent="0.25">
      <c r="A493" s="443"/>
      <c r="B493" s="443"/>
      <c r="C493" s="443"/>
      <c r="D493" s="330"/>
      <c r="E493" s="330"/>
      <c r="F493" s="330"/>
      <c r="G493" s="330"/>
      <c r="H493" s="330"/>
      <c r="I493" s="330"/>
      <c r="J493" s="330"/>
      <c r="K493" s="330"/>
      <c r="L493" s="330"/>
      <c r="M493" s="330"/>
      <c r="N493" s="330"/>
      <c r="O493" s="330"/>
      <c r="P493" s="330"/>
      <c r="Q493" s="330"/>
      <c r="R493" s="330"/>
      <c r="S493" s="330"/>
      <c r="T493" s="330"/>
      <c r="U493" s="330"/>
      <c r="V493" s="330"/>
      <c r="W493" s="330"/>
      <c r="X493" s="330"/>
      <c r="Y493" s="330"/>
      <c r="Z493" s="619"/>
      <c r="AA493" s="619"/>
      <c r="AB493" s="619"/>
      <c r="AC493" s="619"/>
      <c r="AD493" s="60"/>
    </row>
    <row r="494" spans="1:30" x14ac:dyDescent="0.25">
      <c r="A494" s="443"/>
      <c r="B494" s="443"/>
      <c r="C494" s="443"/>
      <c r="D494" s="330"/>
      <c r="E494" s="330"/>
      <c r="F494" s="330"/>
      <c r="G494" s="330"/>
      <c r="H494" s="330"/>
      <c r="I494" s="330"/>
      <c r="J494" s="330"/>
      <c r="K494" s="330"/>
      <c r="L494" s="330"/>
      <c r="M494" s="330"/>
      <c r="N494" s="330"/>
      <c r="O494" s="330"/>
      <c r="P494" s="330"/>
      <c r="Q494" s="330"/>
      <c r="R494" s="330"/>
      <c r="S494" s="330"/>
      <c r="T494" s="330"/>
      <c r="U494" s="330"/>
      <c r="V494" s="330"/>
      <c r="W494" s="330"/>
      <c r="X494" s="330"/>
      <c r="Y494" s="330"/>
      <c r="Z494" s="619"/>
      <c r="AA494" s="619"/>
      <c r="AB494" s="619"/>
      <c r="AC494" s="619"/>
      <c r="AD494" s="60"/>
    </row>
    <row r="495" spans="1:30" x14ac:dyDescent="0.25">
      <c r="A495" s="443"/>
      <c r="B495" s="443"/>
      <c r="C495" s="443"/>
      <c r="D495" s="330"/>
      <c r="E495" s="330"/>
      <c r="F495" s="330"/>
      <c r="G495" s="330"/>
      <c r="H495" s="330"/>
      <c r="I495" s="330"/>
      <c r="J495" s="330"/>
      <c r="K495" s="330"/>
      <c r="L495" s="330"/>
      <c r="M495" s="330"/>
      <c r="N495" s="330"/>
      <c r="O495" s="330"/>
      <c r="P495" s="330"/>
      <c r="Q495" s="330"/>
      <c r="R495" s="330"/>
      <c r="S495" s="330"/>
      <c r="T495" s="330"/>
      <c r="U495" s="330"/>
      <c r="V495" s="330"/>
      <c r="W495" s="330"/>
      <c r="X495" s="330"/>
      <c r="Y495" s="330"/>
      <c r="Z495" s="619"/>
      <c r="AA495" s="619"/>
      <c r="AB495" s="619"/>
      <c r="AC495" s="619"/>
      <c r="AD495" s="60"/>
    </row>
    <row r="496" spans="1:30" x14ac:dyDescent="0.25">
      <c r="A496" s="443"/>
      <c r="B496" s="443"/>
      <c r="C496" s="443"/>
      <c r="D496" s="330"/>
      <c r="E496" s="330"/>
      <c r="F496" s="330"/>
      <c r="G496" s="330"/>
      <c r="H496" s="330"/>
      <c r="I496" s="330"/>
      <c r="J496" s="330"/>
      <c r="K496" s="330"/>
      <c r="L496" s="330"/>
      <c r="M496" s="330"/>
      <c r="N496" s="330"/>
      <c r="O496" s="330"/>
      <c r="P496" s="330"/>
      <c r="Q496" s="330"/>
      <c r="R496" s="330"/>
      <c r="S496" s="330"/>
      <c r="T496" s="330"/>
      <c r="U496" s="330"/>
      <c r="V496" s="330"/>
      <c r="W496" s="330"/>
      <c r="X496" s="330"/>
      <c r="Y496" s="330"/>
      <c r="Z496" s="619"/>
      <c r="AA496" s="619"/>
      <c r="AB496" s="619"/>
      <c r="AC496" s="619"/>
      <c r="AD496" s="60"/>
    </row>
    <row r="497" spans="1:30" x14ac:dyDescent="0.25">
      <c r="A497" s="443"/>
      <c r="B497" s="443"/>
      <c r="C497" s="443"/>
      <c r="D497" s="330"/>
      <c r="E497" s="330"/>
      <c r="F497" s="330"/>
      <c r="G497" s="330"/>
      <c r="H497" s="330"/>
      <c r="I497" s="330"/>
      <c r="J497" s="330"/>
      <c r="K497" s="330"/>
      <c r="L497" s="330"/>
      <c r="M497" s="330"/>
      <c r="N497" s="330"/>
      <c r="O497" s="330"/>
      <c r="P497" s="330"/>
      <c r="Q497" s="330"/>
      <c r="R497" s="330"/>
      <c r="S497" s="330"/>
      <c r="T497" s="330"/>
      <c r="U497" s="330"/>
      <c r="V497" s="330"/>
      <c r="W497" s="330"/>
      <c r="X497" s="330"/>
      <c r="Y497" s="330"/>
      <c r="Z497" s="619"/>
      <c r="AA497" s="619"/>
      <c r="AB497" s="619"/>
      <c r="AC497" s="619"/>
      <c r="AD497" s="60"/>
    </row>
    <row r="498" spans="1:30" x14ac:dyDescent="0.25">
      <c r="A498" s="443"/>
      <c r="B498" s="443"/>
      <c r="C498" s="443"/>
      <c r="D498" s="330"/>
      <c r="E498" s="330"/>
      <c r="F498" s="330"/>
      <c r="G498" s="330"/>
      <c r="H498" s="330"/>
      <c r="I498" s="330"/>
      <c r="J498" s="330"/>
      <c r="K498" s="330"/>
      <c r="L498" s="330"/>
      <c r="M498" s="330"/>
      <c r="N498" s="330"/>
      <c r="O498" s="330"/>
      <c r="P498" s="330"/>
      <c r="Q498" s="330"/>
      <c r="R498" s="330"/>
      <c r="S498" s="330"/>
      <c r="T498" s="330"/>
      <c r="U498" s="330"/>
      <c r="V498" s="330"/>
      <c r="W498" s="330"/>
      <c r="X498" s="330"/>
      <c r="Y498" s="330"/>
      <c r="Z498" s="619"/>
      <c r="AA498" s="619"/>
      <c r="AB498" s="619"/>
      <c r="AC498" s="619"/>
      <c r="AD498" s="60"/>
    </row>
    <row r="499" spans="1:30" x14ac:dyDescent="0.25">
      <c r="A499" s="443"/>
      <c r="B499" s="443"/>
      <c r="C499" s="443"/>
      <c r="D499" s="330"/>
      <c r="E499" s="330"/>
      <c r="F499" s="330"/>
      <c r="G499" s="330"/>
      <c r="H499" s="330"/>
      <c r="I499" s="330"/>
      <c r="J499" s="330"/>
      <c r="K499" s="330"/>
      <c r="L499" s="330"/>
      <c r="M499" s="330"/>
      <c r="N499" s="330"/>
      <c r="O499" s="330"/>
      <c r="P499" s="330"/>
      <c r="Q499" s="330"/>
      <c r="R499" s="330"/>
      <c r="S499" s="330"/>
      <c r="T499" s="330"/>
      <c r="U499" s="330"/>
      <c r="V499" s="330"/>
      <c r="W499" s="330"/>
      <c r="X499" s="330"/>
      <c r="Y499" s="330"/>
      <c r="Z499" s="619"/>
      <c r="AA499" s="619"/>
      <c r="AB499" s="619"/>
      <c r="AC499" s="619"/>
      <c r="AD499" s="60"/>
    </row>
    <row r="500" spans="1:30" x14ac:dyDescent="0.25">
      <c r="A500" s="443"/>
      <c r="B500" s="443"/>
      <c r="C500" s="443"/>
      <c r="D500" s="330"/>
      <c r="E500" s="330"/>
      <c r="F500" s="330"/>
      <c r="G500" s="330"/>
      <c r="H500" s="330"/>
      <c r="I500" s="330"/>
      <c r="J500" s="330"/>
      <c r="K500" s="330"/>
      <c r="L500" s="330"/>
      <c r="M500" s="330"/>
      <c r="N500" s="330"/>
      <c r="O500" s="330"/>
      <c r="P500" s="330"/>
      <c r="Q500" s="330"/>
      <c r="R500" s="330"/>
      <c r="S500" s="330"/>
      <c r="T500" s="330"/>
      <c r="U500" s="330"/>
      <c r="V500" s="330"/>
      <c r="W500" s="330"/>
      <c r="X500" s="330"/>
      <c r="Y500" s="330"/>
      <c r="Z500" s="619"/>
      <c r="AA500" s="619"/>
      <c r="AB500" s="619"/>
      <c r="AC500" s="619"/>
      <c r="AD500" s="60"/>
    </row>
  </sheetData>
  <sheetProtection algorithmName="SHA-512" hashValue="XBTiUNXzhYZoI9pjEwiCyLBmMi+9mHhgcQDIuQlVglYeQmFG9A8/oTS7d565PKg4Y4xpfShb/EDKZ9Fd2x7coA==" saltValue="wJp5+S14Od0f6/ub8ega+A==" spinCount="100000" sheet="1" objects="1" scenarios="1" selectLockedCells="1"/>
  <mergeCells count="2485">
    <mergeCell ref="A7:C7"/>
    <mergeCell ref="D7:K7"/>
    <mergeCell ref="L7:T7"/>
    <mergeCell ref="U7:Y7"/>
    <mergeCell ref="Z7:AC7"/>
    <mergeCell ref="A8:C8"/>
    <mergeCell ref="D8:K8"/>
    <mergeCell ref="L8:T8"/>
    <mergeCell ref="U8:Y8"/>
    <mergeCell ref="Z8:AC8"/>
    <mergeCell ref="A5:F5"/>
    <mergeCell ref="G5:K5"/>
    <mergeCell ref="L5:P5"/>
    <mergeCell ref="R5:T5"/>
    <mergeCell ref="U5:AC5"/>
    <mergeCell ref="A6:AC6"/>
    <mergeCell ref="A1:AC2"/>
    <mergeCell ref="A3:F3"/>
    <mergeCell ref="G3:P3"/>
    <mergeCell ref="R3:T3"/>
    <mergeCell ref="U3:AC3"/>
    <mergeCell ref="A4:F4"/>
    <mergeCell ref="G4:P4"/>
    <mergeCell ref="R4:T4"/>
    <mergeCell ref="U4:AC4"/>
    <mergeCell ref="A11:C11"/>
    <mergeCell ref="D11:K11"/>
    <mergeCell ref="L11:T11"/>
    <mergeCell ref="U11:Y11"/>
    <mergeCell ref="Z11:AC11"/>
    <mergeCell ref="A12:C12"/>
    <mergeCell ref="D12:K12"/>
    <mergeCell ref="L12:T12"/>
    <mergeCell ref="U12:Y12"/>
    <mergeCell ref="Z12:AC12"/>
    <mergeCell ref="A9:C9"/>
    <mergeCell ref="D9:K9"/>
    <mergeCell ref="L9:T9"/>
    <mergeCell ref="U9:Y9"/>
    <mergeCell ref="Z9:AC9"/>
    <mergeCell ref="A10:C10"/>
    <mergeCell ref="D10:K10"/>
    <mergeCell ref="L10:T10"/>
    <mergeCell ref="U10:Y10"/>
    <mergeCell ref="Z10:AC10"/>
    <mergeCell ref="A15:C15"/>
    <mergeCell ref="D15:K15"/>
    <mergeCell ref="L15:T15"/>
    <mergeCell ref="U15:Y15"/>
    <mergeCell ref="Z15:AC15"/>
    <mergeCell ref="A16:C16"/>
    <mergeCell ref="D16:K16"/>
    <mergeCell ref="L16:T16"/>
    <mergeCell ref="U16:Y16"/>
    <mergeCell ref="Z16:AC16"/>
    <mergeCell ref="A13:C13"/>
    <mergeCell ref="D13:K13"/>
    <mergeCell ref="L13:T13"/>
    <mergeCell ref="U13:Y13"/>
    <mergeCell ref="Z13:AC13"/>
    <mergeCell ref="A14:C14"/>
    <mergeCell ref="D14:K14"/>
    <mergeCell ref="L14:T14"/>
    <mergeCell ref="U14:Y14"/>
    <mergeCell ref="Z14:AC14"/>
    <mergeCell ref="A19:C19"/>
    <mergeCell ref="D19:K19"/>
    <mergeCell ref="L19:T19"/>
    <mergeCell ref="U19:Y19"/>
    <mergeCell ref="Z19:AC19"/>
    <mergeCell ref="A20:C20"/>
    <mergeCell ref="D20:K20"/>
    <mergeCell ref="L20:T20"/>
    <mergeCell ref="U20:Y20"/>
    <mergeCell ref="Z20:AC20"/>
    <mergeCell ref="A17:C17"/>
    <mergeCell ref="D17:K17"/>
    <mergeCell ref="L17:T17"/>
    <mergeCell ref="U17:Y17"/>
    <mergeCell ref="Z17:AC17"/>
    <mergeCell ref="A18:C18"/>
    <mergeCell ref="D18:K18"/>
    <mergeCell ref="L18:T18"/>
    <mergeCell ref="U18:Y18"/>
    <mergeCell ref="Z18:AC18"/>
    <mergeCell ref="A23:C23"/>
    <mergeCell ref="D23:K23"/>
    <mergeCell ref="L23:T23"/>
    <mergeCell ref="U23:Y23"/>
    <mergeCell ref="Z23:AC23"/>
    <mergeCell ref="A24:C24"/>
    <mergeCell ref="D24:K24"/>
    <mergeCell ref="L24:T24"/>
    <mergeCell ref="U24:Y24"/>
    <mergeCell ref="Z24:AC24"/>
    <mergeCell ref="A21:C21"/>
    <mergeCell ref="D21:K21"/>
    <mergeCell ref="L21:T21"/>
    <mergeCell ref="U21:Y21"/>
    <mergeCell ref="Z21:AC21"/>
    <mergeCell ref="A22:C22"/>
    <mergeCell ref="D22:K22"/>
    <mergeCell ref="L22:T22"/>
    <mergeCell ref="U22:Y22"/>
    <mergeCell ref="Z22:AC22"/>
    <mergeCell ref="A27:C27"/>
    <mergeCell ref="D27:K27"/>
    <mergeCell ref="L27:T27"/>
    <mergeCell ref="U27:Y27"/>
    <mergeCell ref="Z27:AC27"/>
    <mergeCell ref="A28:C28"/>
    <mergeCell ref="D28:K28"/>
    <mergeCell ref="L28:T28"/>
    <mergeCell ref="U28:Y28"/>
    <mergeCell ref="Z28:AC28"/>
    <mergeCell ref="A25:C25"/>
    <mergeCell ref="D25:K25"/>
    <mergeCell ref="L25:T25"/>
    <mergeCell ref="U25:Y25"/>
    <mergeCell ref="Z25:AC25"/>
    <mergeCell ref="A26:C26"/>
    <mergeCell ref="D26:K26"/>
    <mergeCell ref="L26:T26"/>
    <mergeCell ref="U26:Y26"/>
    <mergeCell ref="Z26:AC26"/>
    <mergeCell ref="A31:C31"/>
    <mergeCell ref="D31:K31"/>
    <mergeCell ref="L31:T31"/>
    <mergeCell ref="U31:Y31"/>
    <mergeCell ref="Z31:AC31"/>
    <mergeCell ref="A32:C32"/>
    <mergeCell ref="D32:K32"/>
    <mergeCell ref="L32:T32"/>
    <mergeCell ref="U32:Y32"/>
    <mergeCell ref="Z32:AC32"/>
    <mergeCell ref="A29:C29"/>
    <mergeCell ref="D29:K29"/>
    <mergeCell ref="L29:T29"/>
    <mergeCell ref="U29:Y29"/>
    <mergeCell ref="Z29:AC29"/>
    <mergeCell ref="A30:C30"/>
    <mergeCell ref="D30:K30"/>
    <mergeCell ref="L30:T30"/>
    <mergeCell ref="U30:Y30"/>
    <mergeCell ref="Z30:AC30"/>
    <mergeCell ref="A35:C35"/>
    <mergeCell ref="D35:K35"/>
    <mergeCell ref="L35:T35"/>
    <mergeCell ref="U35:Y35"/>
    <mergeCell ref="Z35:AC35"/>
    <mergeCell ref="A36:C36"/>
    <mergeCell ref="D36:K36"/>
    <mergeCell ref="L36:T36"/>
    <mergeCell ref="U36:Y36"/>
    <mergeCell ref="Z36:AC36"/>
    <mergeCell ref="A33:C33"/>
    <mergeCell ref="D33:K33"/>
    <mergeCell ref="L33:T33"/>
    <mergeCell ref="U33:Y33"/>
    <mergeCell ref="Z33:AC33"/>
    <mergeCell ref="A34:C34"/>
    <mergeCell ref="D34:K34"/>
    <mergeCell ref="L34:T34"/>
    <mergeCell ref="U34:Y34"/>
    <mergeCell ref="Z34:AC34"/>
    <mergeCell ref="A39:C39"/>
    <mergeCell ref="D39:K39"/>
    <mergeCell ref="L39:T39"/>
    <mergeCell ref="U39:Y39"/>
    <mergeCell ref="Z39:AC39"/>
    <mergeCell ref="A40:C40"/>
    <mergeCell ref="D40:K40"/>
    <mergeCell ref="L40:T40"/>
    <mergeCell ref="U40:Y40"/>
    <mergeCell ref="Z40:AC40"/>
    <mergeCell ref="A37:C37"/>
    <mergeCell ref="D37:K37"/>
    <mergeCell ref="L37:T37"/>
    <mergeCell ref="U37:Y37"/>
    <mergeCell ref="Z37:AC37"/>
    <mergeCell ref="A38:C38"/>
    <mergeCell ref="D38:K38"/>
    <mergeCell ref="L38:T38"/>
    <mergeCell ref="U38:Y38"/>
    <mergeCell ref="Z38:AC38"/>
    <mergeCell ref="A43:C43"/>
    <mergeCell ref="D43:K43"/>
    <mergeCell ref="L43:T43"/>
    <mergeCell ref="U43:Y43"/>
    <mergeCell ref="Z43:AC43"/>
    <mergeCell ref="A44:C44"/>
    <mergeCell ref="D44:K44"/>
    <mergeCell ref="L44:T44"/>
    <mergeCell ref="U44:Y44"/>
    <mergeCell ref="Z44:AC44"/>
    <mergeCell ref="A41:C41"/>
    <mergeCell ref="D41:K41"/>
    <mergeCell ref="L41:T41"/>
    <mergeCell ref="U41:Y41"/>
    <mergeCell ref="Z41:AC41"/>
    <mergeCell ref="A42:C42"/>
    <mergeCell ref="D42:K42"/>
    <mergeCell ref="L42:T42"/>
    <mergeCell ref="U42:Y42"/>
    <mergeCell ref="Z42:AC42"/>
    <mergeCell ref="A47:C47"/>
    <mergeCell ref="D47:K47"/>
    <mergeCell ref="L47:T47"/>
    <mergeCell ref="U47:Y47"/>
    <mergeCell ref="Z47:AC47"/>
    <mergeCell ref="A48:C48"/>
    <mergeCell ref="D48:K48"/>
    <mergeCell ref="L48:T48"/>
    <mergeCell ref="U48:Y48"/>
    <mergeCell ref="Z48:AC48"/>
    <mergeCell ref="A45:C45"/>
    <mergeCell ref="D45:K45"/>
    <mergeCell ref="L45:T45"/>
    <mergeCell ref="U45:Y45"/>
    <mergeCell ref="Z45:AC45"/>
    <mergeCell ref="A46:C46"/>
    <mergeCell ref="D46:K46"/>
    <mergeCell ref="L46:T46"/>
    <mergeCell ref="U46:Y46"/>
    <mergeCell ref="Z46:AC46"/>
    <mergeCell ref="A51:C51"/>
    <mergeCell ref="D51:K51"/>
    <mergeCell ref="L51:T51"/>
    <mergeCell ref="U51:Y51"/>
    <mergeCell ref="Z51:AC51"/>
    <mergeCell ref="A52:C52"/>
    <mergeCell ref="D52:K52"/>
    <mergeCell ref="L52:T52"/>
    <mergeCell ref="U52:Y52"/>
    <mergeCell ref="Z52:AC52"/>
    <mergeCell ref="A49:C49"/>
    <mergeCell ref="D49:K49"/>
    <mergeCell ref="L49:T49"/>
    <mergeCell ref="U49:Y49"/>
    <mergeCell ref="Z49:AC49"/>
    <mergeCell ref="A50:C50"/>
    <mergeCell ref="D50:K50"/>
    <mergeCell ref="L50:T50"/>
    <mergeCell ref="U50:Y50"/>
    <mergeCell ref="Z50:AC50"/>
    <mergeCell ref="A55:C55"/>
    <mergeCell ref="D55:K55"/>
    <mergeCell ref="L55:T55"/>
    <mergeCell ref="U55:Y55"/>
    <mergeCell ref="Z55:AC55"/>
    <mergeCell ref="A56:C56"/>
    <mergeCell ref="D56:K56"/>
    <mergeCell ref="L56:T56"/>
    <mergeCell ref="U56:Y56"/>
    <mergeCell ref="Z56:AC56"/>
    <mergeCell ref="A53:C53"/>
    <mergeCell ref="D53:K53"/>
    <mergeCell ref="L53:T53"/>
    <mergeCell ref="U53:Y53"/>
    <mergeCell ref="Z53:AC53"/>
    <mergeCell ref="A54:C54"/>
    <mergeCell ref="D54:K54"/>
    <mergeCell ref="L54:T54"/>
    <mergeCell ref="U54:Y54"/>
    <mergeCell ref="Z54:AC54"/>
    <mergeCell ref="A59:C59"/>
    <mergeCell ref="D59:K59"/>
    <mergeCell ref="L59:T59"/>
    <mergeCell ref="U59:Y59"/>
    <mergeCell ref="Z59:AC59"/>
    <mergeCell ref="A60:C60"/>
    <mergeCell ref="D60:K60"/>
    <mergeCell ref="L60:T60"/>
    <mergeCell ref="U60:Y60"/>
    <mergeCell ref="Z60:AC60"/>
    <mergeCell ref="A57:C57"/>
    <mergeCell ref="D57:K57"/>
    <mergeCell ref="L57:T57"/>
    <mergeCell ref="U57:Y57"/>
    <mergeCell ref="Z57:AC57"/>
    <mergeCell ref="A58:C58"/>
    <mergeCell ref="D58:K58"/>
    <mergeCell ref="L58:T58"/>
    <mergeCell ref="U58:Y58"/>
    <mergeCell ref="Z58:AC58"/>
    <mergeCell ref="A63:C63"/>
    <mergeCell ref="D63:K63"/>
    <mergeCell ref="L63:T63"/>
    <mergeCell ref="U63:Y63"/>
    <mergeCell ref="Z63:AC63"/>
    <mergeCell ref="A64:C64"/>
    <mergeCell ref="D64:K64"/>
    <mergeCell ref="L64:T64"/>
    <mergeCell ref="U64:Y64"/>
    <mergeCell ref="Z64:AC64"/>
    <mergeCell ref="A61:C61"/>
    <mergeCell ref="D61:K61"/>
    <mergeCell ref="L61:T61"/>
    <mergeCell ref="U61:Y61"/>
    <mergeCell ref="Z61:AC61"/>
    <mergeCell ref="A62:C62"/>
    <mergeCell ref="D62:K62"/>
    <mergeCell ref="L62:T62"/>
    <mergeCell ref="U62:Y62"/>
    <mergeCell ref="Z62:AC62"/>
    <mergeCell ref="A67:C67"/>
    <mergeCell ref="D67:K67"/>
    <mergeCell ref="L67:T67"/>
    <mergeCell ref="U67:Y67"/>
    <mergeCell ref="Z67:AC67"/>
    <mergeCell ref="A68:C68"/>
    <mergeCell ref="D68:K68"/>
    <mergeCell ref="L68:T68"/>
    <mergeCell ref="U68:Y68"/>
    <mergeCell ref="Z68:AC68"/>
    <mergeCell ref="A65:C65"/>
    <mergeCell ref="D65:K65"/>
    <mergeCell ref="L65:T65"/>
    <mergeCell ref="U65:Y65"/>
    <mergeCell ref="Z65:AC65"/>
    <mergeCell ref="A66:C66"/>
    <mergeCell ref="D66:K66"/>
    <mergeCell ref="L66:T66"/>
    <mergeCell ref="U66:Y66"/>
    <mergeCell ref="Z66:AC66"/>
    <mergeCell ref="A71:C71"/>
    <mergeCell ref="D71:K71"/>
    <mergeCell ref="L71:T71"/>
    <mergeCell ref="U71:Y71"/>
    <mergeCell ref="Z71:AC71"/>
    <mergeCell ref="A72:C72"/>
    <mergeCell ref="D72:K72"/>
    <mergeCell ref="L72:T72"/>
    <mergeCell ref="U72:Y72"/>
    <mergeCell ref="Z72:AC72"/>
    <mergeCell ref="A69:C69"/>
    <mergeCell ref="D69:K69"/>
    <mergeCell ref="L69:T69"/>
    <mergeCell ref="U69:Y69"/>
    <mergeCell ref="Z69:AC69"/>
    <mergeCell ref="A70:C70"/>
    <mergeCell ref="D70:K70"/>
    <mergeCell ref="L70:T70"/>
    <mergeCell ref="U70:Y70"/>
    <mergeCell ref="Z70:AC70"/>
    <mergeCell ref="A75:C75"/>
    <mergeCell ref="D75:K75"/>
    <mergeCell ref="L75:T75"/>
    <mergeCell ref="U75:Y75"/>
    <mergeCell ref="Z75:AC75"/>
    <mergeCell ref="A76:C76"/>
    <mergeCell ref="D76:K76"/>
    <mergeCell ref="L76:T76"/>
    <mergeCell ref="U76:Y76"/>
    <mergeCell ref="Z76:AC76"/>
    <mergeCell ref="A73:C73"/>
    <mergeCell ref="D73:K73"/>
    <mergeCell ref="L73:T73"/>
    <mergeCell ref="U73:Y73"/>
    <mergeCell ref="Z73:AC73"/>
    <mergeCell ref="A74:C74"/>
    <mergeCell ref="D74:K74"/>
    <mergeCell ref="L74:T74"/>
    <mergeCell ref="U74:Y74"/>
    <mergeCell ref="Z74:AC74"/>
    <mergeCell ref="A79:C79"/>
    <mergeCell ref="D79:K79"/>
    <mergeCell ref="L79:T79"/>
    <mergeCell ref="U79:Y79"/>
    <mergeCell ref="Z79:AC79"/>
    <mergeCell ref="A80:C80"/>
    <mergeCell ref="D80:K80"/>
    <mergeCell ref="L80:T80"/>
    <mergeCell ref="U80:Y80"/>
    <mergeCell ref="Z80:AC80"/>
    <mergeCell ref="A77:C77"/>
    <mergeCell ref="D77:K77"/>
    <mergeCell ref="L77:T77"/>
    <mergeCell ref="U77:Y77"/>
    <mergeCell ref="Z77:AC77"/>
    <mergeCell ref="A78:C78"/>
    <mergeCell ref="D78:K78"/>
    <mergeCell ref="L78:T78"/>
    <mergeCell ref="U78:Y78"/>
    <mergeCell ref="Z78:AC78"/>
    <mergeCell ref="A83:C83"/>
    <mergeCell ref="D83:K83"/>
    <mergeCell ref="L83:T83"/>
    <mergeCell ref="U83:Y83"/>
    <mergeCell ref="Z83:AC83"/>
    <mergeCell ref="A84:C84"/>
    <mergeCell ref="D84:K84"/>
    <mergeCell ref="L84:T84"/>
    <mergeCell ref="U84:Y84"/>
    <mergeCell ref="Z84:AC84"/>
    <mergeCell ref="A81:C81"/>
    <mergeCell ref="D81:K81"/>
    <mergeCell ref="L81:T81"/>
    <mergeCell ref="U81:Y81"/>
    <mergeCell ref="Z81:AC81"/>
    <mergeCell ref="A82:C82"/>
    <mergeCell ref="D82:K82"/>
    <mergeCell ref="L82:T82"/>
    <mergeCell ref="U82:Y82"/>
    <mergeCell ref="Z82:AC82"/>
    <mergeCell ref="A87:C87"/>
    <mergeCell ref="D87:K87"/>
    <mergeCell ref="L87:T87"/>
    <mergeCell ref="U87:Y87"/>
    <mergeCell ref="Z87:AC87"/>
    <mergeCell ref="A88:C88"/>
    <mergeCell ref="D88:K88"/>
    <mergeCell ref="L88:T88"/>
    <mergeCell ref="U88:Y88"/>
    <mergeCell ref="Z88:AC88"/>
    <mergeCell ref="A85:C85"/>
    <mergeCell ref="D85:K85"/>
    <mergeCell ref="L85:T85"/>
    <mergeCell ref="U85:Y85"/>
    <mergeCell ref="Z85:AC85"/>
    <mergeCell ref="A86:C86"/>
    <mergeCell ref="D86:K86"/>
    <mergeCell ref="L86:T86"/>
    <mergeCell ref="U86:Y86"/>
    <mergeCell ref="Z86:AC86"/>
    <mergeCell ref="A91:C91"/>
    <mergeCell ref="D91:K91"/>
    <mergeCell ref="L91:T91"/>
    <mergeCell ref="U91:Y91"/>
    <mergeCell ref="Z91:AC91"/>
    <mergeCell ref="A92:C92"/>
    <mergeCell ref="D92:K92"/>
    <mergeCell ref="L92:T92"/>
    <mergeCell ref="U92:Y92"/>
    <mergeCell ref="Z92:AC92"/>
    <mergeCell ref="A89:C89"/>
    <mergeCell ref="D89:K89"/>
    <mergeCell ref="L89:T89"/>
    <mergeCell ref="U89:Y89"/>
    <mergeCell ref="Z89:AC89"/>
    <mergeCell ref="A90:C90"/>
    <mergeCell ref="D90:K90"/>
    <mergeCell ref="L90:T90"/>
    <mergeCell ref="U90:Y90"/>
    <mergeCell ref="Z90:AC90"/>
    <mergeCell ref="A95:C95"/>
    <mergeCell ref="D95:K95"/>
    <mergeCell ref="L95:T95"/>
    <mergeCell ref="U95:Y95"/>
    <mergeCell ref="Z95:AC95"/>
    <mergeCell ref="A96:C96"/>
    <mergeCell ref="D96:K96"/>
    <mergeCell ref="L96:T96"/>
    <mergeCell ref="U96:Y96"/>
    <mergeCell ref="Z96:AC96"/>
    <mergeCell ref="A93:C93"/>
    <mergeCell ref="D93:K93"/>
    <mergeCell ref="L93:T93"/>
    <mergeCell ref="U93:Y93"/>
    <mergeCell ref="Z93:AC93"/>
    <mergeCell ref="A94:C94"/>
    <mergeCell ref="D94:K94"/>
    <mergeCell ref="L94:T94"/>
    <mergeCell ref="U94:Y94"/>
    <mergeCell ref="Z94:AC94"/>
    <mergeCell ref="A99:C99"/>
    <mergeCell ref="D99:K99"/>
    <mergeCell ref="L99:T99"/>
    <mergeCell ref="U99:Y99"/>
    <mergeCell ref="Z99:AC99"/>
    <mergeCell ref="A100:C100"/>
    <mergeCell ref="D100:K100"/>
    <mergeCell ref="L100:T100"/>
    <mergeCell ref="U100:Y100"/>
    <mergeCell ref="Z100:AC100"/>
    <mergeCell ref="A97:C97"/>
    <mergeCell ref="D97:K97"/>
    <mergeCell ref="L97:T97"/>
    <mergeCell ref="U97:Y97"/>
    <mergeCell ref="Z97:AC97"/>
    <mergeCell ref="A98:C98"/>
    <mergeCell ref="D98:K98"/>
    <mergeCell ref="L98:T98"/>
    <mergeCell ref="U98:Y98"/>
    <mergeCell ref="Z98:AC98"/>
    <mergeCell ref="A103:C103"/>
    <mergeCell ref="D103:K103"/>
    <mergeCell ref="L103:T103"/>
    <mergeCell ref="U103:Y103"/>
    <mergeCell ref="Z103:AC103"/>
    <mergeCell ref="A104:C104"/>
    <mergeCell ref="D104:K104"/>
    <mergeCell ref="L104:T104"/>
    <mergeCell ref="U104:Y104"/>
    <mergeCell ref="Z104:AC104"/>
    <mergeCell ref="A101:C101"/>
    <mergeCell ref="D101:K101"/>
    <mergeCell ref="L101:T101"/>
    <mergeCell ref="U101:Y101"/>
    <mergeCell ref="Z101:AC101"/>
    <mergeCell ref="A102:C102"/>
    <mergeCell ref="D102:K102"/>
    <mergeCell ref="L102:T102"/>
    <mergeCell ref="U102:Y102"/>
    <mergeCell ref="Z102:AC102"/>
    <mergeCell ref="A107:C107"/>
    <mergeCell ref="D107:K107"/>
    <mergeCell ref="L107:T107"/>
    <mergeCell ref="U107:Y107"/>
    <mergeCell ref="Z107:AC107"/>
    <mergeCell ref="A108:C108"/>
    <mergeCell ref="D108:K108"/>
    <mergeCell ref="L108:T108"/>
    <mergeCell ref="U108:Y108"/>
    <mergeCell ref="Z108:AC108"/>
    <mergeCell ref="A105:C105"/>
    <mergeCell ref="D105:K105"/>
    <mergeCell ref="L105:T105"/>
    <mergeCell ref="U105:Y105"/>
    <mergeCell ref="Z105:AC105"/>
    <mergeCell ref="A106:C106"/>
    <mergeCell ref="D106:K106"/>
    <mergeCell ref="L106:T106"/>
    <mergeCell ref="U106:Y106"/>
    <mergeCell ref="Z106:AC106"/>
    <mergeCell ref="A111:C111"/>
    <mergeCell ref="D111:K111"/>
    <mergeCell ref="L111:T111"/>
    <mergeCell ref="U111:Y111"/>
    <mergeCell ref="Z111:AC111"/>
    <mergeCell ref="A112:C112"/>
    <mergeCell ref="D112:K112"/>
    <mergeCell ref="L112:T112"/>
    <mergeCell ref="U112:Y112"/>
    <mergeCell ref="Z112:AC112"/>
    <mergeCell ref="A109:C109"/>
    <mergeCell ref="D109:K109"/>
    <mergeCell ref="L109:T109"/>
    <mergeCell ref="U109:Y109"/>
    <mergeCell ref="Z109:AC109"/>
    <mergeCell ref="A110:C110"/>
    <mergeCell ref="D110:K110"/>
    <mergeCell ref="L110:T110"/>
    <mergeCell ref="U110:Y110"/>
    <mergeCell ref="Z110:AC110"/>
    <mergeCell ref="A115:C115"/>
    <mergeCell ref="D115:K115"/>
    <mergeCell ref="L115:T115"/>
    <mergeCell ref="U115:Y115"/>
    <mergeCell ref="Z115:AC115"/>
    <mergeCell ref="A116:C116"/>
    <mergeCell ref="D116:K116"/>
    <mergeCell ref="L116:T116"/>
    <mergeCell ref="U116:Y116"/>
    <mergeCell ref="Z116:AC116"/>
    <mergeCell ref="A113:C113"/>
    <mergeCell ref="D113:K113"/>
    <mergeCell ref="L113:T113"/>
    <mergeCell ref="U113:Y113"/>
    <mergeCell ref="Z113:AC113"/>
    <mergeCell ref="A114:C114"/>
    <mergeCell ref="D114:K114"/>
    <mergeCell ref="L114:T114"/>
    <mergeCell ref="U114:Y114"/>
    <mergeCell ref="Z114:AC114"/>
    <mergeCell ref="A119:C119"/>
    <mergeCell ref="D119:K119"/>
    <mergeCell ref="L119:T119"/>
    <mergeCell ref="U119:Y119"/>
    <mergeCell ref="Z119:AC119"/>
    <mergeCell ref="A120:C120"/>
    <mergeCell ref="D120:K120"/>
    <mergeCell ref="L120:T120"/>
    <mergeCell ref="U120:Y120"/>
    <mergeCell ref="Z120:AC120"/>
    <mergeCell ref="A117:C117"/>
    <mergeCell ref="D117:K117"/>
    <mergeCell ref="L117:T117"/>
    <mergeCell ref="U117:Y117"/>
    <mergeCell ref="Z117:AC117"/>
    <mergeCell ref="A118:C118"/>
    <mergeCell ref="D118:K118"/>
    <mergeCell ref="L118:T118"/>
    <mergeCell ref="U118:Y118"/>
    <mergeCell ref="Z118:AC118"/>
    <mergeCell ref="A123:C123"/>
    <mergeCell ref="D123:K123"/>
    <mergeCell ref="L123:T123"/>
    <mergeCell ref="U123:Y123"/>
    <mergeCell ref="Z123:AC123"/>
    <mergeCell ref="A124:C124"/>
    <mergeCell ref="D124:K124"/>
    <mergeCell ref="L124:T124"/>
    <mergeCell ref="U124:Y124"/>
    <mergeCell ref="Z124:AC124"/>
    <mergeCell ref="A121:C121"/>
    <mergeCell ref="D121:K121"/>
    <mergeCell ref="L121:T121"/>
    <mergeCell ref="U121:Y121"/>
    <mergeCell ref="Z121:AC121"/>
    <mergeCell ref="A122:C122"/>
    <mergeCell ref="D122:K122"/>
    <mergeCell ref="L122:T122"/>
    <mergeCell ref="U122:Y122"/>
    <mergeCell ref="Z122:AC122"/>
    <mergeCell ref="A127:C127"/>
    <mergeCell ref="D127:K127"/>
    <mergeCell ref="L127:T127"/>
    <mergeCell ref="U127:Y127"/>
    <mergeCell ref="Z127:AC127"/>
    <mergeCell ref="A128:C128"/>
    <mergeCell ref="D128:K128"/>
    <mergeCell ref="L128:T128"/>
    <mergeCell ref="U128:Y128"/>
    <mergeCell ref="Z128:AC128"/>
    <mergeCell ref="A125:C125"/>
    <mergeCell ref="D125:K125"/>
    <mergeCell ref="L125:T125"/>
    <mergeCell ref="U125:Y125"/>
    <mergeCell ref="Z125:AC125"/>
    <mergeCell ref="A126:C126"/>
    <mergeCell ref="D126:K126"/>
    <mergeCell ref="L126:T126"/>
    <mergeCell ref="U126:Y126"/>
    <mergeCell ref="Z126:AC126"/>
    <mergeCell ref="A131:C131"/>
    <mergeCell ref="D131:K131"/>
    <mergeCell ref="L131:T131"/>
    <mergeCell ref="U131:Y131"/>
    <mergeCell ref="Z131:AC131"/>
    <mergeCell ref="A132:C132"/>
    <mergeCell ref="D132:K132"/>
    <mergeCell ref="L132:T132"/>
    <mergeCell ref="U132:Y132"/>
    <mergeCell ref="Z132:AC132"/>
    <mergeCell ref="A129:C129"/>
    <mergeCell ref="D129:K129"/>
    <mergeCell ref="L129:T129"/>
    <mergeCell ref="U129:Y129"/>
    <mergeCell ref="Z129:AC129"/>
    <mergeCell ref="A130:C130"/>
    <mergeCell ref="D130:K130"/>
    <mergeCell ref="L130:T130"/>
    <mergeCell ref="U130:Y130"/>
    <mergeCell ref="Z130:AC130"/>
    <mergeCell ref="A135:C135"/>
    <mergeCell ref="D135:K135"/>
    <mergeCell ref="L135:T135"/>
    <mergeCell ref="U135:Y135"/>
    <mergeCell ref="Z135:AC135"/>
    <mergeCell ref="A136:C136"/>
    <mergeCell ref="D136:K136"/>
    <mergeCell ref="L136:T136"/>
    <mergeCell ref="U136:Y136"/>
    <mergeCell ref="Z136:AC136"/>
    <mergeCell ref="A133:C133"/>
    <mergeCell ref="D133:K133"/>
    <mergeCell ref="L133:T133"/>
    <mergeCell ref="U133:Y133"/>
    <mergeCell ref="Z133:AC133"/>
    <mergeCell ref="A134:C134"/>
    <mergeCell ref="D134:K134"/>
    <mergeCell ref="L134:T134"/>
    <mergeCell ref="U134:Y134"/>
    <mergeCell ref="Z134:AC134"/>
    <mergeCell ref="A139:C139"/>
    <mergeCell ref="D139:K139"/>
    <mergeCell ref="L139:T139"/>
    <mergeCell ref="U139:Y139"/>
    <mergeCell ref="Z139:AC139"/>
    <mergeCell ref="A140:C140"/>
    <mergeCell ref="D140:K140"/>
    <mergeCell ref="L140:T140"/>
    <mergeCell ref="U140:Y140"/>
    <mergeCell ref="Z140:AC140"/>
    <mergeCell ref="A137:C137"/>
    <mergeCell ref="D137:K137"/>
    <mergeCell ref="L137:T137"/>
    <mergeCell ref="U137:Y137"/>
    <mergeCell ref="Z137:AC137"/>
    <mergeCell ref="A138:C138"/>
    <mergeCell ref="D138:K138"/>
    <mergeCell ref="L138:T138"/>
    <mergeCell ref="U138:Y138"/>
    <mergeCell ref="Z138:AC138"/>
    <mergeCell ref="A143:C143"/>
    <mergeCell ref="D143:K143"/>
    <mergeCell ref="L143:T143"/>
    <mergeCell ref="U143:Y143"/>
    <mergeCell ref="Z143:AC143"/>
    <mergeCell ref="A144:C144"/>
    <mergeCell ref="D144:K144"/>
    <mergeCell ref="L144:T144"/>
    <mergeCell ref="U144:Y144"/>
    <mergeCell ref="Z144:AC144"/>
    <mergeCell ref="A141:C141"/>
    <mergeCell ref="D141:K141"/>
    <mergeCell ref="L141:T141"/>
    <mergeCell ref="U141:Y141"/>
    <mergeCell ref="Z141:AC141"/>
    <mergeCell ref="A142:C142"/>
    <mergeCell ref="D142:K142"/>
    <mergeCell ref="L142:T142"/>
    <mergeCell ref="U142:Y142"/>
    <mergeCell ref="Z142:AC142"/>
    <mergeCell ref="A147:C147"/>
    <mergeCell ref="D147:K147"/>
    <mergeCell ref="L147:T147"/>
    <mergeCell ref="U147:Y147"/>
    <mergeCell ref="Z147:AC147"/>
    <mergeCell ref="A148:C148"/>
    <mergeCell ref="D148:K148"/>
    <mergeCell ref="L148:T148"/>
    <mergeCell ref="U148:Y148"/>
    <mergeCell ref="Z148:AC148"/>
    <mergeCell ref="A145:C145"/>
    <mergeCell ref="D145:K145"/>
    <mergeCell ref="L145:T145"/>
    <mergeCell ref="U145:Y145"/>
    <mergeCell ref="Z145:AC145"/>
    <mergeCell ref="A146:C146"/>
    <mergeCell ref="D146:K146"/>
    <mergeCell ref="L146:T146"/>
    <mergeCell ref="U146:Y146"/>
    <mergeCell ref="Z146:AC146"/>
    <mergeCell ref="A151:C151"/>
    <mergeCell ref="D151:K151"/>
    <mergeCell ref="L151:T151"/>
    <mergeCell ref="U151:Y151"/>
    <mergeCell ref="Z151:AC151"/>
    <mergeCell ref="A152:C152"/>
    <mergeCell ref="D152:K152"/>
    <mergeCell ref="L152:T152"/>
    <mergeCell ref="U152:Y152"/>
    <mergeCell ref="Z152:AC152"/>
    <mergeCell ref="A149:C149"/>
    <mergeCell ref="D149:K149"/>
    <mergeCell ref="L149:T149"/>
    <mergeCell ref="U149:Y149"/>
    <mergeCell ref="Z149:AC149"/>
    <mergeCell ref="A150:C150"/>
    <mergeCell ref="D150:K150"/>
    <mergeCell ref="L150:T150"/>
    <mergeCell ref="U150:Y150"/>
    <mergeCell ref="Z150:AC150"/>
    <mergeCell ref="A155:C155"/>
    <mergeCell ref="D155:K155"/>
    <mergeCell ref="L155:T155"/>
    <mergeCell ref="U155:Y155"/>
    <mergeCell ref="Z155:AC155"/>
    <mergeCell ref="A156:C156"/>
    <mergeCell ref="D156:K156"/>
    <mergeCell ref="L156:T156"/>
    <mergeCell ref="U156:Y156"/>
    <mergeCell ref="Z156:AC156"/>
    <mergeCell ref="A153:C153"/>
    <mergeCell ref="D153:K153"/>
    <mergeCell ref="L153:T153"/>
    <mergeCell ref="U153:Y153"/>
    <mergeCell ref="Z153:AC153"/>
    <mergeCell ref="A154:C154"/>
    <mergeCell ref="D154:K154"/>
    <mergeCell ref="L154:T154"/>
    <mergeCell ref="U154:Y154"/>
    <mergeCell ref="Z154:AC154"/>
    <mergeCell ref="A159:C159"/>
    <mergeCell ref="D159:K159"/>
    <mergeCell ref="L159:T159"/>
    <mergeCell ref="U159:Y159"/>
    <mergeCell ref="Z159:AC159"/>
    <mergeCell ref="A160:C160"/>
    <mergeCell ref="D160:K160"/>
    <mergeCell ref="L160:T160"/>
    <mergeCell ref="U160:Y160"/>
    <mergeCell ref="Z160:AC160"/>
    <mergeCell ref="A157:C157"/>
    <mergeCell ref="D157:K157"/>
    <mergeCell ref="L157:T157"/>
    <mergeCell ref="U157:Y157"/>
    <mergeCell ref="Z157:AC157"/>
    <mergeCell ref="A158:C158"/>
    <mergeCell ref="D158:K158"/>
    <mergeCell ref="L158:T158"/>
    <mergeCell ref="U158:Y158"/>
    <mergeCell ref="Z158:AC158"/>
    <mergeCell ref="A163:C163"/>
    <mergeCell ref="D163:K163"/>
    <mergeCell ref="L163:T163"/>
    <mergeCell ref="U163:Y163"/>
    <mergeCell ref="Z163:AC163"/>
    <mergeCell ref="A164:C164"/>
    <mergeCell ref="D164:K164"/>
    <mergeCell ref="L164:T164"/>
    <mergeCell ref="U164:Y164"/>
    <mergeCell ref="Z164:AC164"/>
    <mergeCell ref="A161:C161"/>
    <mergeCell ref="D161:K161"/>
    <mergeCell ref="L161:T161"/>
    <mergeCell ref="U161:Y161"/>
    <mergeCell ref="Z161:AC161"/>
    <mergeCell ref="A162:C162"/>
    <mergeCell ref="D162:K162"/>
    <mergeCell ref="L162:T162"/>
    <mergeCell ref="U162:Y162"/>
    <mergeCell ref="Z162:AC162"/>
    <mergeCell ref="A167:C167"/>
    <mergeCell ref="D167:K167"/>
    <mergeCell ref="L167:T167"/>
    <mergeCell ref="U167:Y167"/>
    <mergeCell ref="Z167:AC167"/>
    <mergeCell ref="A168:C168"/>
    <mergeCell ref="D168:K168"/>
    <mergeCell ref="L168:T168"/>
    <mergeCell ref="U168:Y168"/>
    <mergeCell ref="Z168:AC168"/>
    <mergeCell ref="A165:C165"/>
    <mergeCell ref="D165:K165"/>
    <mergeCell ref="L165:T165"/>
    <mergeCell ref="U165:Y165"/>
    <mergeCell ref="Z165:AC165"/>
    <mergeCell ref="A166:C166"/>
    <mergeCell ref="D166:K166"/>
    <mergeCell ref="L166:T166"/>
    <mergeCell ref="U166:Y166"/>
    <mergeCell ref="Z166:AC166"/>
    <mergeCell ref="A171:C171"/>
    <mergeCell ref="D171:K171"/>
    <mergeCell ref="L171:T171"/>
    <mergeCell ref="U171:Y171"/>
    <mergeCell ref="Z171:AC171"/>
    <mergeCell ref="A172:C172"/>
    <mergeCell ref="D172:K172"/>
    <mergeCell ref="L172:T172"/>
    <mergeCell ref="U172:Y172"/>
    <mergeCell ref="Z172:AC172"/>
    <mergeCell ref="A169:C169"/>
    <mergeCell ref="D169:K169"/>
    <mergeCell ref="L169:T169"/>
    <mergeCell ref="U169:Y169"/>
    <mergeCell ref="Z169:AC169"/>
    <mergeCell ref="A170:C170"/>
    <mergeCell ref="D170:K170"/>
    <mergeCell ref="L170:T170"/>
    <mergeCell ref="U170:Y170"/>
    <mergeCell ref="Z170:AC170"/>
    <mergeCell ref="A175:C175"/>
    <mergeCell ref="D175:K175"/>
    <mergeCell ref="L175:T175"/>
    <mergeCell ref="U175:Y175"/>
    <mergeCell ref="Z175:AC175"/>
    <mergeCell ref="A176:C176"/>
    <mergeCell ref="D176:K176"/>
    <mergeCell ref="L176:T176"/>
    <mergeCell ref="U176:Y176"/>
    <mergeCell ref="Z176:AC176"/>
    <mergeCell ref="A173:C173"/>
    <mergeCell ref="D173:K173"/>
    <mergeCell ref="L173:T173"/>
    <mergeCell ref="U173:Y173"/>
    <mergeCell ref="Z173:AC173"/>
    <mergeCell ref="A174:C174"/>
    <mergeCell ref="D174:K174"/>
    <mergeCell ref="L174:T174"/>
    <mergeCell ref="U174:Y174"/>
    <mergeCell ref="Z174:AC174"/>
    <mergeCell ref="A179:C179"/>
    <mergeCell ref="D179:K179"/>
    <mergeCell ref="L179:T179"/>
    <mergeCell ref="U179:Y179"/>
    <mergeCell ref="Z179:AC179"/>
    <mergeCell ref="A180:C180"/>
    <mergeCell ref="D180:K180"/>
    <mergeCell ref="L180:T180"/>
    <mergeCell ref="U180:Y180"/>
    <mergeCell ref="Z180:AC180"/>
    <mergeCell ref="A177:C177"/>
    <mergeCell ref="D177:K177"/>
    <mergeCell ref="L177:T177"/>
    <mergeCell ref="U177:Y177"/>
    <mergeCell ref="Z177:AC177"/>
    <mergeCell ref="A178:C178"/>
    <mergeCell ref="D178:K178"/>
    <mergeCell ref="L178:T178"/>
    <mergeCell ref="U178:Y178"/>
    <mergeCell ref="Z178:AC178"/>
    <mergeCell ref="A183:C183"/>
    <mergeCell ref="D183:K183"/>
    <mergeCell ref="L183:T183"/>
    <mergeCell ref="U183:Y183"/>
    <mergeCell ref="Z183:AC183"/>
    <mergeCell ref="A184:C184"/>
    <mergeCell ref="D184:K184"/>
    <mergeCell ref="L184:T184"/>
    <mergeCell ref="U184:Y184"/>
    <mergeCell ref="Z184:AC184"/>
    <mergeCell ref="A181:C181"/>
    <mergeCell ref="D181:K181"/>
    <mergeCell ref="L181:T181"/>
    <mergeCell ref="U181:Y181"/>
    <mergeCell ref="Z181:AC181"/>
    <mergeCell ref="A182:C182"/>
    <mergeCell ref="D182:K182"/>
    <mergeCell ref="L182:T182"/>
    <mergeCell ref="U182:Y182"/>
    <mergeCell ref="Z182:AC182"/>
    <mergeCell ref="A187:C187"/>
    <mergeCell ref="D187:K187"/>
    <mergeCell ref="L187:T187"/>
    <mergeCell ref="U187:Y187"/>
    <mergeCell ref="Z187:AC187"/>
    <mergeCell ref="A188:C188"/>
    <mergeCell ref="D188:K188"/>
    <mergeCell ref="L188:T188"/>
    <mergeCell ref="U188:Y188"/>
    <mergeCell ref="Z188:AC188"/>
    <mergeCell ref="A185:C185"/>
    <mergeCell ref="D185:K185"/>
    <mergeCell ref="L185:T185"/>
    <mergeCell ref="U185:Y185"/>
    <mergeCell ref="Z185:AC185"/>
    <mergeCell ref="A186:C186"/>
    <mergeCell ref="D186:K186"/>
    <mergeCell ref="L186:T186"/>
    <mergeCell ref="U186:Y186"/>
    <mergeCell ref="Z186:AC186"/>
    <mergeCell ref="A191:C191"/>
    <mergeCell ref="D191:K191"/>
    <mergeCell ref="L191:T191"/>
    <mergeCell ref="U191:Y191"/>
    <mergeCell ref="Z191:AC191"/>
    <mergeCell ref="A192:C192"/>
    <mergeCell ref="D192:K192"/>
    <mergeCell ref="L192:T192"/>
    <mergeCell ref="U192:Y192"/>
    <mergeCell ref="Z192:AC192"/>
    <mergeCell ref="A189:C189"/>
    <mergeCell ref="D189:K189"/>
    <mergeCell ref="L189:T189"/>
    <mergeCell ref="U189:Y189"/>
    <mergeCell ref="Z189:AC189"/>
    <mergeCell ref="A190:C190"/>
    <mergeCell ref="D190:K190"/>
    <mergeCell ref="L190:T190"/>
    <mergeCell ref="U190:Y190"/>
    <mergeCell ref="Z190:AC190"/>
    <mergeCell ref="A195:C195"/>
    <mergeCell ref="D195:K195"/>
    <mergeCell ref="L195:T195"/>
    <mergeCell ref="U195:Y195"/>
    <mergeCell ref="Z195:AC195"/>
    <mergeCell ref="A196:C196"/>
    <mergeCell ref="D196:K196"/>
    <mergeCell ref="L196:T196"/>
    <mergeCell ref="U196:Y196"/>
    <mergeCell ref="Z196:AC196"/>
    <mergeCell ref="A193:C193"/>
    <mergeCell ref="D193:K193"/>
    <mergeCell ref="L193:T193"/>
    <mergeCell ref="U193:Y193"/>
    <mergeCell ref="Z193:AC193"/>
    <mergeCell ref="A194:C194"/>
    <mergeCell ref="D194:K194"/>
    <mergeCell ref="L194:T194"/>
    <mergeCell ref="U194:Y194"/>
    <mergeCell ref="Z194:AC194"/>
    <mergeCell ref="A199:C199"/>
    <mergeCell ref="D199:K199"/>
    <mergeCell ref="L199:T199"/>
    <mergeCell ref="U199:Y199"/>
    <mergeCell ref="Z199:AC199"/>
    <mergeCell ref="A200:C200"/>
    <mergeCell ref="D200:K200"/>
    <mergeCell ref="L200:T200"/>
    <mergeCell ref="U200:Y200"/>
    <mergeCell ref="Z200:AC200"/>
    <mergeCell ref="A197:C197"/>
    <mergeCell ref="D197:K197"/>
    <mergeCell ref="L197:T197"/>
    <mergeCell ref="U197:Y197"/>
    <mergeCell ref="Z197:AC197"/>
    <mergeCell ref="A198:C198"/>
    <mergeCell ref="D198:K198"/>
    <mergeCell ref="L198:T198"/>
    <mergeCell ref="U198:Y198"/>
    <mergeCell ref="Z198:AC198"/>
    <mergeCell ref="A203:C203"/>
    <mergeCell ref="D203:K203"/>
    <mergeCell ref="L203:T203"/>
    <mergeCell ref="U203:Y203"/>
    <mergeCell ref="Z203:AC203"/>
    <mergeCell ref="A204:C204"/>
    <mergeCell ref="D204:K204"/>
    <mergeCell ref="L204:T204"/>
    <mergeCell ref="U204:Y204"/>
    <mergeCell ref="Z204:AC204"/>
    <mergeCell ref="A201:C201"/>
    <mergeCell ref="D201:K201"/>
    <mergeCell ref="L201:T201"/>
    <mergeCell ref="U201:Y201"/>
    <mergeCell ref="Z201:AC201"/>
    <mergeCell ref="A202:C202"/>
    <mergeCell ref="D202:K202"/>
    <mergeCell ref="L202:T202"/>
    <mergeCell ref="U202:Y202"/>
    <mergeCell ref="Z202:AC202"/>
    <mergeCell ref="A207:C207"/>
    <mergeCell ref="D207:K207"/>
    <mergeCell ref="L207:T207"/>
    <mergeCell ref="U207:Y207"/>
    <mergeCell ref="Z207:AC207"/>
    <mergeCell ref="A208:C208"/>
    <mergeCell ref="D208:K208"/>
    <mergeCell ref="L208:T208"/>
    <mergeCell ref="U208:Y208"/>
    <mergeCell ref="Z208:AC208"/>
    <mergeCell ref="A205:C205"/>
    <mergeCell ref="D205:K205"/>
    <mergeCell ref="L205:T205"/>
    <mergeCell ref="U205:Y205"/>
    <mergeCell ref="Z205:AC205"/>
    <mergeCell ref="A206:C206"/>
    <mergeCell ref="D206:K206"/>
    <mergeCell ref="L206:T206"/>
    <mergeCell ref="U206:Y206"/>
    <mergeCell ref="Z206:AC206"/>
    <mergeCell ref="A211:C211"/>
    <mergeCell ref="D211:K211"/>
    <mergeCell ref="L211:T211"/>
    <mergeCell ref="U211:Y211"/>
    <mergeCell ref="Z211:AC211"/>
    <mergeCell ref="A212:C212"/>
    <mergeCell ref="D212:K212"/>
    <mergeCell ref="L212:T212"/>
    <mergeCell ref="U212:Y212"/>
    <mergeCell ref="Z212:AC212"/>
    <mergeCell ref="A209:C209"/>
    <mergeCell ref="D209:K209"/>
    <mergeCell ref="L209:T209"/>
    <mergeCell ref="U209:Y209"/>
    <mergeCell ref="Z209:AC209"/>
    <mergeCell ref="A210:C210"/>
    <mergeCell ref="D210:K210"/>
    <mergeCell ref="L210:T210"/>
    <mergeCell ref="U210:Y210"/>
    <mergeCell ref="Z210:AC210"/>
    <mergeCell ref="A215:C215"/>
    <mergeCell ref="D215:K215"/>
    <mergeCell ref="L215:T215"/>
    <mergeCell ref="U215:Y215"/>
    <mergeCell ref="Z215:AC215"/>
    <mergeCell ref="A216:C216"/>
    <mergeCell ref="D216:K216"/>
    <mergeCell ref="L216:T216"/>
    <mergeCell ref="U216:Y216"/>
    <mergeCell ref="Z216:AC216"/>
    <mergeCell ref="A213:C213"/>
    <mergeCell ref="D213:K213"/>
    <mergeCell ref="L213:T213"/>
    <mergeCell ref="U213:Y213"/>
    <mergeCell ref="Z213:AC213"/>
    <mergeCell ref="A214:C214"/>
    <mergeCell ref="D214:K214"/>
    <mergeCell ref="L214:T214"/>
    <mergeCell ref="U214:Y214"/>
    <mergeCell ref="Z214:AC214"/>
    <mergeCell ref="A219:C219"/>
    <mergeCell ref="D219:K219"/>
    <mergeCell ref="L219:T219"/>
    <mergeCell ref="U219:Y219"/>
    <mergeCell ref="Z219:AC219"/>
    <mergeCell ref="A220:C220"/>
    <mergeCell ref="D220:K220"/>
    <mergeCell ref="L220:T220"/>
    <mergeCell ref="U220:Y220"/>
    <mergeCell ref="Z220:AC220"/>
    <mergeCell ref="A217:C217"/>
    <mergeCell ref="D217:K217"/>
    <mergeCell ref="L217:T217"/>
    <mergeCell ref="U217:Y217"/>
    <mergeCell ref="Z217:AC217"/>
    <mergeCell ref="A218:C218"/>
    <mergeCell ref="D218:K218"/>
    <mergeCell ref="L218:T218"/>
    <mergeCell ref="U218:Y218"/>
    <mergeCell ref="Z218:AC218"/>
    <mergeCell ref="A223:C223"/>
    <mergeCell ref="D223:K223"/>
    <mergeCell ref="L223:T223"/>
    <mergeCell ref="U223:Y223"/>
    <mergeCell ref="Z223:AC223"/>
    <mergeCell ref="A224:C224"/>
    <mergeCell ref="D224:K224"/>
    <mergeCell ref="L224:T224"/>
    <mergeCell ref="U224:Y224"/>
    <mergeCell ref="Z224:AC224"/>
    <mergeCell ref="A221:C221"/>
    <mergeCell ref="D221:K221"/>
    <mergeCell ref="L221:T221"/>
    <mergeCell ref="U221:Y221"/>
    <mergeCell ref="Z221:AC221"/>
    <mergeCell ref="A222:C222"/>
    <mergeCell ref="D222:K222"/>
    <mergeCell ref="L222:T222"/>
    <mergeCell ref="U222:Y222"/>
    <mergeCell ref="Z222:AC222"/>
    <mergeCell ref="A227:C227"/>
    <mergeCell ref="D227:K227"/>
    <mergeCell ref="L227:T227"/>
    <mergeCell ref="U227:Y227"/>
    <mergeCell ref="Z227:AC227"/>
    <mergeCell ref="A228:C228"/>
    <mergeCell ref="D228:K228"/>
    <mergeCell ref="L228:T228"/>
    <mergeCell ref="U228:Y228"/>
    <mergeCell ref="Z228:AC228"/>
    <mergeCell ref="A225:C225"/>
    <mergeCell ref="D225:K225"/>
    <mergeCell ref="L225:T225"/>
    <mergeCell ref="U225:Y225"/>
    <mergeCell ref="Z225:AC225"/>
    <mergeCell ref="A226:C226"/>
    <mergeCell ref="D226:K226"/>
    <mergeCell ref="L226:T226"/>
    <mergeCell ref="U226:Y226"/>
    <mergeCell ref="Z226:AC226"/>
    <mergeCell ref="A231:C231"/>
    <mergeCell ref="D231:K231"/>
    <mergeCell ref="L231:T231"/>
    <mergeCell ref="U231:Y231"/>
    <mergeCell ref="Z231:AC231"/>
    <mergeCell ref="A232:C232"/>
    <mergeCell ref="D232:K232"/>
    <mergeCell ref="L232:T232"/>
    <mergeCell ref="U232:Y232"/>
    <mergeCell ref="Z232:AC232"/>
    <mergeCell ref="A229:C229"/>
    <mergeCell ref="D229:K229"/>
    <mergeCell ref="L229:T229"/>
    <mergeCell ref="U229:Y229"/>
    <mergeCell ref="Z229:AC229"/>
    <mergeCell ref="A230:C230"/>
    <mergeCell ref="D230:K230"/>
    <mergeCell ref="L230:T230"/>
    <mergeCell ref="U230:Y230"/>
    <mergeCell ref="Z230:AC230"/>
    <mergeCell ref="A235:C235"/>
    <mergeCell ref="D235:K235"/>
    <mergeCell ref="L235:T235"/>
    <mergeCell ref="U235:Y235"/>
    <mergeCell ref="Z235:AC235"/>
    <mergeCell ref="A236:C236"/>
    <mergeCell ref="D236:K236"/>
    <mergeCell ref="L236:T236"/>
    <mergeCell ref="U236:Y236"/>
    <mergeCell ref="Z236:AC236"/>
    <mergeCell ref="A233:C233"/>
    <mergeCell ref="D233:K233"/>
    <mergeCell ref="L233:T233"/>
    <mergeCell ref="U233:Y233"/>
    <mergeCell ref="Z233:AC233"/>
    <mergeCell ref="A234:C234"/>
    <mergeCell ref="D234:K234"/>
    <mergeCell ref="L234:T234"/>
    <mergeCell ref="U234:Y234"/>
    <mergeCell ref="Z234:AC234"/>
    <mergeCell ref="A239:C239"/>
    <mergeCell ref="D239:K239"/>
    <mergeCell ref="L239:T239"/>
    <mergeCell ref="U239:Y239"/>
    <mergeCell ref="Z239:AC239"/>
    <mergeCell ref="A240:C240"/>
    <mergeCell ref="D240:K240"/>
    <mergeCell ref="L240:T240"/>
    <mergeCell ref="U240:Y240"/>
    <mergeCell ref="Z240:AC240"/>
    <mergeCell ref="A237:C237"/>
    <mergeCell ref="D237:K237"/>
    <mergeCell ref="L237:T237"/>
    <mergeCell ref="U237:Y237"/>
    <mergeCell ref="Z237:AC237"/>
    <mergeCell ref="A238:C238"/>
    <mergeCell ref="D238:K238"/>
    <mergeCell ref="L238:T238"/>
    <mergeCell ref="U238:Y238"/>
    <mergeCell ref="Z238:AC238"/>
    <mergeCell ref="A243:C243"/>
    <mergeCell ref="D243:K243"/>
    <mergeCell ref="L243:T243"/>
    <mergeCell ref="U243:Y243"/>
    <mergeCell ref="Z243:AC243"/>
    <mergeCell ref="A244:C244"/>
    <mergeCell ref="D244:K244"/>
    <mergeCell ref="L244:T244"/>
    <mergeCell ref="U244:Y244"/>
    <mergeCell ref="Z244:AC244"/>
    <mergeCell ref="A241:C241"/>
    <mergeCell ref="D241:K241"/>
    <mergeCell ref="L241:T241"/>
    <mergeCell ref="U241:Y241"/>
    <mergeCell ref="Z241:AC241"/>
    <mergeCell ref="A242:C242"/>
    <mergeCell ref="D242:K242"/>
    <mergeCell ref="L242:T242"/>
    <mergeCell ref="U242:Y242"/>
    <mergeCell ref="Z242:AC242"/>
    <mergeCell ref="A247:C247"/>
    <mergeCell ref="D247:K247"/>
    <mergeCell ref="L247:T247"/>
    <mergeCell ref="U247:Y247"/>
    <mergeCell ref="Z247:AC247"/>
    <mergeCell ref="A248:C248"/>
    <mergeCell ref="D248:K248"/>
    <mergeCell ref="L248:T248"/>
    <mergeCell ref="U248:Y248"/>
    <mergeCell ref="Z248:AC248"/>
    <mergeCell ref="A245:C245"/>
    <mergeCell ref="D245:K245"/>
    <mergeCell ref="L245:T245"/>
    <mergeCell ref="U245:Y245"/>
    <mergeCell ref="Z245:AC245"/>
    <mergeCell ref="A246:C246"/>
    <mergeCell ref="D246:K246"/>
    <mergeCell ref="L246:T246"/>
    <mergeCell ref="U246:Y246"/>
    <mergeCell ref="Z246:AC246"/>
    <mergeCell ref="A251:C251"/>
    <mergeCell ref="D251:K251"/>
    <mergeCell ref="L251:T251"/>
    <mergeCell ref="U251:Y251"/>
    <mergeCell ref="Z251:AC251"/>
    <mergeCell ref="A252:C252"/>
    <mergeCell ref="D252:K252"/>
    <mergeCell ref="L252:T252"/>
    <mergeCell ref="U252:Y252"/>
    <mergeCell ref="Z252:AC252"/>
    <mergeCell ref="A249:C249"/>
    <mergeCell ref="D249:K249"/>
    <mergeCell ref="L249:T249"/>
    <mergeCell ref="U249:Y249"/>
    <mergeCell ref="Z249:AC249"/>
    <mergeCell ref="A250:C250"/>
    <mergeCell ref="D250:K250"/>
    <mergeCell ref="L250:T250"/>
    <mergeCell ref="U250:Y250"/>
    <mergeCell ref="Z250:AC250"/>
    <mergeCell ref="A255:C255"/>
    <mergeCell ref="D255:K255"/>
    <mergeCell ref="L255:T255"/>
    <mergeCell ref="U255:Y255"/>
    <mergeCell ref="Z255:AC255"/>
    <mergeCell ref="A256:C256"/>
    <mergeCell ref="D256:K256"/>
    <mergeCell ref="L256:T256"/>
    <mergeCell ref="U256:Y256"/>
    <mergeCell ref="Z256:AC256"/>
    <mergeCell ref="A253:C253"/>
    <mergeCell ref="D253:K253"/>
    <mergeCell ref="L253:T253"/>
    <mergeCell ref="U253:Y253"/>
    <mergeCell ref="Z253:AC253"/>
    <mergeCell ref="A254:C254"/>
    <mergeCell ref="D254:K254"/>
    <mergeCell ref="L254:T254"/>
    <mergeCell ref="U254:Y254"/>
    <mergeCell ref="Z254:AC254"/>
    <mergeCell ref="A259:C259"/>
    <mergeCell ref="D259:K259"/>
    <mergeCell ref="L259:T259"/>
    <mergeCell ref="U259:Y259"/>
    <mergeCell ref="Z259:AC259"/>
    <mergeCell ref="A260:C260"/>
    <mergeCell ref="D260:K260"/>
    <mergeCell ref="L260:T260"/>
    <mergeCell ref="U260:Y260"/>
    <mergeCell ref="Z260:AC260"/>
    <mergeCell ref="A257:C257"/>
    <mergeCell ref="D257:K257"/>
    <mergeCell ref="L257:T257"/>
    <mergeCell ref="U257:Y257"/>
    <mergeCell ref="Z257:AC257"/>
    <mergeCell ref="A258:C258"/>
    <mergeCell ref="D258:K258"/>
    <mergeCell ref="L258:T258"/>
    <mergeCell ref="U258:Y258"/>
    <mergeCell ref="Z258:AC258"/>
    <mergeCell ref="A263:C263"/>
    <mergeCell ref="D263:K263"/>
    <mergeCell ref="L263:T263"/>
    <mergeCell ref="U263:Y263"/>
    <mergeCell ref="Z263:AC263"/>
    <mergeCell ref="A264:C264"/>
    <mergeCell ref="D264:K264"/>
    <mergeCell ref="L264:T264"/>
    <mergeCell ref="U264:Y264"/>
    <mergeCell ref="Z264:AC264"/>
    <mergeCell ref="A261:C261"/>
    <mergeCell ref="D261:K261"/>
    <mergeCell ref="L261:T261"/>
    <mergeCell ref="U261:Y261"/>
    <mergeCell ref="Z261:AC261"/>
    <mergeCell ref="A262:C262"/>
    <mergeCell ref="D262:K262"/>
    <mergeCell ref="L262:T262"/>
    <mergeCell ref="U262:Y262"/>
    <mergeCell ref="Z262:AC262"/>
    <mergeCell ref="A267:C267"/>
    <mergeCell ref="D267:K267"/>
    <mergeCell ref="L267:T267"/>
    <mergeCell ref="U267:Y267"/>
    <mergeCell ref="Z267:AC267"/>
    <mergeCell ref="A268:C268"/>
    <mergeCell ref="D268:K268"/>
    <mergeCell ref="L268:T268"/>
    <mergeCell ref="U268:Y268"/>
    <mergeCell ref="Z268:AC268"/>
    <mergeCell ref="A265:C265"/>
    <mergeCell ref="D265:K265"/>
    <mergeCell ref="L265:T265"/>
    <mergeCell ref="U265:Y265"/>
    <mergeCell ref="Z265:AC265"/>
    <mergeCell ref="A266:C266"/>
    <mergeCell ref="D266:K266"/>
    <mergeCell ref="L266:T266"/>
    <mergeCell ref="U266:Y266"/>
    <mergeCell ref="Z266:AC266"/>
    <mergeCell ref="A271:C271"/>
    <mergeCell ref="D271:K271"/>
    <mergeCell ref="L271:T271"/>
    <mergeCell ref="U271:Y271"/>
    <mergeCell ref="Z271:AC271"/>
    <mergeCell ref="A272:C272"/>
    <mergeCell ref="D272:K272"/>
    <mergeCell ref="L272:T272"/>
    <mergeCell ref="U272:Y272"/>
    <mergeCell ref="Z272:AC272"/>
    <mergeCell ref="A269:C269"/>
    <mergeCell ref="D269:K269"/>
    <mergeCell ref="L269:T269"/>
    <mergeCell ref="U269:Y269"/>
    <mergeCell ref="Z269:AC269"/>
    <mergeCell ref="A270:C270"/>
    <mergeCell ref="D270:K270"/>
    <mergeCell ref="L270:T270"/>
    <mergeCell ref="U270:Y270"/>
    <mergeCell ref="Z270:AC270"/>
    <mergeCell ref="A275:C275"/>
    <mergeCell ref="D275:K275"/>
    <mergeCell ref="L275:T275"/>
    <mergeCell ref="U275:Y275"/>
    <mergeCell ref="Z275:AC275"/>
    <mergeCell ref="A276:C276"/>
    <mergeCell ref="D276:K276"/>
    <mergeCell ref="L276:T276"/>
    <mergeCell ref="U276:Y276"/>
    <mergeCell ref="Z276:AC276"/>
    <mergeCell ref="A273:C273"/>
    <mergeCell ref="D273:K273"/>
    <mergeCell ref="L273:T273"/>
    <mergeCell ref="U273:Y273"/>
    <mergeCell ref="Z273:AC273"/>
    <mergeCell ref="A274:C274"/>
    <mergeCell ref="D274:K274"/>
    <mergeCell ref="L274:T274"/>
    <mergeCell ref="U274:Y274"/>
    <mergeCell ref="Z274:AC274"/>
    <mergeCell ref="A279:C279"/>
    <mergeCell ref="D279:K279"/>
    <mergeCell ref="L279:T279"/>
    <mergeCell ref="U279:Y279"/>
    <mergeCell ref="Z279:AC279"/>
    <mergeCell ref="A280:C280"/>
    <mergeCell ref="D280:K280"/>
    <mergeCell ref="L280:T280"/>
    <mergeCell ref="U280:Y280"/>
    <mergeCell ref="Z280:AC280"/>
    <mergeCell ref="A277:C277"/>
    <mergeCell ref="D277:K277"/>
    <mergeCell ref="L277:T277"/>
    <mergeCell ref="U277:Y277"/>
    <mergeCell ref="Z277:AC277"/>
    <mergeCell ref="A278:C278"/>
    <mergeCell ref="D278:K278"/>
    <mergeCell ref="L278:T278"/>
    <mergeCell ref="U278:Y278"/>
    <mergeCell ref="Z278:AC278"/>
    <mergeCell ref="A283:C283"/>
    <mergeCell ref="D283:K283"/>
    <mergeCell ref="L283:T283"/>
    <mergeCell ref="U283:Y283"/>
    <mergeCell ref="Z283:AC283"/>
    <mergeCell ref="A284:C284"/>
    <mergeCell ref="D284:K284"/>
    <mergeCell ref="L284:T284"/>
    <mergeCell ref="U284:Y284"/>
    <mergeCell ref="Z284:AC284"/>
    <mergeCell ref="A281:C281"/>
    <mergeCell ref="D281:K281"/>
    <mergeCell ref="L281:T281"/>
    <mergeCell ref="U281:Y281"/>
    <mergeCell ref="Z281:AC281"/>
    <mergeCell ref="A282:C282"/>
    <mergeCell ref="D282:K282"/>
    <mergeCell ref="L282:T282"/>
    <mergeCell ref="U282:Y282"/>
    <mergeCell ref="Z282:AC282"/>
    <mergeCell ref="A287:C287"/>
    <mergeCell ref="D287:K287"/>
    <mergeCell ref="L287:T287"/>
    <mergeCell ref="U287:Y287"/>
    <mergeCell ref="Z287:AC287"/>
    <mergeCell ref="A288:C288"/>
    <mergeCell ref="D288:K288"/>
    <mergeCell ref="L288:T288"/>
    <mergeCell ref="U288:Y288"/>
    <mergeCell ref="Z288:AC288"/>
    <mergeCell ref="A285:C285"/>
    <mergeCell ref="D285:K285"/>
    <mergeCell ref="L285:T285"/>
    <mergeCell ref="U285:Y285"/>
    <mergeCell ref="Z285:AC285"/>
    <mergeCell ref="A286:C286"/>
    <mergeCell ref="D286:K286"/>
    <mergeCell ref="L286:T286"/>
    <mergeCell ref="U286:Y286"/>
    <mergeCell ref="Z286:AC286"/>
    <mergeCell ref="A291:C291"/>
    <mergeCell ref="D291:K291"/>
    <mergeCell ref="L291:T291"/>
    <mergeCell ref="U291:Y291"/>
    <mergeCell ref="Z291:AC291"/>
    <mergeCell ref="A292:C292"/>
    <mergeCell ref="D292:K292"/>
    <mergeCell ref="L292:T292"/>
    <mergeCell ref="U292:Y292"/>
    <mergeCell ref="Z292:AC292"/>
    <mergeCell ref="A289:C289"/>
    <mergeCell ref="D289:K289"/>
    <mergeCell ref="L289:T289"/>
    <mergeCell ref="U289:Y289"/>
    <mergeCell ref="Z289:AC289"/>
    <mergeCell ref="A290:C290"/>
    <mergeCell ref="D290:K290"/>
    <mergeCell ref="L290:T290"/>
    <mergeCell ref="U290:Y290"/>
    <mergeCell ref="Z290:AC290"/>
    <mergeCell ref="A295:C295"/>
    <mergeCell ref="D295:K295"/>
    <mergeCell ref="L295:T295"/>
    <mergeCell ref="U295:Y295"/>
    <mergeCell ref="Z295:AC295"/>
    <mergeCell ref="A296:C296"/>
    <mergeCell ref="D296:K296"/>
    <mergeCell ref="L296:T296"/>
    <mergeCell ref="U296:Y296"/>
    <mergeCell ref="Z296:AC296"/>
    <mergeCell ref="A293:C293"/>
    <mergeCell ref="D293:K293"/>
    <mergeCell ref="L293:T293"/>
    <mergeCell ref="U293:Y293"/>
    <mergeCell ref="Z293:AC293"/>
    <mergeCell ref="A294:C294"/>
    <mergeCell ref="D294:K294"/>
    <mergeCell ref="L294:T294"/>
    <mergeCell ref="U294:Y294"/>
    <mergeCell ref="Z294:AC294"/>
    <mergeCell ref="A299:C299"/>
    <mergeCell ref="D299:K299"/>
    <mergeCell ref="L299:T299"/>
    <mergeCell ref="U299:Y299"/>
    <mergeCell ref="Z299:AC299"/>
    <mergeCell ref="A300:C300"/>
    <mergeCell ref="D300:K300"/>
    <mergeCell ref="L300:T300"/>
    <mergeCell ref="U300:Y300"/>
    <mergeCell ref="Z300:AC300"/>
    <mergeCell ref="A297:C297"/>
    <mergeCell ref="D297:K297"/>
    <mergeCell ref="L297:T297"/>
    <mergeCell ref="U297:Y297"/>
    <mergeCell ref="Z297:AC297"/>
    <mergeCell ref="A298:C298"/>
    <mergeCell ref="D298:K298"/>
    <mergeCell ref="L298:T298"/>
    <mergeCell ref="U298:Y298"/>
    <mergeCell ref="Z298:AC298"/>
    <mergeCell ref="A303:C303"/>
    <mergeCell ref="D303:K303"/>
    <mergeCell ref="L303:T303"/>
    <mergeCell ref="U303:Y303"/>
    <mergeCell ref="Z303:AC303"/>
    <mergeCell ref="A304:C304"/>
    <mergeCell ref="D304:K304"/>
    <mergeCell ref="L304:T304"/>
    <mergeCell ref="U304:Y304"/>
    <mergeCell ref="Z304:AC304"/>
    <mergeCell ref="A301:C301"/>
    <mergeCell ref="D301:K301"/>
    <mergeCell ref="L301:T301"/>
    <mergeCell ref="U301:Y301"/>
    <mergeCell ref="Z301:AC301"/>
    <mergeCell ref="A302:C302"/>
    <mergeCell ref="D302:K302"/>
    <mergeCell ref="L302:T302"/>
    <mergeCell ref="U302:Y302"/>
    <mergeCell ref="Z302:AC302"/>
    <mergeCell ref="A307:C307"/>
    <mergeCell ref="D307:K307"/>
    <mergeCell ref="L307:T307"/>
    <mergeCell ref="U307:Y307"/>
    <mergeCell ref="Z307:AC307"/>
    <mergeCell ref="A308:C308"/>
    <mergeCell ref="D308:K308"/>
    <mergeCell ref="L308:T308"/>
    <mergeCell ref="U308:Y308"/>
    <mergeCell ref="Z308:AC308"/>
    <mergeCell ref="A305:C305"/>
    <mergeCell ref="D305:K305"/>
    <mergeCell ref="L305:T305"/>
    <mergeCell ref="U305:Y305"/>
    <mergeCell ref="Z305:AC305"/>
    <mergeCell ref="A306:C306"/>
    <mergeCell ref="D306:K306"/>
    <mergeCell ref="L306:T306"/>
    <mergeCell ref="U306:Y306"/>
    <mergeCell ref="Z306:AC306"/>
    <mergeCell ref="A311:C311"/>
    <mergeCell ref="D311:K311"/>
    <mergeCell ref="L311:T311"/>
    <mergeCell ref="U311:Y311"/>
    <mergeCell ref="Z311:AC311"/>
    <mergeCell ref="A312:C312"/>
    <mergeCell ref="D312:K312"/>
    <mergeCell ref="L312:T312"/>
    <mergeCell ref="U312:Y312"/>
    <mergeCell ref="Z312:AC312"/>
    <mergeCell ref="A309:C309"/>
    <mergeCell ref="D309:K309"/>
    <mergeCell ref="L309:T309"/>
    <mergeCell ref="U309:Y309"/>
    <mergeCell ref="Z309:AC309"/>
    <mergeCell ref="A310:C310"/>
    <mergeCell ref="D310:K310"/>
    <mergeCell ref="L310:T310"/>
    <mergeCell ref="U310:Y310"/>
    <mergeCell ref="Z310:AC310"/>
    <mergeCell ref="A315:C315"/>
    <mergeCell ref="D315:K315"/>
    <mergeCell ref="L315:T315"/>
    <mergeCell ref="U315:Y315"/>
    <mergeCell ref="Z315:AC315"/>
    <mergeCell ref="A316:C316"/>
    <mergeCell ref="D316:K316"/>
    <mergeCell ref="L316:T316"/>
    <mergeCell ref="U316:Y316"/>
    <mergeCell ref="Z316:AC316"/>
    <mergeCell ref="A313:C313"/>
    <mergeCell ref="D313:K313"/>
    <mergeCell ref="L313:T313"/>
    <mergeCell ref="U313:Y313"/>
    <mergeCell ref="Z313:AC313"/>
    <mergeCell ref="A314:C314"/>
    <mergeCell ref="D314:K314"/>
    <mergeCell ref="L314:T314"/>
    <mergeCell ref="U314:Y314"/>
    <mergeCell ref="Z314:AC314"/>
    <mergeCell ref="A319:C319"/>
    <mergeCell ref="D319:K319"/>
    <mergeCell ref="L319:T319"/>
    <mergeCell ref="U319:Y319"/>
    <mergeCell ref="Z319:AC319"/>
    <mergeCell ref="A320:C320"/>
    <mergeCell ref="D320:K320"/>
    <mergeCell ref="L320:T320"/>
    <mergeCell ref="U320:Y320"/>
    <mergeCell ref="Z320:AC320"/>
    <mergeCell ref="A317:C317"/>
    <mergeCell ref="D317:K317"/>
    <mergeCell ref="L317:T317"/>
    <mergeCell ref="U317:Y317"/>
    <mergeCell ref="Z317:AC317"/>
    <mergeCell ref="A318:C318"/>
    <mergeCell ref="D318:K318"/>
    <mergeCell ref="L318:T318"/>
    <mergeCell ref="U318:Y318"/>
    <mergeCell ref="Z318:AC318"/>
    <mergeCell ref="A323:C323"/>
    <mergeCell ref="D323:K323"/>
    <mergeCell ref="L323:T323"/>
    <mergeCell ref="U323:Y323"/>
    <mergeCell ref="Z323:AC323"/>
    <mergeCell ref="A324:C324"/>
    <mergeCell ref="D324:K324"/>
    <mergeCell ref="L324:T324"/>
    <mergeCell ref="U324:Y324"/>
    <mergeCell ref="Z324:AC324"/>
    <mergeCell ref="A321:C321"/>
    <mergeCell ref="D321:K321"/>
    <mergeCell ref="L321:T321"/>
    <mergeCell ref="U321:Y321"/>
    <mergeCell ref="Z321:AC321"/>
    <mergeCell ref="A322:C322"/>
    <mergeCell ref="D322:K322"/>
    <mergeCell ref="L322:T322"/>
    <mergeCell ref="U322:Y322"/>
    <mergeCell ref="Z322:AC322"/>
    <mergeCell ref="A327:C327"/>
    <mergeCell ref="D327:K327"/>
    <mergeCell ref="L327:T327"/>
    <mergeCell ref="U327:Y327"/>
    <mergeCell ref="Z327:AC327"/>
    <mergeCell ref="A328:C328"/>
    <mergeCell ref="D328:K328"/>
    <mergeCell ref="L328:T328"/>
    <mergeCell ref="U328:Y328"/>
    <mergeCell ref="Z328:AC328"/>
    <mergeCell ref="A325:C325"/>
    <mergeCell ref="D325:K325"/>
    <mergeCell ref="L325:T325"/>
    <mergeCell ref="U325:Y325"/>
    <mergeCell ref="Z325:AC325"/>
    <mergeCell ref="A326:C326"/>
    <mergeCell ref="D326:K326"/>
    <mergeCell ref="L326:T326"/>
    <mergeCell ref="U326:Y326"/>
    <mergeCell ref="Z326:AC326"/>
    <mergeCell ref="A331:C331"/>
    <mergeCell ref="D331:K331"/>
    <mergeCell ref="L331:T331"/>
    <mergeCell ref="U331:Y331"/>
    <mergeCell ref="Z331:AC331"/>
    <mergeCell ref="A332:C332"/>
    <mergeCell ref="D332:K332"/>
    <mergeCell ref="L332:T332"/>
    <mergeCell ref="U332:Y332"/>
    <mergeCell ref="Z332:AC332"/>
    <mergeCell ref="A329:C329"/>
    <mergeCell ref="D329:K329"/>
    <mergeCell ref="L329:T329"/>
    <mergeCell ref="U329:Y329"/>
    <mergeCell ref="Z329:AC329"/>
    <mergeCell ref="A330:C330"/>
    <mergeCell ref="D330:K330"/>
    <mergeCell ref="L330:T330"/>
    <mergeCell ref="U330:Y330"/>
    <mergeCell ref="Z330:AC330"/>
    <mergeCell ref="A335:C335"/>
    <mergeCell ref="D335:K335"/>
    <mergeCell ref="L335:T335"/>
    <mergeCell ref="U335:Y335"/>
    <mergeCell ref="Z335:AC335"/>
    <mergeCell ref="A336:C336"/>
    <mergeCell ref="D336:K336"/>
    <mergeCell ref="L336:T336"/>
    <mergeCell ref="U336:Y336"/>
    <mergeCell ref="Z336:AC336"/>
    <mergeCell ref="A333:C333"/>
    <mergeCell ref="D333:K333"/>
    <mergeCell ref="L333:T333"/>
    <mergeCell ref="U333:Y333"/>
    <mergeCell ref="Z333:AC333"/>
    <mergeCell ref="A334:C334"/>
    <mergeCell ref="D334:K334"/>
    <mergeCell ref="L334:T334"/>
    <mergeCell ref="U334:Y334"/>
    <mergeCell ref="Z334:AC334"/>
    <mergeCell ref="A339:C339"/>
    <mergeCell ref="D339:K339"/>
    <mergeCell ref="L339:T339"/>
    <mergeCell ref="U339:Y339"/>
    <mergeCell ref="Z339:AC339"/>
    <mergeCell ref="A340:C340"/>
    <mergeCell ref="D340:K340"/>
    <mergeCell ref="L340:T340"/>
    <mergeCell ref="U340:Y340"/>
    <mergeCell ref="Z340:AC340"/>
    <mergeCell ref="A337:C337"/>
    <mergeCell ref="D337:K337"/>
    <mergeCell ref="L337:T337"/>
    <mergeCell ref="U337:Y337"/>
    <mergeCell ref="Z337:AC337"/>
    <mergeCell ref="A338:C338"/>
    <mergeCell ref="D338:K338"/>
    <mergeCell ref="L338:T338"/>
    <mergeCell ref="U338:Y338"/>
    <mergeCell ref="Z338:AC338"/>
    <mergeCell ref="A343:C343"/>
    <mergeCell ref="D343:K343"/>
    <mergeCell ref="L343:T343"/>
    <mergeCell ref="U343:Y343"/>
    <mergeCell ref="Z343:AC343"/>
    <mergeCell ref="A344:C344"/>
    <mergeCell ref="D344:K344"/>
    <mergeCell ref="L344:T344"/>
    <mergeCell ref="U344:Y344"/>
    <mergeCell ref="Z344:AC344"/>
    <mergeCell ref="A341:C341"/>
    <mergeCell ref="D341:K341"/>
    <mergeCell ref="L341:T341"/>
    <mergeCell ref="U341:Y341"/>
    <mergeCell ref="Z341:AC341"/>
    <mergeCell ref="A342:C342"/>
    <mergeCell ref="D342:K342"/>
    <mergeCell ref="L342:T342"/>
    <mergeCell ref="U342:Y342"/>
    <mergeCell ref="Z342:AC342"/>
    <mergeCell ref="A347:C347"/>
    <mergeCell ref="D347:K347"/>
    <mergeCell ref="L347:T347"/>
    <mergeCell ref="U347:Y347"/>
    <mergeCell ref="Z347:AC347"/>
    <mergeCell ref="A348:C348"/>
    <mergeCell ref="D348:K348"/>
    <mergeCell ref="L348:T348"/>
    <mergeCell ref="U348:Y348"/>
    <mergeCell ref="Z348:AC348"/>
    <mergeCell ref="A345:C345"/>
    <mergeCell ref="D345:K345"/>
    <mergeCell ref="L345:T345"/>
    <mergeCell ref="U345:Y345"/>
    <mergeCell ref="Z345:AC345"/>
    <mergeCell ref="A346:C346"/>
    <mergeCell ref="D346:K346"/>
    <mergeCell ref="L346:T346"/>
    <mergeCell ref="U346:Y346"/>
    <mergeCell ref="Z346:AC346"/>
    <mergeCell ref="A351:C351"/>
    <mergeCell ref="D351:K351"/>
    <mergeCell ref="L351:T351"/>
    <mergeCell ref="U351:Y351"/>
    <mergeCell ref="Z351:AC351"/>
    <mergeCell ref="A352:C352"/>
    <mergeCell ref="D352:K352"/>
    <mergeCell ref="L352:T352"/>
    <mergeCell ref="U352:Y352"/>
    <mergeCell ref="Z352:AC352"/>
    <mergeCell ref="A349:C349"/>
    <mergeCell ref="D349:K349"/>
    <mergeCell ref="L349:T349"/>
    <mergeCell ref="U349:Y349"/>
    <mergeCell ref="Z349:AC349"/>
    <mergeCell ref="A350:C350"/>
    <mergeCell ref="D350:K350"/>
    <mergeCell ref="L350:T350"/>
    <mergeCell ref="U350:Y350"/>
    <mergeCell ref="Z350:AC350"/>
    <mergeCell ref="A355:C355"/>
    <mergeCell ref="D355:K355"/>
    <mergeCell ref="L355:T355"/>
    <mergeCell ref="U355:Y355"/>
    <mergeCell ref="Z355:AC355"/>
    <mergeCell ref="A356:C356"/>
    <mergeCell ref="D356:K356"/>
    <mergeCell ref="L356:T356"/>
    <mergeCell ref="U356:Y356"/>
    <mergeCell ref="Z356:AC356"/>
    <mergeCell ref="A353:C353"/>
    <mergeCell ref="D353:K353"/>
    <mergeCell ref="L353:T353"/>
    <mergeCell ref="U353:Y353"/>
    <mergeCell ref="Z353:AC353"/>
    <mergeCell ref="A354:C354"/>
    <mergeCell ref="D354:K354"/>
    <mergeCell ref="L354:T354"/>
    <mergeCell ref="U354:Y354"/>
    <mergeCell ref="Z354:AC354"/>
    <mergeCell ref="A359:C359"/>
    <mergeCell ref="D359:K359"/>
    <mergeCell ref="L359:T359"/>
    <mergeCell ref="U359:Y359"/>
    <mergeCell ref="Z359:AC359"/>
    <mergeCell ref="A360:C360"/>
    <mergeCell ref="D360:K360"/>
    <mergeCell ref="L360:T360"/>
    <mergeCell ref="U360:Y360"/>
    <mergeCell ref="Z360:AC360"/>
    <mergeCell ref="A357:C357"/>
    <mergeCell ref="D357:K357"/>
    <mergeCell ref="L357:T357"/>
    <mergeCell ref="U357:Y357"/>
    <mergeCell ref="Z357:AC357"/>
    <mergeCell ref="A358:C358"/>
    <mergeCell ref="D358:K358"/>
    <mergeCell ref="L358:T358"/>
    <mergeCell ref="U358:Y358"/>
    <mergeCell ref="Z358:AC358"/>
    <mergeCell ref="A363:C363"/>
    <mergeCell ref="D363:K363"/>
    <mergeCell ref="L363:T363"/>
    <mergeCell ref="U363:Y363"/>
    <mergeCell ref="Z363:AC363"/>
    <mergeCell ref="A364:C364"/>
    <mergeCell ref="D364:K364"/>
    <mergeCell ref="L364:T364"/>
    <mergeCell ref="U364:Y364"/>
    <mergeCell ref="Z364:AC364"/>
    <mergeCell ref="A361:C361"/>
    <mergeCell ref="D361:K361"/>
    <mergeCell ref="L361:T361"/>
    <mergeCell ref="U361:Y361"/>
    <mergeCell ref="Z361:AC361"/>
    <mergeCell ref="A362:C362"/>
    <mergeCell ref="D362:K362"/>
    <mergeCell ref="L362:T362"/>
    <mergeCell ref="U362:Y362"/>
    <mergeCell ref="Z362:AC362"/>
    <mergeCell ref="A367:C367"/>
    <mergeCell ref="D367:K367"/>
    <mergeCell ref="L367:T367"/>
    <mergeCell ref="U367:Y367"/>
    <mergeCell ref="Z367:AC367"/>
    <mergeCell ref="A368:C368"/>
    <mergeCell ref="D368:K368"/>
    <mergeCell ref="L368:T368"/>
    <mergeCell ref="U368:Y368"/>
    <mergeCell ref="Z368:AC368"/>
    <mergeCell ref="A365:C365"/>
    <mergeCell ref="D365:K365"/>
    <mergeCell ref="L365:T365"/>
    <mergeCell ref="U365:Y365"/>
    <mergeCell ref="Z365:AC365"/>
    <mergeCell ref="A366:C366"/>
    <mergeCell ref="D366:K366"/>
    <mergeCell ref="L366:T366"/>
    <mergeCell ref="U366:Y366"/>
    <mergeCell ref="Z366:AC366"/>
    <mergeCell ref="A371:C371"/>
    <mergeCell ref="D371:K371"/>
    <mergeCell ref="L371:T371"/>
    <mergeCell ref="U371:Y371"/>
    <mergeCell ref="Z371:AC371"/>
    <mergeCell ref="A372:C372"/>
    <mergeCell ref="D372:K372"/>
    <mergeCell ref="L372:T372"/>
    <mergeCell ref="U372:Y372"/>
    <mergeCell ref="Z372:AC372"/>
    <mergeCell ref="A369:C369"/>
    <mergeCell ref="D369:K369"/>
    <mergeCell ref="L369:T369"/>
    <mergeCell ref="U369:Y369"/>
    <mergeCell ref="Z369:AC369"/>
    <mergeCell ref="A370:C370"/>
    <mergeCell ref="D370:K370"/>
    <mergeCell ref="L370:T370"/>
    <mergeCell ref="U370:Y370"/>
    <mergeCell ref="Z370:AC370"/>
    <mergeCell ref="A375:C375"/>
    <mergeCell ref="D375:K375"/>
    <mergeCell ref="L375:T375"/>
    <mergeCell ref="U375:Y375"/>
    <mergeCell ref="Z375:AC375"/>
    <mergeCell ref="A376:C376"/>
    <mergeCell ref="D376:K376"/>
    <mergeCell ref="L376:T376"/>
    <mergeCell ref="U376:Y376"/>
    <mergeCell ref="Z376:AC376"/>
    <mergeCell ref="A373:C373"/>
    <mergeCell ref="D373:K373"/>
    <mergeCell ref="L373:T373"/>
    <mergeCell ref="U373:Y373"/>
    <mergeCell ref="Z373:AC373"/>
    <mergeCell ref="A374:C374"/>
    <mergeCell ref="D374:K374"/>
    <mergeCell ref="L374:T374"/>
    <mergeCell ref="U374:Y374"/>
    <mergeCell ref="Z374:AC374"/>
    <mergeCell ref="A379:C379"/>
    <mergeCell ref="D379:K379"/>
    <mergeCell ref="L379:T379"/>
    <mergeCell ref="U379:Y379"/>
    <mergeCell ref="Z379:AC379"/>
    <mergeCell ref="A380:C380"/>
    <mergeCell ref="D380:K380"/>
    <mergeCell ref="L380:T380"/>
    <mergeCell ref="U380:Y380"/>
    <mergeCell ref="Z380:AC380"/>
    <mergeCell ref="A377:C377"/>
    <mergeCell ref="D377:K377"/>
    <mergeCell ref="L377:T377"/>
    <mergeCell ref="U377:Y377"/>
    <mergeCell ref="Z377:AC377"/>
    <mergeCell ref="A378:C378"/>
    <mergeCell ref="D378:K378"/>
    <mergeCell ref="L378:T378"/>
    <mergeCell ref="U378:Y378"/>
    <mergeCell ref="Z378:AC378"/>
    <mergeCell ref="A383:C383"/>
    <mergeCell ref="D383:K383"/>
    <mergeCell ref="L383:T383"/>
    <mergeCell ref="U383:Y383"/>
    <mergeCell ref="Z383:AC383"/>
    <mergeCell ref="A384:C384"/>
    <mergeCell ref="D384:K384"/>
    <mergeCell ref="L384:T384"/>
    <mergeCell ref="U384:Y384"/>
    <mergeCell ref="Z384:AC384"/>
    <mergeCell ref="A381:C381"/>
    <mergeCell ref="D381:K381"/>
    <mergeCell ref="L381:T381"/>
    <mergeCell ref="U381:Y381"/>
    <mergeCell ref="Z381:AC381"/>
    <mergeCell ref="A382:C382"/>
    <mergeCell ref="D382:K382"/>
    <mergeCell ref="L382:T382"/>
    <mergeCell ref="U382:Y382"/>
    <mergeCell ref="Z382:AC382"/>
    <mergeCell ref="A387:C387"/>
    <mergeCell ref="D387:K387"/>
    <mergeCell ref="L387:T387"/>
    <mergeCell ref="U387:Y387"/>
    <mergeCell ref="Z387:AC387"/>
    <mergeCell ref="A388:C388"/>
    <mergeCell ref="D388:K388"/>
    <mergeCell ref="L388:T388"/>
    <mergeCell ref="U388:Y388"/>
    <mergeCell ref="Z388:AC388"/>
    <mergeCell ref="A385:C385"/>
    <mergeCell ref="D385:K385"/>
    <mergeCell ref="L385:T385"/>
    <mergeCell ref="U385:Y385"/>
    <mergeCell ref="Z385:AC385"/>
    <mergeCell ref="A386:C386"/>
    <mergeCell ref="D386:K386"/>
    <mergeCell ref="L386:T386"/>
    <mergeCell ref="U386:Y386"/>
    <mergeCell ref="Z386:AC386"/>
    <mergeCell ref="A391:C391"/>
    <mergeCell ref="D391:K391"/>
    <mergeCell ref="L391:T391"/>
    <mergeCell ref="U391:Y391"/>
    <mergeCell ref="Z391:AC391"/>
    <mergeCell ref="A392:C392"/>
    <mergeCell ref="D392:K392"/>
    <mergeCell ref="L392:T392"/>
    <mergeCell ref="U392:Y392"/>
    <mergeCell ref="Z392:AC392"/>
    <mergeCell ref="A389:C389"/>
    <mergeCell ref="D389:K389"/>
    <mergeCell ref="L389:T389"/>
    <mergeCell ref="U389:Y389"/>
    <mergeCell ref="Z389:AC389"/>
    <mergeCell ref="A390:C390"/>
    <mergeCell ref="D390:K390"/>
    <mergeCell ref="L390:T390"/>
    <mergeCell ref="U390:Y390"/>
    <mergeCell ref="Z390:AC390"/>
    <mergeCell ref="A395:C395"/>
    <mergeCell ref="D395:K395"/>
    <mergeCell ref="L395:T395"/>
    <mergeCell ref="U395:Y395"/>
    <mergeCell ref="Z395:AC395"/>
    <mergeCell ref="A396:C396"/>
    <mergeCell ref="D396:K396"/>
    <mergeCell ref="L396:T396"/>
    <mergeCell ref="U396:Y396"/>
    <mergeCell ref="Z396:AC396"/>
    <mergeCell ref="A393:C393"/>
    <mergeCell ref="D393:K393"/>
    <mergeCell ref="L393:T393"/>
    <mergeCell ref="U393:Y393"/>
    <mergeCell ref="Z393:AC393"/>
    <mergeCell ref="A394:C394"/>
    <mergeCell ref="D394:K394"/>
    <mergeCell ref="L394:T394"/>
    <mergeCell ref="U394:Y394"/>
    <mergeCell ref="Z394:AC394"/>
    <mergeCell ref="A399:C399"/>
    <mergeCell ref="D399:K399"/>
    <mergeCell ref="L399:T399"/>
    <mergeCell ref="U399:Y399"/>
    <mergeCell ref="Z399:AC399"/>
    <mergeCell ref="A400:C400"/>
    <mergeCell ref="D400:K400"/>
    <mergeCell ref="L400:T400"/>
    <mergeCell ref="U400:Y400"/>
    <mergeCell ref="Z400:AC400"/>
    <mergeCell ref="A397:C397"/>
    <mergeCell ref="D397:K397"/>
    <mergeCell ref="L397:T397"/>
    <mergeCell ref="U397:Y397"/>
    <mergeCell ref="Z397:AC397"/>
    <mergeCell ref="A398:C398"/>
    <mergeCell ref="D398:K398"/>
    <mergeCell ref="L398:T398"/>
    <mergeCell ref="U398:Y398"/>
    <mergeCell ref="Z398:AC398"/>
    <mergeCell ref="A403:C403"/>
    <mergeCell ref="D403:K403"/>
    <mergeCell ref="L403:T403"/>
    <mergeCell ref="U403:Y403"/>
    <mergeCell ref="Z403:AC403"/>
    <mergeCell ref="A404:C404"/>
    <mergeCell ref="D404:K404"/>
    <mergeCell ref="L404:T404"/>
    <mergeCell ref="U404:Y404"/>
    <mergeCell ref="Z404:AC404"/>
    <mergeCell ref="A401:C401"/>
    <mergeCell ref="D401:K401"/>
    <mergeCell ref="L401:T401"/>
    <mergeCell ref="U401:Y401"/>
    <mergeCell ref="Z401:AC401"/>
    <mergeCell ref="A402:C402"/>
    <mergeCell ref="D402:K402"/>
    <mergeCell ref="L402:T402"/>
    <mergeCell ref="U402:Y402"/>
    <mergeCell ref="Z402:AC402"/>
    <mergeCell ref="A407:C407"/>
    <mergeCell ref="D407:K407"/>
    <mergeCell ref="L407:T407"/>
    <mergeCell ref="U407:Y407"/>
    <mergeCell ref="Z407:AC407"/>
    <mergeCell ref="A408:C408"/>
    <mergeCell ref="D408:K408"/>
    <mergeCell ref="L408:T408"/>
    <mergeCell ref="U408:Y408"/>
    <mergeCell ref="Z408:AC408"/>
    <mergeCell ref="A405:C405"/>
    <mergeCell ref="D405:K405"/>
    <mergeCell ref="L405:T405"/>
    <mergeCell ref="U405:Y405"/>
    <mergeCell ref="Z405:AC405"/>
    <mergeCell ref="A406:C406"/>
    <mergeCell ref="D406:K406"/>
    <mergeCell ref="L406:T406"/>
    <mergeCell ref="U406:Y406"/>
    <mergeCell ref="Z406:AC406"/>
    <mergeCell ref="A411:C411"/>
    <mergeCell ref="D411:K411"/>
    <mergeCell ref="L411:T411"/>
    <mergeCell ref="U411:Y411"/>
    <mergeCell ref="Z411:AC411"/>
    <mergeCell ref="A412:C412"/>
    <mergeCell ref="D412:K412"/>
    <mergeCell ref="L412:T412"/>
    <mergeCell ref="U412:Y412"/>
    <mergeCell ref="Z412:AC412"/>
    <mergeCell ref="A409:C409"/>
    <mergeCell ref="D409:K409"/>
    <mergeCell ref="L409:T409"/>
    <mergeCell ref="U409:Y409"/>
    <mergeCell ref="Z409:AC409"/>
    <mergeCell ref="A410:C410"/>
    <mergeCell ref="D410:K410"/>
    <mergeCell ref="L410:T410"/>
    <mergeCell ref="U410:Y410"/>
    <mergeCell ref="Z410:AC410"/>
    <mergeCell ref="A415:C415"/>
    <mergeCell ref="D415:K415"/>
    <mergeCell ref="L415:T415"/>
    <mergeCell ref="U415:Y415"/>
    <mergeCell ref="Z415:AC415"/>
    <mergeCell ref="A416:C416"/>
    <mergeCell ref="D416:K416"/>
    <mergeCell ref="L416:T416"/>
    <mergeCell ref="U416:Y416"/>
    <mergeCell ref="Z416:AC416"/>
    <mergeCell ref="A413:C413"/>
    <mergeCell ref="D413:K413"/>
    <mergeCell ref="L413:T413"/>
    <mergeCell ref="U413:Y413"/>
    <mergeCell ref="Z413:AC413"/>
    <mergeCell ref="A414:C414"/>
    <mergeCell ref="D414:K414"/>
    <mergeCell ref="L414:T414"/>
    <mergeCell ref="U414:Y414"/>
    <mergeCell ref="Z414:AC414"/>
    <mergeCell ref="A419:C419"/>
    <mergeCell ref="D419:K419"/>
    <mergeCell ref="L419:T419"/>
    <mergeCell ref="U419:Y419"/>
    <mergeCell ref="Z419:AC419"/>
    <mergeCell ref="A420:C420"/>
    <mergeCell ref="D420:K420"/>
    <mergeCell ref="L420:T420"/>
    <mergeCell ref="U420:Y420"/>
    <mergeCell ref="Z420:AC420"/>
    <mergeCell ref="A417:C417"/>
    <mergeCell ref="D417:K417"/>
    <mergeCell ref="L417:T417"/>
    <mergeCell ref="U417:Y417"/>
    <mergeCell ref="Z417:AC417"/>
    <mergeCell ref="A418:C418"/>
    <mergeCell ref="D418:K418"/>
    <mergeCell ref="L418:T418"/>
    <mergeCell ref="U418:Y418"/>
    <mergeCell ref="Z418:AC418"/>
    <mergeCell ref="A423:C423"/>
    <mergeCell ref="D423:K423"/>
    <mergeCell ref="L423:T423"/>
    <mergeCell ref="U423:Y423"/>
    <mergeCell ref="Z423:AC423"/>
    <mergeCell ref="A424:C424"/>
    <mergeCell ref="D424:K424"/>
    <mergeCell ref="L424:T424"/>
    <mergeCell ref="U424:Y424"/>
    <mergeCell ref="Z424:AC424"/>
    <mergeCell ref="A421:C421"/>
    <mergeCell ref="D421:K421"/>
    <mergeCell ref="L421:T421"/>
    <mergeCell ref="U421:Y421"/>
    <mergeCell ref="Z421:AC421"/>
    <mergeCell ref="A422:C422"/>
    <mergeCell ref="D422:K422"/>
    <mergeCell ref="L422:T422"/>
    <mergeCell ref="U422:Y422"/>
    <mergeCell ref="Z422:AC422"/>
    <mergeCell ref="A427:C427"/>
    <mergeCell ref="D427:K427"/>
    <mergeCell ref="L427:T427"/>
    <mergeCell ref="U427:Y427"/>
    <mergeCell ref="Z427:AC427"/>
    <mergeCell ref="A428:C428"/>
    <mergeCell ref="D428:K428"/>
    <mergeCell ref="L428:T428"/>
    <mergeCell ref="U428:Y428"/>
    <mergeCell ref="Z428:AC428"/>
    <mergeCell ref="A425:C425"/>
    <mergeCell ref="D425:K425"/>
    <mergeCell ref="L425:T425"/>
    <mergeCell ref="U425:Y425"/>
    <mergeCell ref="Z425:AC425"/>
    <mergeCell ref="A426:C426"/>
    <mergeCell ref="D426:K426"/>
    <mergeCell ref="L426:T426"/>
    <mergeCell ref="U426:Y426"/>
    <mergeCell ref="Z426:AC426"/>
    <mergeCell ref="A431:C431"/>
    <mergeCell ref="D431:K431"/>
    <mergeCell ref="L431:T431"/>
    <mergeCell ref="U431:Y431"/>
    <mergeCell ref="Z431:AC431"/>
    <mergeCell ref="A432:C432"/>
    <mergeCell ref="D432:K432"/>
    <mergeCell ref="L432:T432"/>
    <mergeCell ref="U432:Y432"/>
    <mergeCell ref="Z432:AC432"/>
    <mergeCell ref="A429:C429"/>
    <mergeCell ref="D429:K429"/>
    <mergeCell ref="L429:T429"/>
    <mergeCell ref="U429:Y429"/>
    <mergeCell ref="Z429:AC429"/>
    <mergeCell ref="A430:C430"/>
    <mergeCell ref="D430:K430"/>
    <mergeCell ref="L430:T430"/>
    <mergeCell ref="U430:Y430"/>
    <mergeCell ref="Z430:AC430"/>
    <mergeCell ref="A435:C435"/>
    <mergeCell ref="D435:K435"/>
    <mergeCell ref="L435:T435"/>
    <mergeCell ref="U435:Y435"/>
    <mergeCell ref="Z435:AC435"/>
    <mergeCell ref="A436:C436"/>
    <mergeCell ref="D436:K436"/>
    <mergeCell ref="L436:T436"/>
    <mergeCell ref="U436:Y436"/>
    <mergeCell ref="Z436:AC436"/>
    <mergeCell ref="A433:C433"/>
    <mergeCell ref="D433:K433"/>
    <mergeCell ref="L433:T433"/>
    <mergeCell ref="U433:Y433"/>
    <mergeCell ref="Z433:AC433"/>
    <mergeCell ref="A434:C434"/>
    <mergeCell ref="D434:K434"/>
    <mergeCell ref="L434:T434"/>
    <mergeCell ref="U434:Y434"/>
    <mergeCell ref="Z434:AC434"/>
    <mergeCell ref="A439:C439"/>
    <mergeCell ref="D439:K439"/>
    <mergeCell ref="L439:T439"/>
    <mergeCell ref="U439:Y439"/>
    <mergeCell ref="Z439:AC439"/>
    <mergeCell ref="A440:C440"/>
    <mergeCell ref="D440:K440"/>
    <mergeCell ref="L440:T440"/>
    <mergeCell ref="U440:Y440"/>
    <mergeCell ref="Z440:AC440"/>
    <mergeCell ref="A437:C437"/>
    <mergeCell ref="D437:K437"/>
    <mergeCell ref="L437:T437"/>
    <mergeCell ref="U437:Y437"/>
    <mergeCell ref="Z437:AC437"/>
    <mergeCell ref="A438:C438"/>
    <mergeCell ref="D438:K438"/>
    <mergeCell ref="L438:T438"/>
    <mergeCell ref="U438:Y438"/>
    <mergeCell ref="Z438:AC438"/>
    <mergeCell ref="A443:C443"/>
    <mergeCell ref="D443:K443"/>
    <mergeCell ref="L443:T443"/>
    <mergeCell ref="U443:Y443"/>
    <mergeCell ref="Z443:AC443"/>
    <mergeCell ref="A444:C444"/>
    <mergeCell ref="D444:K444"/>
    <mergeCell ref="L444:T444"/>
    <mergeCell ref="U444:Y444"/>
    <mergeCell ref="Z444:AC444"/>
    <mergeCell ref="A441:C441"/>
    <mergeCell ref="D441:K441"/>
    <mergeCell ref="L441:T441"/>
    <mergeCell ref="U441:Y441"/>
    <mergeCell ref="Z441:AC441"/>
    <mergeCell ref="A442:C442"/>
    <mergeCell ref="D442:K442"/>
    <mergeCell ref="L442:T442"/>
    <mergeCell ref="U442:Y442"/>
    <mergeCell ref="Z442:AC442"/>
    <mergeCell ref="A447:C447"/>
    <mergeCell ref="D447:K447"/>
    <mergeCell ref="L447:T447"/>
    <mergeCell ref="U447:Y447"/>
    <mergeCell ref="Z447:AC447"/>
    <mergeCell ref="A448:C448"/>
    <mergeCell ref="D448:K448"/>
    <mergeCell ref="L448:T448"/>
    <mergeCell ref="U448:Y448"/>
    <mergeCell ref="Z448:AC448"/>
    <mergeCell ref="A445:C445"/>
    <mergeCell ref="D445:K445"/>
    <mergeCell ref="L445:T445"/>
    <mergeCell ref="U445:Y445"/>
    <mergeCell ref="Z445:AC445"/>
    <mergeCell ref="A446:C446"/>
    <mergeCell ref="D446:K446"/>
    <mergeCell ref="L446:T446"/>
    <mergeCell ref="U446:Y446"/>
    <mergeCell ref="Z446:AC446"/>
    <mergeCell ref="A451:C451"/>
    <mergeCell ref="D451:K451"/>
    <mergeCell ref="L451:T451"/>
    <mergeCell ref="U451:Y451"/>
    <mergeCell ref="Z451:AC451"/>
    <mergeCell ref="A452:C452"/>
    <mergeCell ref="D452:K452"/>
    <mergeCell ref="L452:T452"/>
    <mergeCell ref="U452:Y452"/>
    <mergeCell ref="Z452:AC452"/>
    <mergeCell ref="A449:C449"/>
    <mergeCell ref="D449:K449"/>
    <mergeCell ref="L449:T449"/>
    <mergeCell ref="U449:Y449"/>
    <mergeCell ref="Z449:AC449"/>
    <mergeCell ref="A450:C450"/>
    <mergeCell ref="D450:K450"/>
    <mergeCell ref="L450:T450"/>
    <mergeCell ref="U450:Y450"/>
    <mergeCell ref="Z450:AC450"/>
    <mergeCell ref="A455:C455"/>
    <mergeCell ref="D455:K455"/>
    <mergeCell ref="L455:T455"/>
    <mergeCell ref="U455:Y455"/>
    <mergeCell ref="Z455:AC455"/>
    <mergeCell ref="A456:C456"/>
    <mergeCell ref="D456:K456"/>
    <mergeCell ref="L456:T456"/>
    <mergeCell ref="U456:Y456"/>
    <mergeCell ref="Z456:AC456"/>
    <mergeCell ref="A453:C453"/>
    <mergeCell ref="D453:K453"/>
    <mergeCell ref="L453:T453"/>
    <mergeCell ref="U453:Y453"/>
    <mergeCell ref="Z453:AC453"/>
    <mergeCell ref="A454:C454"/>
    <mergeCell ref="D454:K454"/>
    <mergeCell ref="L454:T454"/>
    <mergeCell ref="U454:Y454"/>
    <mergeCell ref="Z454:AC454"/>
    <mergeCell ref="A459:C459"/>
    <mergeCell ref="D459:K459"/>
    <mergeCell ref="L459:T459"/>
    <mergeCell ref="U459:Y459"/>
    <mergeCell ref="Z459:AC459"/>
    <mergeCell ref="A460:C460"/>
    <mergeCell ref="D460:K460"/>
    <mergeCell ref="L460:T460"/>
    <mergeCell ref="U460:Y460"/>
    <mergeCell ref="Z460:AC460"/>
    <mergeCell ref="A457:C457"/>
    <mergeCell ref="D457:K457"/>
    <mergeCell ref="L457:T457"/>
    <mergeCell ref="U457:Y457"/>
    <mergeCell ref="Z457:AC457"/>
    <mergeCell ref="A458:C458"/>
    <mergeCell ref="D458:K458"/>
    <mergeCell ref="L458:T458"/>
    <mergeCell ref="U458:Y458"/>
    <mergeCell ref="Z458:AC458"/>
    <mergeCell ref="A463:C463"/>
    <mergeCell ref="D463:K463"/>
    <mergeCell ref="L463:T463"/>
    <mergeCell ref="U463:Y463"/>
    <mergeCell ref="Z463:AC463"/>
    <mergeCell ref="A464:C464"/>
    <mergeCell ref="D464:K464"/>
    <mergeCell ref="L464:T464"/>
    <mergeCell ref="U464:Y464"/>
    <mergeCell ref="Z464:AC464"/>
    <mergeCell ref="A461:C461"/>
    <mergeCell ref="D461:K461"/>
    <mergeCell ref="L461:T461"/>
    <mergeCell ref="U461:Y461"/>
    <mergeCell ref="Z461:AC461"/>
    <mergeCell ref="A462:C462"/>
    <mergeCell ref="D462:K462"/>
    <mergeCell ref="L462:T462"/>
    <mergeCell ref="U462:Y462"/>
    <mergeCell ref="Z462:AC462"/>
    <mergeCell ref="A467:C467"/>
    <mergeCell ref="D467:K467"/>
    <mergeCell ref="L467:T467"/>
    <mergeCell ref="U467:Y467"/>
    <mergeCell ref="Z467:AC467"/>
    <mergeCell ref="A468:C468"/>
    <mergeCell ref="D468:K468"/>
    <mergeCell ref="L468:T468"/>
    <mergeCell ref="U468:Y468"/>
    <mergeCell ref="Z468:AC468"/>
    <mergeCell ref="A465:C465"/>
    <mergeCell ref="D465:K465"/>
    <mergeCell ref="L465:T465"/>
    <mergeCell ref="U465:Y465"/>
    <mergeCell ref="Z465:AC465"/>
    <mergeCell ref="A466:C466"/>
    <mergeCell ref="D466:K466"/>
    <mergeCell ref="L466:T466"/>
    <mergeCell ref="U466:Y466"/>
    <mergeCell ref="Z466:AC466"/>
    <mergeCell ref="A471:C471"/>
    <mergeCell ref="D471:K471"/>
    <mergeCell ref="L471:T471"/>
    <mergeCell ref="U471:Y471"/>
    <mergeCell ref="Z471:AC471"/>
    <mergeCell ref="A472:C472"/>
    <mergeCell ref="D472:K472"/>
    <mergeCell ref="L472:T472"/>
    <mergeCell ref="U472:Y472"/>
    <mergeCell ref="Z472:AC472"/>
    <mergeCell ref="A469:C469"/>
    <mergeCell ref="D469:K469"/>
    <mergeCell ref="L469:T469"/>
    <mergeCell ref="U469:Y469"/>
    <mergeCell ref="Z469:AC469"/>
    <mergeCell ref="A470:C470"/>
    <mergeCell ref="D470:K470"/>
    <mergeCell ref="L470:T470"/>
    <mergeCell ref="U470:Y470"/>
    <mergeCell ref="Z470:AC470"/>
    <mergeCell ref="A475:C475"/>
    <mergeCell ref="D475:K475"/>
    <mergeCell ref="L475:T475"/>
    <mergeCell ref="U475:Y475"/>
    <mergeCell ref="Z475:AC475"/>
    <mergeCell ref="A476:C476"/>
    <mergeCell ref="D476:K476"/>
    <mergeCell ref="L476:T476"/>
    <mergeCell ref="U476:Y476"/>
    <mergeCell ref="Z476:AC476"/>
    <mergeCell ref="A473:C473"/>
    <mergeCell ref="D473:K473"/>
    <mergeCell ref="L473:T473"/>
    <mergeCell ref="U473:Y473"/>
    <mergeCell ref="Z473:AC473"/>
    <mergeCell ref="A474:C474"/>
    <mergeCell ref="D474:K474"/>
    <mergeCell ref="L474:T474"/>
    <mergeCell ref="U474:Y474"/>
    <mergeCell ref="Z474:AC474"/>
    <mergeCell ref="A479:C479"/>
    <mergeCell ref="D479:K479"/>
    <mergeCell ref="L479:T479"/>
    <mergeCell ref="U479:Y479"/>
    <mergeCell ref="Z479:AC479"/>
    <mergeCell ref="A480:C480"/>
    <mergeCell ref="D480:K480"/>
    <mergeCell ref="L480:T480"/>
    <mergeCell ref="U480:Y480"/>
    <mergeCell ref="Z480:AC480"/>
    <mergeCell ref="A477:C477"/>
    <mergeCell ref="D477:K477"/>
    <mergeCell ref="L477:T477"/>
    <mergeCell ref="U477:Y477"/>
    <mergeCell ref="Z477:AC477"/>
    <mergeCell ref="A478:C478"/>
    <mergeCell ref="D478:K478"/>
    <mergeCell ref="L478:T478"/>
    <mergeCell ref="U478:Y478"/>
    <mergeCell ref="Z478:AC478"/>
    <mergeCell ref="A483:C483"/>
    <mergeCell ref="D483:K483"/>
    <mergeCell ref="L483:T483"/>
    <mergeCell ref="U483:Y483"/>
    <mergeCell ref="Z483:AC483"/>
    <mergeCell ref="A484:C484"/>
    <mergeCell ref="D484:K484"/>
    <mergeCell ref="L484:T484"/>
    <mergeCell ref="U484:Y484"/>
    <mergeCell ref="Z484:AC484"/>
    <mergeCell ref="A481:C481"/>
    <mergeCell ref="D481:K481"/>
    <mergeCell ref="L481:T481"/>
    <mergeCell ref="U481:Y481"/>
    <mergeCell ref="Z481:AC481"/>
    <mergeCell ref="A482:C482"/>
    <mergeCell ref="D482:K482"/>
    <mergeCell ref="L482:T482"/>
    <mergeCell ref="U482:Y482"/>
    <mergeCell ref="Z482:AC482"/>
    <mergeCell ref="A487:C487"/>
    <mergeCell ref="D487:K487"/>
    <mergeCell ref="L487:T487"/>
    <mergeCell ref="U487:Y487"/>
    <mergeCell ref="Z487:AC487"/>
    <mergeCell ref="A488:C488"/>
    <mergeCell ref="D488:K488"/>
    <mergeCell ref="L488:T488"/>
    <mergeCell ref="U488:Y488"/>
    <mergeCell ref="Z488:AC488"/>
    <mergeCell ref="A485:C485"/>
    <mergeCell ref="D485:K485"/>
    <mergeCell ref="L485:T485"/>
    <mergeCell ref="U485:Y485"/>
    <mergeCell ref="Z485:AC485"/>
    <mergeCell ref="A486:C486"/>
    <mergeCell ref="D486:K486"/>
    <mergeCell ref="L486:T486"/>
    <mergeCell ref="U486:Y486"/>
    <mergeCell ref="Z486:AC486"/>
    <mergeCell ref="A491:C491"/>
    <mergeCell ref="D491:K491"/>
    <mergeCell ref="L491:T491"/>
    <mergeCell ref="U491:Y491"/>
    <mergeCell ref="Z491:AC491"/>
    <mergeCell ref="A492:C492"/>
    <mergeCell ref="D492:K492"/>
    <mergeCell ref="L492:T492"/>
    <mergeCell ref="U492:Y492"/>
    <mergeCell ref="Z492:AC492"/>
    <mergeCell ref="A489:C489"/>
    <mergeCell ref="D489:K489"/>
    <mergeCell ref="L489:T489"/>
    <mergeCell ref="U489:Y489"/>
    <mergeCell ref="Z489:AC489"/>
    <mergeCell ref="A490:C490"/>
    <mergeCell ref="D490:K490"/>
    <mergeCell ref="L490:T490"/>
    <mergeCell ref="U490:Y490"/>
    <mergeCell ref="Z490:AC490"/>
    <mergeCell ref="A495:C495"/>
    <mergeCell ref="D495:K495"/>
    <mergeCell ref="L495:T495"/>
    <mergeCell ref="U495:Y495"/>
    <mergeCell ref="Z495:AC495"/>
    <mergeCell ref="A496:C496"/>
    <mergeCell ref="D496:K496"/>
    <mergeCell ref="L496:T496"/>
    <mergeCell ref="U496:Y496"/>
    <mergeCell ref="Z496:AC496"/>
    <mergeCell ref="A493:C493"/>
    <mergeCell ref="D493:K493"/>
    <mergeCell ref="L493:T493"/>
    <mergeCell ref="U493:Y493"/>
    <mergeCell ref="Z493:AC493"/>
    <mergeCell ref="A494:C494"/>
    <mergeCell ref="D494:K494"/>
    <mergeCell ref="L494:T494"/>
    <mergeCell ref="U494:Y494"/>
    <mergeCell ref="Z494:AC494"/>
    <mergeCell ref="A499:C499"/>
    <mergeCell ref="D499:K499"/>
    <mergeCell ref="L499:T499"/>
    <mergeCell ref="U499:Y499"/>
    <mergeCell ref="Z499:AC499"/>
    <mergeCell ref="A500:C500"/>
    <mergeCell ref="D500:K500"/>
    <mergeCell ref="L500:T500"/>
    <mergeCell ref="U500:Y500"/>
    <mergeCell ref="Z500:AC500"/>
    <mergeCell ref="A497:C497"/>
    <mergeCell ref="D497:K497"/>
    <mergeCell ref="L497:T497"/>
    <mergeCell ref="U497:Y497"/>
    <mergeCell ref="Z497:AC497"/>
    <mergeCell ref="A498:C498"/>
    <mergeCell ref="D498:K498"/>
    <mergeCell ref="L498:T498"/>
    <mergeCell ref="U498:Y498"/>
    <mergeCell ref="Z498:AC498"/>
  </mergeCells>
  <dataValidations count="1">
    <dataValidation type="list" allowBlank="1" showInputMessage="1" showErrorMessage="1" sqref="D8:K500" xr:uid="{00000000-0002-0000-0700-000000000000}">
      <formula1>Interaction_Type</formula1>
    </dataValidation>
  </dataValidations>
  <pageMargins left="0.7" right="0.7" top="0.75" bottom="0.75" header="0.3" footer="0.3"/>
  <pageSetup scale="68" orientation="landscape" r:id="rId1"/>
  <headerFooter>
    <oddFooter>&amp;LRevised 2/28/19&amp;C&amp;A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pageSetUpPr fitToPage="1"/>
  </sheetPr>
  <dimension ref="A1:AI68"/>
  <sheetViews>
    <sheetView zoomScale="80" zoomScaleNormal="80" workbookViewId="0">
      <pane ySplit="6" topLeftCell="A22" activePane="bottomLeft" state="frozen"/>
      <selection activeCell="D19" sqref="D19:K22"/>
      <selection pane="bottomLeft" activeCell="O14" sqref="O14:Q14"/>
    </sheetView>
  </sheetViews>
  <sheetFormatPr defaultRowHeight="15" x14ac:dyDescent="0.25"/>
  <cols>
    <col min="1" max="1" width="7.28515625" customWidth="1"/>
    <col min="2" max="3" width="6.7109375" customWidth="1"/>
    <col min="4" max="9" width="5.7109375" customWidth="1"/>
    <col min="10" max="13" width="6.28515625" customWidth="1"/>
    <col min="14" max="14" width="11.42578125" customWidth="1"/>
    <col min="15" max="16" width="6.28515625" customWidth="1"/>
    <col min="17" max="17" width="12.140625" customWidth="1"/>
    <col min="18" max="25" width="6.28515625" customWidth="1"/>
    <col min="26" max="26" width="10.42578125" customWidth="1"/>
    <col min="28" max="28" width="7.85546875" customWidth="1"/>
    <col min="29" max="32" width="6.28515625" customWidth="1"/>
    <col min="34" max="34" width="9.7109375" customWidth="1"/>
    <col min="35" max="35" width="5.7109375" customWidth="1"/>
    <col min="36" max="36" width="20.42578125" customWidth="1"/>
    <col min="37" max="37" width="7.28515625" customWidth="1"/>
    <col min="38" max="38" width="9.28515625" customWidth="1"/>
    <col min="39" max="39" width="12" customWidth="1"/>
    <col min="40" max="40" width="13" customWidth="1"/>
    <col min="41" max="41" width="8.5703125" customWidth="1"/>
    <col min="42" max="42" width="40.7109375" customWidth="1"/>
    <col min="43" max="43" width="60.7109375" customWidth="1"/>
  </cols>
  <sheetData>
    <row r="1" spans="1:35" ht="18.75" customHeight="1" x14ac:dyDescent="0.25">
      <c r="A1" s="717" t="s">
        <v>106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177"/>
      <c r="AB1" s="177"/>
      <c r="AC1" s="177"/>
      <c r="AD1" s="177"/>
      <c r="AE1" s="177"/>
      <c r="AF1" s="177"/>
      <c r="AG1" s="177"/>
      <c r="AH1" s="177"/>
      <c r="AI1" s="177"/>
    </row>
    <row r="2" spans="1:35" x14ac:dyDescent="0.25">
      <c r="A2" s="717"/>
      <c r="B2" s="717"/>
      <c r="C2" s="717"/>
      <c r="D2" s="717"/>
      <c r="E2" s="717"/>
      <c r="F2" s="717"/>
      <c r="G2" s="717"/>
      <c r="H2" s="717"/>
      <c r="I2" s="717"/>
      <c r="J2" s="717"/>
      <c r="K2" s="717"/>
      <c r="L2" s="717"/>
      <c r="M2" s="717"/>
      <c r="N2" s="717"/>
      <c r="O2" s="717"/>
      <c r="P2" s="717"/>
      <c r="Q2" s="717"/>
      <c r="R2" s="717"/>
      <c r="S2" s="717"/>
      <c r="T2" s="717"/>
      <c r="U2" s="717"/>
      <c r="V2" s="717"/>
      <c r="W2" s="717"/>
      <c r="X2" s="717"/>
      <c r="Y2" s="717"/>
      <c r="Z2" s="717"/>
      <c r="AA2" s="177"/>
      <c r="AB2" s="177"/>
      <c r="AC2" s="177"/>
      <c r="AD2" s="177"/>
      <c r="AE2" s="177"/>
      <c r="AF2" s="177"/>
      <c r="AG2" s="177"/>
      <c r="AH2" s="177"/>
      <c r="AI2" s="177"/>
    </row>
    <row r="3" spans="1:35" x14ac:dyDescent="0.25">
      <c r="A3" s="718" t="s">
        <v>107</v>
      </c>
      <c r="B3" s="718"/>
      <c r="C3" s="718"/>
      <c r="D3" s="718"/>
      <c r="E3" s="718"/>
      <c r="F3" s="718"/>
      <c r="G3" s="439" t="str">
        <f>Setup!G3</f>
        <v>Expanded School Mental Health</v>
      </c>
      <c r="H3" s="439"/>
      <c r="I3" s="439"/>
      <c r="J3" s="439"/>
      <c r="K3" s="439"/>
      <c r="L3" s="439"/>
      <c r="M3" s="439"/>
      <c r="N3" s="439"/>
      <c r="O3" s="439"/>
      <c r="P3" s="439"/>
      <c r="Q3" s="199"/>
      <c r="R3" s="718" t="s">
        <v>109</v>
      </c>
      <c r="S3" s="718"/>
      <c r="T3" s="718"/>
      <c r="U3" s="439">
        <f>Setup!U3</f>
        <v>0</v>
      </c>
      <c r="V3" s="439"/>
      <c r="W3" s="439"/>
      <c r="X3" s="439"/>
      <c r="Y3" s="439"/>
      <c r="Z3" s="439"/>
      <c r="AA3" s="177"/>
      <c r="AB3" s="177"/>
      <c r="AC3" s="177"/>
      <c r="AD3" s="177"/>
      <c r="AE3" s="177"/>
      <c r="AF3" s="177"/>
      <c r="AG3" s="177"/>
      <c r="AH3" s="177"/>
      <c r="AI3" s="177"/>
    </row>
    <row r="4" spans="1:35" x14ac:dyDescent="0.25">
      <c r="A4" s="718" t="s">
        <v>110</v>
      </c>
      <c r="B4" s="718"/>
      <c r="C4" s="718"/>
      <c r="D4" s="718"/>
      <c r="E4" s="718"/>
      <c r="F4" s="718"/>
      <c r="G4" s="610">
        <f>Setup!G4</f>
        <v>0</v>
      </c>
      <c r="H4" s="610"/>
      <c r="I4" s="610"/>
      <c r="J4" s="610"/>
      <c r="K4" s="610"/>
      <c r="L4" s="610"/>
      <c r="M4" s="610"/>
      <c r="N4" s="610"/>
      <c r="O4" s="610"/>
      <c r="P4" s="610"/>
      <c r="Q4" s="199"/>
      <c r="R4" s="718" t="s">
        <v>114</v>
      </c>
      <c r="S4" s="718"/>
      <c r="T4" s="718"/>
      <c r="U4" s="610">
        <f>Setup!U6</f>
        <v>0</v>
      </c>
      <c r="V4" s="610"/>
      <c r="W4" s="610"/>
      <c r="X4" s="610"/>
      <c r="Y4" s="610"/>
      <c r="Z4" s="610"/>
      <c r="AA4" s="177"/>
      <c r="AB4" s="177"/>
      <c r="AC4" s="177"/>
      <c r="AD4" s="177"/>
      <c r="AE4" s="177"/>
      <c r="AF4" s="177"/>
      <c r="AG4" s="177"/>
      <c r="AH4" s="177"/>
      <c r="AI4" s="177"/>
    </row>
    <row r="5" spans="1:35" ht="30" customHeight="1" x14ac:dyDescent="0.25">
      <c r="A5" s="710" t="s">
        <v>115</v>
      </c>
      <c r="B5" s="710"/>
      <c r="C5" s="710"/>
      <c r="D5" s="710"/>
      <c r="E5" s="710"/>
      <c r="F5" s="710"/>
      <c r="G5" s="711">
        <f>Setup!G7</f>
        <v>0</v>
      </c>
      <c r="H5" s="711"/>
      <c r="I5" s="711"/>
      <c r="J5" s="711"/>
      <c r="K5" s="711"/>
      <c r="L5" s="711">
        <f>Setup!L7</f>
        <v>0</v>
      </c>
      <c r="M5" s="711"/>
      <c r="N5" s="711"/>
      <c r="O5" s="711"/>
      <c r="P5" s="711"/>
      <c r="Q5" s="199"/>
      <c r="R5" s="712" t="s">
        <v>118</v>
      </c>
      <c r="S5" s="712"/>
      <c r="T5" s="712"/>
      <c r="U5" s="713">
        <f>Setup!U7</f>
        <v>0</v>
      </c>
      <c r="V5" s="713"/>
      <c r="W5" s="713"/>
      <c r="X5" s="713"/>
      <c r="Y5" s="713"/>
      <c r="Z5" s="713"/>
      <c r="AA5" s="177"/>
      <c r="AB5" s="177"/>
      <c r="AC5" s="177"/>
      <c r="AD5" s="177"/>
      <c r="AE5" s="177"/>
      <c r="AF5" s="177"/>
      <c r="AG5" s="177"/>
      <c r="AH5" s="177"/>
      <c r="AI5" s="177"/>
    </row>
    <row r="6" spans="1:35" ht="18.75" customHeight="1" x14ac:dyDescent="0.25">
      <c r="A6" s="714" t="s">
        <v>119</v>
      </c>
      <c r="B6" s="714"/>
      <c r="C6" s="714"/>
      <c r="D6" s="714"/>
      <c r="E6" s="714"/>
      <c r="F6" s="714"/>
      <c r="G6" s="714"/>
      <c r="H6" s="714"/>
      <c r="I6" s="714"/>
      <c r="J6" s="714"/>
      <c r="K6" s="714"/>
      <c r="L6" s="714"/>
      <c r="M6" s="714"/>
      <c r="N6" s="714"/>
      <c r="O6" s="714"/>
      <c r="P6" s="714"/>
      <c r="Q6" s="714"/>
      <c r="R6" s="714"/>
      <c r="S6" s="714"/>
      <c r="T6" s="714"/>
      <c r="U6" s="714"/>
      <c r="V6" s="714"/>
      <c r="W6" s="714"/>
      <c r="X6" s="714"/>
      <c r="Y6" s="714"/>
      <c r="Z6" s="714"/>
      <c r="AA6" s="177"/>
      <c r="AB6" s="177"/>
      <c r="AC6" s="177"/>
      <c r="AD6" s="177"/>
      <c r="AE6" s="177"/>
      <c r="AF6" s="177"/>
      <c r="AG6" s="177"/>
      <c r="AH6" s="177"/>
      <c r="AI6" s="177"/>
    </row>
    <row r="7" spans="1:35" ht="15.75" thickBot="1" x14ac:dyDescent="0.3">
      <c r="A7" s="177"/>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row>
    <row r="8" spans="1:35" s="7" customFormat="1" ht="84.75" customHeight="1" thickTop="1" thickBot="1" x14ac:dyDescent="0.3">
      <c r="A8" s="738" t="s">
        <v>528</v>
      </c>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40"/>
    </row>
    <row r="9" spans="1:35" ht="58.5" customHeight="1" thickTop="1" thickBot="1" x14ac:dyDescent="0.3">
      <c r="A9" s="741" t="s">
        <v>529</v>
      </c>
      <c r="B9" s="742"/>
      <c r="C9" s="742"/>
      <c r="D9" s="742"/>
      <c r="E9" s="742"/>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3"/>
    </row>
    <row r="10" spans="1:35" ht="16.5" thickTop="1" thickBot="1" x14ac:dyDescent="0.3">
      <c r="A10" s="707"/>
      <c r="B10" s="708"/>
      <c r="C10" s="708"/>
      <c r="D10" s="708"/>
      <c r="E10" s="708"/>
      <c r="F10" s="708"/>
      <c r="G10" s="708"/>
      <c r="H10" s="708"/>
      <c r="I10" s="708"/>
      <c r="J10" s="709"/>
      <c r="K10" s="703" t="s">
        <v>530</v>
      </c>
      <c r="L10" s="703"/>
      <c r="M10" s="703"/>
      <c r="N10" s="703"/>
      <c r="O10" s="703"/>
      <c r="P10" s="703"/>
      <c r="Q10" s="703"/>
      <c r="R10" s="715"/>
      <c r="S10" s="716"/>
      <c r="T10" s="703" t="s">
        <v>531</v>
      </c>
      <c r="U10" s="703"/>
      <c r="V10" s="703"/>
      <c r="W10" s="703"/>
      <c r="X10" s="703"/>
      <c r="Y10" s="703"/>
      <c r="Z10" s="703"/>
      <c r="AA10" s="715"/>
      <c r="AB10" s="719"/>
      <c r="AC10" s="720" t="s">
        <v>531</v>
      </c>
      <c r="AD10" s="721"/>
      <c r="AE10" s="721"/>
      <c r="AF10" s="721"/>
      <c r="AG10" s="721"/>
      <c r="AH10" s="721"/>
      <c r="AI10" s="722"/>
    </row>
    <row r="11" spans="1:35" ht="16.5" thickTop="1" thickBot="1" x14ac:dyDescent="0.3">
      <c r="A11" s="704"/>
      <c r="B11" s="704"/>
      <c r="C11" s="704"/>
      <c r="D11" s="704"/>
      <c r="E11" s="704"/>
      <c r="F11" s="704"/>
      <c r="G11" s="704"/>
      <c r="H11" s="704"/>
      <c r="I11" s="704"/>
      <c r="J11" s="704"/>
      <c r="K11" s="705" t="s">
        <v>532</v>
      </c>
      <c r="L11" s="706"/>
      <c r="M11" s="706"/>
      <c r="N11" s="706"/>
      <c r="O11" s="706"/>
      <c r="P11" s="706"/>
      <c r="Q11" s="706"/>
      <c r="R11" s="279"/>
      <c r="S11" s="281"/>
      <c r="T11" s="706" t="s">
        <v>533</v>
      </c>
      <c r="U11" s="706"/>
      <c r="V11" s="706"/>
      <c r="W11" s="706"/>
      <c r="X11" s="706"/>
      <c r="Y11" s="706"/>
      <c r="Z11" s="706"/>
      <c r="AA11" s="279"/>
      <c r="AB11" s="280"/>
      <c r="AC11" s="706" t="s">
        <v>534</v>
      </c>
      <c r="AD11" s="706"/>
      <c r="AE11" s="706"/>
      <c r="AF11" s="706"/>
      <c r="AG11" s="706"/>
      <c r="AH11" s="706"/>
      <c r="AI11" s="723"/>
    </row>
    <row r="12" spans="1:35" ht="47.25" customHeight="1" thickBot="1" x14ac:dyDescent="0.3">
      <c r="A12" s="696"/>
      <c r="B12" s="697"/>
      <c r="C12" s="697"/>
      <c r="D12" s="697"/>
      <c r="E12" s="697"/>
      <c r="F12" s="697"/>
      <c r="G12" s="697"/>
      <c r="H12" s="697"/>
      <c r="I12" s="697"/>
      <c r="J12" s="698"/>
      <c r="K12" s="699" t="s">
        <v>535</v>
      </c>
      <c r="L12" s="700"/>
      <c r="M12" s="700"/>
      <c r="N12" s="700"/>
      <c r="O12" s="700" t="s">
        <v>536</v>
      </c>
      <c r="P12" s="700"/>
      <c r="Q12" s="700"/>
      <c r="R12" s="701"/>
      <c r="S12" s="702"/>
      <c r="T12" s="700" t="s">
        <v>535</v>
      </c>
      <c r="U12" s="700"/>
      <c r="V12" s="700"/>
      <c r="W12" s="700"/>
      <c r="X12" s="700" t="s">
        <v>536</v>
      </c>
      <c r="Y12" s="700"/>
      <c r="Z12" s="700"/>
      <c r="AA12" s="701"/>
      <c r="AB12" s="724"/>
      <c r="AC12" s="700" t="s">
        <v>535</v>
      </c>
      <c r="AD12" s="700"/>
      <c r="AE12" s="700"/>
      <c r="AF12" s="700"/>
      <c r="AG12" s="700" t="s">
        <v>536</v>
      </c>
      <c r="AH12" s="700"/>
      <c r="AI12" s="725"/>
    </row>
    <row r="13" spans="1:35" ht="15.75" thickBot="1" x14ac:dyDescent="0.3">
      <c r="A13" s="692" t="s">
        <v>537</v>
      </c>
      <c r="B13" s="693"/>
      <c r="C13" s="693"/>
      <c r="D13" s="693"/>
      <c r="E13" s="693"/>
      <c r="F13" s="693"/>
      <c r="G13" s="693"/>
      <c r="H13" s="693"/>
      <c r="I13" s="693"/>
      <c r="J13" s="694"/>
      <c r="K13" s="695" t="s">
        <v>532</v>
      </c>
      <c r="L13" s="695"/>
      <c r="M13" s="695"/>
      <c r="N13" s="695"/>
      <c r="O13" s="695"/>
      <c r="P13" s="695"/>
      <c r="Q13" s="695"/>
      <c r="R13" s="200"/>
      <c r="S13" s="200"/>
      <c r="T13" s="695" t="s">
        <v>533</v>
      </c>
      <c r="U13" s="695"/>
      <c r="V13" s="695"/>
      <c r="W13" s="695"/>
      <c r="X13" s="695"/>
      <c r="Y13" s="695"/>
      <c r="Z13" s="695"/>
      <c r="AA13" s="200"/>
      <c r="AB13" s="201"/>
      <c r="AC13" s="726" t="s">
        <v>534</v>
      </c>
      <c r="AD13" s="726"/>
      <c r="AE13" s="726"/>
      <c r="AF13" s="726"/>
      <c r="AG13" s="726"/>
      <c r="AH13" s="726"/>
      <c r="AI13" s="727"/>
    </row>
    <row r="14" spans="1:35" ht="45" customHeight="1" thickBot="1" x14ac:dyDescent="0.3">
      <c r="A14" s="635" t="s">
        <v>538</v>
      </c>
      <c r="B14" s="635"/>
      <c r="C14" s="635"/>
      <c r="D14" s="635"/>
      <c r="E14" s="635"/>
      <c r="F14" s="635"/>
      <c r="G14" s="635"/>
      <c r="H14" s="635"/>
      <c r="I14" s="635"/>
      <c r="J14" s="635"/>
      <c r="K14" s="636"/>
      <c r="L14" s="637"/>
      <c r="M14" s="637"/>
      <c r="N14" s="637"/>
      <c r="O14" s="637"/>
      <c r="P14" s="637"/>
      <c r="Q14" s="637"/>
      <c r="R14" s="277"/>
      <c r="S14" s="282"/>
      <c r="T14" s="637"/>
      <c r="U14" s="637"/>
      <c r="V14" s="637"/>
      <c r="W14" s="637"/>
      <c r="X14" s="637"/>
      <c r="Y14" s="637"/>
      <c r="Z14" s="637"/>
      <c r="AA14" s="277"/>
      <c r="AB14" s="278"/>
      <c r="AC14" s="637"/>
      <c r="AD14" s="637"/>
      <c r="AE14" s="637"/>
      <c r="AF14" s="637"/>
      <c r="AG14" s="637"/>
      <c r="AH14" s="637"/>
      <c r="AI14" s="728"/>
    </row>
    <row r="15" spans="1:35" ht="45" customHeight="1" thickBot="1" x14ac:dyDescent="0.3">
      <c r="A15" s="671" t="s">
        <v>539</v>
      </c>
      <c r="B15" s="671"/>
      <c r="C15" s="671"/>
      <c r="D15" s="671"/>
      <c r="E15" s="671"/>
      <c r="F15" s="671"/>
      <c r="G15" s="671"/>
      <c r="H15" s="671"/>
      <c r="I15" s="671"/>
      <c r="J15" s="671"/>
      <c r="K15" s="636"/>
      <c r="L15" s="637"/>
      <c r="M15" s="637"/>
      <c r="N15" s="637"/>
      <c r="O15" s="637"/>
      <c r="P15" s="637"/>
      <c r="Q15" s="637"/>
      <c r="R15" s="277"/>
      <c r="S15" s="282"/>
      <c r="T15" s="637"/>
      <c r="U15" s="637"/>
      <c r="V15" s="637"/>
      <c r="W15" s="637"/>
      <c r="X15" s="637"/>
      <c r="Y15" s="637"/>
      <c r="Z15" s="637"/>
      <c r="AA15" s="277"/>
      <c r="AB15" s="278"/>
      <c r="AC15" s="637"/>
      <c r="AD15" s="637"/>
      <c r="AE15" s="637"/>
      <c r="AF15" s="637"/>
      <c r="AG15" s="637"/>
      <c r="AH15" s="637"/>
      <c r="AI15" s="728"/>
    </row>
    <row r="16" spans="1:35" ht="45" customHeight="1" thickBot="1" x14ac:dyDescent="0.3">
      <c r="A16" s="635" t="s">
        <v>540</v>
      </c>
      <c r="B16" s="635"/>
      <c r="C16" s="635"/>
      <c r="D16" s="635"/>
      <c r="E16" s="635"/>
      <c r="F16" s="635"/>
      <c r="G16" s="635"/>
      <c r="H16" s="635"/>
      <c r="I16" s="635"/>
      <c r="J16" s="635"/>
      <c r="K16" s="636"/>
      <c r="L16" s="637"/>
      <c r="M16" s="637"/>
      <c r="N16" s="637"/>
      <c r="O16" s="637"/>
      <c r="P16" s="637"/>
      <c r="Q16" s="637"/>
      <c r="R16" s="277"/>
      <c r="S16" s="282"/>
      <c r="T16" s="637"/>
      <c r="U16" s="637"/>
      <c r="V16" s="637"/>
      <c r="W16" s="637"/>
      <c r="X16" s="637"/>
      <c r="Y16" s="637"/>
      <c r="Z16" s="637"/>
      <c r="AA16" s="277"/>
      <c r="AB16" s="278"/>
      <c r="AC16" s="637"/>
      <c r="AD16" s="637"/>
      <c r="AE16" s="637"/>
      <c r="AF16" s="637"/>
      <c r="AG16" s="637"/>
      <c r="AH16" s="637"/>
      <c r="AI16" s="728"/>
    </row>
    <row r="17" spans="1:35" ht="45" customHeight="1" thickBot="1" x14ac:dyDescent="0.3">
      <c r="A17" s="671" t="s">
        <v>541</v>
      </c>
      <c r="B17" s="671"/>
      <c r="C17" s="671"/>
      <c r="D17" s="671"/>
      <c r="E17" s="671"/>
      <c r="F17" s="671"/>
      <c r="G17" s="671"/>
      <c r="H17" s="671"/>
      <c r="I17" s="671"/>
      <c r="J17" s="671"/>
      <c r="K17" s="636"/>
      <c r="L17" s="637"/>
      <c r="M17" s="637"/>
      <c r="N17" s="637"/>
      <c r="O17" s="637"/>
      <c r="P17" s="637"/>
      <c r="Q17" s="637"/>
      <c r="R17" s="277"/>
      <c r="S17" s="282"/>
      <c r="T17" s="637"/>
      <c r="U17" s="637"/>
      <c r="V17" s="637"/>
      <c r="W17" s="637"/>
      <c r="X17" s="637"/>
      <c r="Y17" s="637"/>
      <c r="Z17" s="637"/>
      <c r="AA17" s="277"/>
      <c r="AB17" s="278"/>
      <c r="AC17" s="637"/>
      <c r="AD17" s="637"/>
      <c r="AE17" s="637"/>
      <c r="AF17" s="637"/>
      <c r="AG17" s="637"/>
      <c r="AH17" s="637"/>
      <c r="AI17" s="728"/>
    </row>
    <row r="18" spans="1:35" ht="45" customHeight="1" thickBot="1" x14ac:dyDescent="0.3">
      <c r="A18" s="635" t="s">
        <v>542</v>
      </c>
      <c r="B18" s="635"/>
      <c r="C18" s="635"/>
      <c r="D18" s="635"/>
      <c r="E18" s="635"/>
      <c r="F18" s="635"/>
      <c r="G18" s="635"/>
      <c r="H18" s="635"/>
      <c r="I18" s="635"/>
      <c r="J18" s="635"/>
      <c r="K18" s="636"/>
      <c r="L18" s="637"/>
      <c r="M18" s="637"/>
      <c r="N18" s="637"/>
      <c r="O18" s="637"/>
      <c r="P18" s="637"/>
      <c r="Q18" s="637"/>
      <c r="R18" s="277"/>
      <c r="S18" s="282"/>
      <c r="T18" s="637"/>
      <c r="U18" s="637"/>
      <c r="V18" s="637"/>
      <c r="W18" s="637"/>
      <c r="X18" s="637"/>
      <c r="Y18" s="637"/>
      <c r="Z18" s="637"/>
      <c r="AA18" s="277"/>
      <c r="AB18" s="278"/>
      <c r="AC18" s="637"/>
      <c r="AD18" s="637"/>
      <c r="AE18" s="637"/>
      <c r="AF18" s="637"/>
      <c r="AG18" s="637"/>
      <c r="AH18" s="637"/>
      <c r="AI18" s="728"/>
    </row>
    <row r="19" spans="1:35" ht="15.75" thickBot="1" x14ac:dyDescent="0.3">
      <c r="A19" s="690"/>
      <c r="B19" s="690"/>
      <c r="C19" s="690"/>
      <c r="D19" s="690"/>
      <c r="E19" s="690"/>
      <c r="F19" s="690"/>
      <c r="G19" s="690"/>
      <c r="H19" s="690"/>
      <c r="I19" s="690"/>
      <c r="J19" s="690"/>
      <c r="K19" s="647"/>
      <c r="L19" s="647"/>
      <c r="M19" s="647"/>
      <c r="N19" s="647"/>
      <c r="O19" s="647"/>
      <c r="P19" s="647"/>
      <c r="Q19" s="647"/>
      <c r="R19" s="4"/>
      <c r="S19" s="4"/>
      <c r="T19" s="647"/>
      <c r="U19" s="647"/>
      <c r="V19" s="647"/>
      <c r="W19" s="647"/>
      <c r="X19" s="647"/>
      <c r="Y19" s="647"/>
      <c r="Z19" s="647"/>
      <c r="AA19" s="4"/>
      <c r="AB19" s="4"/>
      <c r="AC19" s="729"/>
      <c r="AD19" s="730"/>
      <c r="AE19" s="730"/>
      <c r="AF19" s="730"/>
      <c r="AG19" s="730"/>
      <c r="AH19" s="730"/>
      <c r="AI19" s="731"/>
    </row>
    <row r="20" spans="1:35" ht="15.75" thickBot="1" x14ac:dyDescent="0.3">
      <c r="A20" s="668"/>
      <c r="B20" s="669"/>
      <c r="C20" s="669"/>
      <c r="D20" s="669"/>
      <c r="E20" s="669"/>
      <c r="F20" s="669"/>
      <c r="G20" s="669"/>
      <c r="H20" s="669"/>
      <c r="I20" s="669"/>
      <c r="J20" s="670"/>
      <c r="K20" s="651"/>
      <c r="L20" s="652"/>
      <c r="M20" s="652"/>
      <c r="N20" s="652"/>
      <c r="O20" s="652"/>
      <c r="P20" s="652"/>
      <c r="Q20" s="652"/>
      <c r="R20" s="672"/>
      <c r="S20" s="673"/>
      <c r="T20" s="652"/>
      <c r="U20" s="652"/>
      <c r="V20" s="652"/>
      <c r="W20" s="652"/>
      <c r="X20" s="652"/>
      <c r="Y20" s="652"/>
      <c r="Z20" s="652"/>
      <c r="AA20" s="672"/>
      <c r="AB20" s="732"/>
      <c r="AC20" s="652"/>
      <c r="AD20" s="652"/>
      <c r="AE20" s="652"/>
      <c r="AF20" s="652"/>
      <c r="AG20" s="652"/>
      <c r="AH20" s="652"/>
      <c r="AI20" s="733"/>
    </row>
    <row r="21" spans="1:35" ht="15.75" thickBot="1" x14ac:dyDescent="0.3">
      <c r="A21" s="691" t="s">
        <v>543</v>
      </c>
      <c r="B21" s="691"/>
      <c r="C21" s="691"/>
      <c r="D21" s="691"/>
      <c r="E21" s="691"/>
      <c r="F21" s="691"/>
      <c r="G21" s="691"/>
      <c r="H21" s="691"/>
      <c r="I21" s="691"/>
      <c r="J21" s="691"/>
      <c r="K21" s="636"/>
      <c r="L21" s="637"/>
      <c r="M21" s="637"/>
      <c r="N21" s="637"/>
      <c r="O21" s="637"/>
      <c r="P21" s="637"/>
      <c r="Q21" s="637"/>
      <c r="R21" s="277"/>
      <c r="S21" s="282"/>
      <c r="T21" s="637"/>
      <c r="U21" s="637"/>
      <c r="V21" s="637"/>
      <c r="W21" s="637"/>
      <c r="X21" s="637"/>
      <c r="Y21" s="637"/>
      <c r="Z21" s="637"/>
      <c r="AA21" s="277"/>
      <c r="AB21" s="278"/>
      <c r="AC21" s="637"/>
      <c r="AD21" s="637"/>
      <c r="AE21" s="637"/>
      <c r="AF21" s="637"/>
      <c r="AG21" s="637"/>
      <c r="AH21" s="637"/>
      <c r="AI21" s="728"/>
    </row>
    <row r="22" spans="1:35" ht="45" customHeight="1" thickBot="1" x14ac:dyDescent="0.3">
      <c r="A22" s="635" t="s">
        <v>544</v>
      </c>
      <c r="B22" s="635"/>
      <c r="C22" s="635"/>
      <c r="D22" s="635"/>
      <c r="E22" s="635"/>
      <c r="F22" s="635"/>
      <c r="G22" s="635"/>
      <c r="H22" s="635"/>
      <c r="I22" s="635"/>
      <c r="J22" s="635"/>
      <c r="K22" s="636"/>
      <c r="L22" s="637"/>
      <c r="M22" s="637"/>
      <c r="N22" s="637"/>
      <c r="O22" s="637"/>
      <c r="P22" s="637"/>
      <c r="Q22" s="637"/>
      <c r="R22" s="277"/>
      <c r="S22" s="282"/>
      <c r="T22" s="637"/>
      <c r="U22" s="637"/>
      <c r="V22" s="637"/>
      <c r="W22" s="637"/>
      <c r="X22" s="637"/>
      <c r="Y22" s="637"/>
      <c r="Z22" s="637"/>
      <c r="AA22" s="277"/>
      <c r="AB22" s="278"/>
      <c r="AC22" s="637"/>
      <c r="AD22" s="637"/>
      <c r="AE22" s="637"/>
      <c r="AF22" s="637"/>
      <c r="AG22" s="637"/>
      <c r="AH22" s="637"/>
      <c r="AI22" s="728"/>
    </row>
    <row r="23" spans="1:35" ht="45" customHeight="1" thickBot="1" x14ac:dyDescent="0.3">
      <c r="A23" s="671" t="s">
        <v>545</v>
      </c>
      <c r="B23" s="671"/>
      <c r="C23" s="671"/>
      <c r="D23" s="671"/>
      <c r="E23" s="671"/>
      <c r="F23" s="671"/>
      <c r="G23" s="671"/>
      <c r="H23" s="671"/>
      <c r="I23" s="671"/>
      <c r="J23" s="671"/>
      <c r="K23" s="636"/>
      <c r="L23" s="637"/>
      <c r="M23" s="637"/>
      <c r="N23" s="637"/>
      <c r="O23" s="637"/>
      <c r="P23" s="637"/>
      <c r="Q23" s="637"/>
      <c r="R23" s="277"/>
      <c r="S23" s="282"/>
      <c r="T23" s="637"/>
      <c r="U23" s="637"/>
      <c r="V23" s="637"/>
      <c r="W23" s="637"/>
      <c r="X23" s="637"/>
      <c r="Y23" s="637"/>
      <c r="Z23" s="637"/>
      <c r="AA23" s="277"/>
      <c r="AB23" s="278"/>
      <c r="AC23" s="637"/>
      <c r="AD23" s="637"/>
      <c r="AE23" s="637"/>
      <c r="AF23" s="637"/>
      <c r="AG23" s="637"/>
      <c r="AH23" s="637"/>
      <c r="AI23" s="728"/>
    </row>
    <row r="24" spans="1:35" ht="45" customHeight="1" thickBot="1" x14ac:dyDescent="0.3">
      <c r="A24" s="635" t="s">
        <v>546</v>
      </c>
      <c r="B24" s="635"/>
      <c r="C24" s="635"/>
      <c r="D24" s="635"/>
      <c r="E24" s="635"/>
      <c r="F24" s="635"/>
      <c r="G24" s="635"/>
      <c r="H24" s="635"/>
      <c r="I24" s="635"/>
      <c r="J24" s="635"/>
      <c r="K24" s="636"/>
      <c r="L24" s="637"/>
      <c r="M24" s="637"/>
      <c r="N24" s="637"/>
      <c r="O24" s="637"/>
      <c r="P24" s="637"/>
      <c r="Q24" s="637"/>
      <c r="R24" s="277"/>
      <c r="S24" s="282"/>
      <c r="T24" s="637"/>
      <c r="U24" s="637"/>
      <c r="V24" s="637"/>
      <c r="W24" s="637"/>
      <c r="X24" s="637"/>
      <c r="Y24" s="637"/>
      <c r="Z24" s="637"/>
      <c r="AA24" s="277"/>
      <c r="AB24" s="278"/>
      <c r="AC24" s="637"/>
      <c r="AD24" s="637"/>
      <c r="AE24" s="637"/>
      <c r="AF24" s="637"/>
      <c r="AG24" s="637"/>
      <c r="AH24" s="637"/>
      <c r="AI24" s="728"/>
    </row>
    <row r="25" spans="1:35" ht="15.75" thickBot="1" x14ac:dyDescent="0.3">
      <c r="A25" s="690"/>
      <c r="B25" s="690"/>
      <c r="C25" s="690"/>
      <c r="D25" s="690"/>
      <c r="E25" s="690"/>
      <c r="F25" s="690"/>
      <c r="G25" s="690"/>
      <c r="H25" s="690"/>
      <c r="I25" s="690"/>
      <c r="J25" s="690"/>
      <c r="K25" s="647"/>
      <c r="L25" s="647"/>
      <c r="M25" s="647"/>
      <c r="N25" s="647"/>
      <c r="O25" s="647"/>
      <c r="P25" s="647"/>
      <c r="Q25" s="647"/>
      <c r="R25" s="4"/>
      <c r="S25" s="4"/>
      <c r="T25" s="647"/>
      <c r="U25" s="647"/>
      <c r="V25" s="647"/>
      <c r="W25" s="647"/>
      <c r="X25" s="647"/>
      <c r="Y25" s="647"/>
      <c r="Z25" s="647"/>
      <c r="AA25" s="4"/>
      <c r="AB25" s="4"/>
      <c r="AC25" s="729"/>
      <c r="AD25" s="730"/>
      <c r="AE25" s="730"/>
      <c r="AF25" s="730"/>
      <c r="AG25" s="730"/>
      <c r="AH25" s="730"/>
      <c r="AI25" s="731"/>
    </row>
    <row r="26" spans="1:35" ht="15.75" thickBot="1" x14ac:dyDescent="0.3">
      <c r="A26" s="668"/>
      <c r="B26" s="669"/>
      <c r="C26" s="669"/>
      <c r="D26" s="669"/>
      <c r="E26" s="669"/>
      <c r="F26" s="669"/>
      <c r="G26" s="669"/>
      <c r="H26" s="669"/>
      <c r="I26" s="669"/>
      <c r="J26" s="670"/>
      <c r="K26" s="651"/>
      <c r="L26" s="652"/>
      <c r="M26" s="652"/>
      <c r="N26" s="652"/>
      <c r="O26" s="652"/>
      <c r="P26" s="652"/>
      <c r="Q26" s="652"/>
      <c r="R26" s="672"/>
      <c r="S26" s="673"/>
      <c r="T26" s="652"/>
      <c r="U26" s="652"/>
      <c r="V26" s="652"/>
      <c r="W26" s="652"/>
      <c r="X26" s="652"/>
      <c r="Y26" s="652"/>
      <c r="Z26" s="652"/>
      <c r="AA26" s="672"/>
      <c r="AB26" s="732"/>
      <c r="AC26" s="652"/>
      <c r="AD26" s="652"/>
      <c r="AE26" s="652"/>
      <c r="AF26" s="652"/>
      <c r="AG26" s="652"/>
      <c r="AH26" s="652"/>
      <c r="AI26" s="733"/>
    </row>
    <row r="27" spans="1:35" ht="15.75" thickBot="1" x14ac:dyDescent="0.3">
      <c r="A27" s="689" t="s">
        <v>547</v>
      </c>
      <c r="B27" s="689"/>
      <c r="C27" s="689"/>
      <c r="D27" s="689"/>
      <c r="E27" s="689"/>
      <c r="F27" s="689"/>
      <c r="G27" s="689"/>
      <c r="H27" s="689"/>
      <c r="I27" s="689"/>
      <c r="J27" s="689"/>
      <c r="K27" s="636"/>
      <c r="L27" s="637"/>
      <c r="M27" s="637"/>
      <c r="N27" s="637"/>
      <c r="O27" s="637"/>
      <c r="P27" s="637"/>
      <c r="Q27" s="637"/>
      <c r="R27" s="277"/>
      <c r="S27" s="282"/>
      <c r="T27" s="637"/>
      <c r="U27" s="637"/>
      <c r="V27" s="637"/>
      <c r="W27" s="637"/>
      <c r="X27" s="637"/>
      <c r="Y27" s="637"/>
      <c r="Z27" s="637"/>
      <c r="AA27" s="277"/>
      <c r="AB27" s="278"/>
      <c r="AC27" s="637"/>
      <c r="AD27" s="637"/>
      <c r="AE27" s="637"/>
      <c r="AF27" s="637"/>
      <c r="AG27" s="637"/>
      <c r="AH27" s="637"/>
      <c r="AI27" s="728"/>
    </row>
    <row r="28" spans="1:35" ht="45" customHeight="1" thickBot="1" x14ac:dyDescent="0.3">
      <c r="A28" s="635" t="s">
        <v>548</v>
      </c>
      <c r="B28" s="635"/>
      <c r="C28" s="635"/>
      <c r="D28" s="635"/>
      <c r="E28" s="635"/>
      <c r="F28" s="635"/>
      <c r="G28" s="635"/>
      <c r="H28" s="635"/>
      <c r="I28" s="635"/>
      <c r="J28" s="635"/>
      <c r="K28" s="636"/>
      <c r="L28" s="637"/>
      <c r="M28" s="637"/>
      <c r="N28" s="637"/>
      <c r="O28" s="637"/>
      <c r="P28" s="637"/>
      <c r="Q28" s="637"/>
      <c r="R28" s="277"/>
      <c r="S28" s="282"/>
      <c r="T28" s="637"/>
      <c r="U28" s="637"/>
      <c r="V28" s="637"/>
      <c r="W28" s="637"/>
      <c r="X28" s="637"/>
      <c r="Y28" s="637"/>
      <c r="Z28" s="637"/>
      <c r="AA28" s="277"/>
      <c r="AB28" s="278"/>
      <c r="AC28" s="637"/>
      <c r="AD28" s="637"/>
      <c r="AE28" s="637"/>
      <c r="AF28" s="637"/>
      <c r="AG28" s="637"/>
      <c r="AH28" s="637"/>
      <c r="AI28" s="728"/>
    </row>
    <row r="29" spans="1:35" ht="45" customHeight="1" thickBot="1" x14ac:dyDescent="0.3">
      <c r="A29" s="671" t="s">
        <v>549</v>
      </c>
      <c r="B29" s="671"/>
      <c r="C29" s="671"/>
      <c r="D29" s="671"/>
      <c r="E29" s="671"/>
      <c r="F29" s="671"/>
      <c r="G29" s="671"/>
      <c r="H29" s="671"/>
      <c r="I29" s="671"/>
      <c r="J29" s="671"/>
      <c r="K29" s="636"/>
      <c r="L29" s="637"/>
      <c r="M29" s="637"/>
      <c r="N29" s="637"/>
      <c r="O29" s="637"/>
      <c r="P29" s="637"/>
      <c r="Q29" s="637"/>
      <c r="R29" s="277"/>
      <c r="S29" s="282"/>
      <c r="T29" s="637"/>
      <c r="U29" s="637"/>
      <c r="V29" s="637"/>
      <c r="W29" s="637"/>
      <c r="X29" s="637"/>
      <c r="Y29" s="637"/>
      <c r="Z29" s="637"/>
      <c r="AA29" s="277"/>
      <c r="AB29" s="278"/>
      <c r="AC29" s="637"/>
      <c r="AD29" s="637"/>
      <c r="AE29" s="637"/>
      <c r="AF29" s="637"/>
      <c r="AG29" s="637"/>
      <c r="AH29" s="637"/>
      <c r="AI29" s="728"/>
    </row>
    <row r="30" spans="1:35" ht="45" customHeight="1" thickBot="1" x14ac:dyDescent="0.3">
      <c r="A30" s="635" t="s">
        <v>550</v>
      </c>
      <c r="B30" s="635"/>
      <c r="C30" s="635"/>
      <c r="D30" s="635"/>
      <c r="E30" s="635"/>
      <c r="F30" s="635"/>
      <c r="G30" s="635"/>
      <c r="H30" s="635"/>
      <c r="I30" s="635"/>
      <c r="J30" s="635"/>
      <c r="K30" s="636"/>
      <c r="L30" s="637"/>
      <c r="M30" s="637"/>
      <c r="N30" s="637"/>
      <c r="O30" s="637"/>
      <c r="P30" s="637"/>
      <c r="Q30" s="637"/>
      <c r="R30" s="277"/>
      <c r="S30" s="282"/>
      <c r="T30" s="637"/>
      <c r="U30" s="637"/>
      <c r="V30" s="637"/>
      <c r="W30" s="637"/>
      <c r="X30" s="637"/>
      <c r="Y30" s="637"/>
      <c r="Z30" s="637"/>
      <c r="AA30" s="277"/>
      <c r="AB30" s="278"/>
      <c r="AC30" s="637"/>
      <c r="AD30" s="637"/>
      <c r="AE30" s="637"/>
      <c r="AF30" s="637"/>
      <c r="AG30" s="637"/>
      <c r="AH30" s="637"/>
      <c r="AI30" s="728"/>
    </row>
    <row r="31" spans="1:35" ht="45" customHeight="1" thickBot="1" x14ac:dyDescent="0.3">
      <c r="A31" s="671" t="s">
        <v>551</v>
      </c>
      <c r="B31" s="671"/>
      <c r="C31" s="671"/>
      <c r="D31" s="671"/>
      <c r="E31" s="671"/>
      <c r="F31" s="671"/>
      <c r="G31" s="671"/>
      <c r="H31" s="671"/>
      <c r="I31" s="671"/>
      <c r="J31" s="671"/>
      <c r="K31" s="636"/>
      <c r="L31" s="637"/>
      <c r="M31" s="637"/>
      <c r="N31" s="637"/>
      <c r="O31" s="637"/>
      <c r="P31" s="637"/>
      <c r="Q31" s="637"/>
      <c r="R31" s="277"/>
      <c r="S31" s="282"/>
      <c r="T31" s="637"/>
      <c r="U31" s="637"/>
      <c r="V31" s="637"/>
      <c r="W31" s="637"/>
      <c r="X31" s="637"/>
      <c r="Y31" s="637"/>
      <c r="Z31" s="637"/>
      <c r="AA31" s="277"/>
      <c r="AB31" s="278"/>
      <c r="AC31" s="637"/>
      <c r="AD31" s="637"/>
      <c r="AE31" s="637"/>
      <c r="AF31" s="637"/>
      <c r="AG31" s="637"/>
      <c r="AH31" s="637"/>
      <c r="AI31" s="728"/>
    </row>
    <row r="32" spans="1:35" ht="15.75" thickBot="1" x14ac:dyDescent="0.3">
      <c r="A32" s="686"/>
      <c r="B32" s="687"/>
      <c r="C32" s="687"/>
      <c r="D32" s="687"/>
      <c r="E32" s="687"/>
      <c r="F32" s="687"/>
      <c r="G32" s="687"/>
      <c r="H32" s="687"/>
      <c r="I32" s="687"/>
      <c r="J32" s="688"/>
      <c r="K32" s="647"/>
      <c r="L32" s="647"/>
      <c r="M32" s="647"/>
      <c r="N32" s="647"/>
      <c r="O32" s="647"/>
      <c r="P32" s="647"/>
      <c r="Q32" s="647"/>
      <c r="R32" s="4"/>
      <c r="S32" s="4"/>
      <c r="T32" s="647"/>
      <c r="U32" s="647"/>
      <c r="V32" s="647"/>
      <c r="W32" s="647"/>
      <c r="X32" s="647"/>
      <c r="Y32" s="647"/>
      <c r="Z32" s="647"/>
      <c r="AA32" s="4"/>
      <c r="AB32" s="4"/>
      <c r="AC32" s="729"/>
      <c r="AD32" s="730"/>
      <c r="AE32" s="730"/>
      <c r="AF32" s="730"/>
      <c r="AG32" s="730"/>
      <c r="AH32" s="730"/>
      <c r="AI32" s="731"/>
    </row>
    <row r="33" spans="1:35" ht="15.75" thickBot="1" x14ac:dyDescent="0.3">
      <c r="A33" s="668"/>
      <c r="B33" s="669"/>
      <c r="C33" s="669"/>
      <c r="D33" s="669"/>
      <c r="E33" s="669"/>
      <c r="F33" s="669"/>
      <c r="G33" s="669"/>
      <c r="H33" s="669"/>
      <c r="I33" s="669"/>
      <c r="J33" s="670"/>
      <c r="K33" s="651"/>
      <c r="L33" s="652"/>
      <c r="M33" s="652"/>
      <c r="N33" s="652"/>
      <c r="O33" s="652"/>
      <c r="P33" s="652"/>
      <c r="Q33" s="652"/>
      <c r="R33" s="672"/>
      <c r="S33" s="673"/>
      <c r="T33" s="652"/>
      <c r="U33" s="652"/>
      <c r="V33" s="652"/>
      <c r="W33" s="652"/>
      <c r="X33" s="652"/>
      <c r="Y33" s="652"/>
      <c r="Z33" s="652"/>
      <c r="AA33" s="672"/>
      <c r="AB33" s="732"/>
      <c r="AC33" s="652"/>
      <c r="AD33" s="652"/>
      <c r="AE33" s="652"/>
      <c r="AF33" s="652"/>
      <c r="AG33" s="652"/>
      <c r="AH33" s="652"/>
      <c r="AI33" s="733"/>
    </row>
    <row r="34" spans="1:35" ht="25.5" customHeight="1" thickBot="1" x14ac:dyDescent="0.3">
      <c r="A34" s="683" t="s">
        <v>552</v>
      </c>
      <c r="B34" s="684"/>
      <c r="C34" s="684"/>
      <c r="D34" s="684"/>
      <c r="E34" s="684"/>
      <c r="F34" s="684"/>
      <c r="G34" s="684"/>
      <c r="H34" s="684"/>
      <c r="I34" s="684"/>
      <c r="J34" s="685"/>
      <c r="K34" s="636"/>
      <c r="L34" s="637"/>
      <c r="M34" s="637"/>
      <c r="N34" s="637"/>
      <c r="O34" s="637"/>
      <c r="P34" s="637"/>
      <c r="Q34" s="637"/>
      <c r="R34" s="277"/>
      <c r="S34" s="282"/>
      <c r="T34" s="637"/>
      <c r="U34" s="637"/>
      <c r="V34" s="637"/>
      <c r="W34" s="637"/>
      <c r="X34" s="637"/>
      <c r="Y34" s="637"/>
      <c r="Z34" s="637"/>
      <c r="AA34" s="277"/>
      <c r="AB34" s="278"/>
      <c r="AC34" s="637"/>
      <c r="AD34" s="637"/>
      <c r="AE34" s="637"/>
      <c r="AF34" s="637"/>
      <c r="AG34" s="637"/>
      <c r="AH34" s="637"/>
      <c r="AI34" s="728"/>
    </row>
    <row r="35" spans="1:35" ht="45" customHeight="1" thickBot="1" x14ac:dyDescent="0.3">
      <c r="A35" s="680" t="s">
        <v>553</v>
      </c>
      <c r="B35" s="681"/>
      <c r="C35" s="681"/>
      <c r="D35" s="681"/>
      <c r="E35" s="681"/>
      <c r="F35" s="681"/>
      <c r="G35" s="681"/>
      <c r="H35" s="681"/>
      <c r="I35" s="681"/>
      <c r="J35" s="682"/>
      <c r="K35" s="636"/>
      <c r="L35" s="637"/>
      <c r="M35" s="637"/>
      <c r="N35" s="637"/>
      <c r="O35" s="637"/>
      <c r="P35" s="637"/>
      <c r="Q35" s="637"/>
      <c r="R35" s="277"/>
      <c r="S35" s="282"/>
      <c r="T35" s="637"/>
      <c r="U35" s="637"/>
      <c r="V35" s="637"/>
      <c r="W35" s="637"/>
      <c r="X35" s="637"/>
      <c r="Y35" s="637"/>
      <c r="Z35" s="637"/>
      <c r="AA35" s="277"/>
      <c r="AB35" s="278"/>
      <c r="AC35" s="637"/>
      <c r="AD35" s="637"/>
      <c r="AE35" s="637"/>
      <c r="AF35" s="637"/>
      <c r="AG35" s="637"/>
      <c r="AH35" s="637"/>
      <c r="AI35" s="728"/>
    </row>
    <row r="36" spans="1:35" ht="45" customHeight="1" thickBot="1" x14ac:dyDescent="0.3">
      <c r="A36" s="677" t="s">
        <v>554</v>
      </c>
      <c r="B36" s="678"/>
      <c r="C36" s="678"/>
      <c r="D36" s="678"/>
      <c r="E36" s="678"/>
      <c r="F36" s="678"/>
      <c r="G36" s="678"/>
      <c r="H36" s="678"/>
      <c r="I36" s="678"/>
      <c r="J36" s="679"/>
      <c r="K36" s="636"/>
      <c r="L36" s="637"/>
      <c r="M36" s="637"/>
      <c r="N36" s="637"/>
      <c r="O36" s="637"/>
      <c r="P36" s="637"/>
      <c r="Q36" s="637"/>
      <c r="R36" s="277"/>
      <c r="S36" s="282"/>
      <c r="T36" s="637"/>
      <c r="U36" s="637"/>
      <c r="V36" s="637"/>
      <c r="W36" s="637"/>
      <c r="X36" s="637"/>
      <c r="Y36" s="637"/>
      <c r="Z36" s="637"/>
      <c r="AA36" s="277"/>
      <c r="AB36" s="278"/>
      <c r="AC36" s="637"/>
      <c r="AD36" s="637"/>
      <c r="AE36" s="637"/>
      <c r="AF36" s="637"/>
      <c r="AG36" s="637"/>
      <c r="AH36" s="637"/>
      <c r="AI36" s="728"/>
    </row>
    <row r="37" spans="1:35" ht="45" customHeight="1" thickBot="1" x14ac:dyDescent="0.3">
      <c r="A37" s="680" t="s">
        <v>555</v>
      </c>
      <c r="B37" s="681"/>
      <c r="C37" s="681"/>
      <c r="D37" s="681"/>
      <c r="E37" s="681"/>
      <c r="F37" s="681"/>
      <c r="G37" s="681"/>
      <c r="H37" s="681"/>
      <c r="I37" s="681"/>
      <c r="J37" s="682"/>
      <c r="K37" s="636"/>
      <c r="L37" s="637"/>
      <c r="M37" s="637"/>
      <c r="N37" s="637"/>
      <c r="O37" s="637"/>
      <c r="P37" s="637"/>
      <c r="Q37" s="637"/>
      <c r="R37" s="277"/>
      <c r="S37" s="282"/>
      <c r="T37" s="637"/>
      <c r="U37" s="637"/>
      <c r="V37" s="637"/>
      <c r="W37" s="637"/>
      <c r="X37" s="637"/>
      <c r="Y37" s="637"/>
      <c r="Z37" s="637"/>
      <c r="AA37" s="277"/>
      <c r="AB37" s="278"/>
      <c r="AC37" s="637"/>
      <c r="AD37" s="637"/>
      <c r="AE37" s="637"/>
      <c r="AF37" s="637"/>
      <c r="AG37" s="637"/>
      <c r="AH37" s="637"/>
      <c r="AI37" s="728"/>
    </row>
    <row r="38" spans="1:35" ht="45" customHeight="1" thickBot="1" x14ac:dyDescent="0.3">
      <c r="A38" s="677" t="s">
        <v>556</v>
      </c>
      <c r="B38" s="678"/>
      <c r="C38" s="678"/>
      <c r="D38" s="678"/>
      <c r="E38" s="678"/>
      <c r="F38" s="678"/>
      <c r="G38" s="678"/>
      <c r="H38" s="678"/>
      <c r="I38" s="678"/>
      <c r="J38" s="679"/>
      <c r="K38" s="636"/>
      <c r="L38" s="637"/>
      <c r="M38" s="637"/>
      <c r="N38" s="637"/>
      <c r="O38" s="637"/>
      <c r="P38" s="637"/>
      <c r="Q38" s="637"/>
      <c r="R38" s="277"/>
      <c r="S38" s="282"/>
      <c r="T38" s="637"/>
      <c r="U38" s="637"/>
      <c r="V38" s="637"/>
      <c r="W38" s="637"/>
      <c r="X38" s="637"/>
      <c r="Y38" s="637"/>
      <c r="Z38" s="637"/>
      <c r="AA38" s="277"/>
      <c r="AB38" s="278"/>
      <c r="AC38" s="637"/>
      <c r="AD38" s="637"/>
      <c r="AE38" s="637"/>
      <c r="AF38" s="637"/>
      <c r="AG38" s="637"/>
      <c r="AH38" s="637"/>
      <c r="AI38" s="728"/>
    </row>
    <row r="39" spans="1:35" ht="65.099999999999994" customHeight="1" thickBot="1" x14ac:dyDescent="0.3">
      <c r="A39" s="680" t="s">
        <v>557</v>
      </c>
      <c r="B39" s="681"/>
      <c r="C39" s="681"/>
      <c r="D39" s="681"/>
      <c r="E39" s="681"/>
      <c r="F39" s="681"/>
      <c r="G39" s="681"/>
      <c r="H39" s="681"/>
      <c r="I39" s="681"/>
      <c r="J39" s="682"/>
      <c r="K39" s="636"/>
      <c r="L39" s="637"/>
      <c r="M39" s="637"/>
      <c r="N39" s="637"/>
      <c r="O39" s="637"/>
      <c r="P39" s="637"/>
      <c r="Q39" s="637"/>
      <c r="R39" s="277"/>
      <c r="S39" s="282"/>
      <c r="T39" s="637"/>
      <c r="U39" s="637"/>
      <c r="V39" s="637"/>
      <c r="W39" s="637"/>
      <c r="X39" s="637"/>
      <c r="Y39" s="637"/>
      <c r="Z39" s="637"/>
      <c r="AA39" s="277"/>
      <c r="AB39" s="278"/>
      <c r="AC39" s="637"/>
      <c r="AD39" s="637"/>
      <c r="AE39" s="637"/>
      <c r="AF39" s="637"/>
      <c r="AG39" s="637"/>
      <c r="AH39" s="637"/>
      <c r="AI39" s="728"/>
    </row>
    <row r="40" spans="1:35" ht="15.75" thickBot="1" x14ac:dyDescent="0.3">
      <c r="A40" s="644"/>
      <c r="B40" s="645"/>
      <c r="C40" s="645"/>
      <c r="D40" s="645"/>
      <c r="E40" s="645"/>
      <c r="F40" s="645"/>
      <c r="G40" s="645"/>
      <c r="H40" s="645"/>
      <c r="I40" s="645"/>
      <c r="J40" s="646"/>
      <c r="K40" s="647"/>
      <c r="L40" s="647"/>
      <c r="M40" s="647"/>
      <c r="N40" s="647"/>
      <c r="O40" s="647"/>
      <c r="P40" s="647"/>
      <c r="Q40" s="647"/>
      <c r="R40" s="4"/>
      <c r="S40" s="4"/>
      <c r="T40" s="647"/>
      <c r="U40" s="647"/>
      <c r="V40" s="647"/>
      <c r="W40" s="647"/>
      <c r="X40" s="647"/>
      <c r="Y40" s="647"/>
      <c r="Z40" s="647"/>
      <c r="AA40" s="4"/>
      <c r="AB40" s="4"/>
      <c r="AC40" s="729"/>
      <c r="AD40" s="730"/>
      <c r="AE40" s="730"/>
      <c r="AF40" s="730"/>
      <c r="AG40" s="730"/>
      <c r="AH40" s="730"/>
      <c r="AI40" s="731"/>
    </row>
    <row r="41" spans="1:35" ht="15.75" thickBot="1" x14ac:dyDescent="0.3">
      <c r="A41" s="668"/>
      <c r="B41" s="669"/>
      <c r="C41" s="669"/>
      <c r="D41" s="669"/>
      <c r="E41" s="669"/>
      <c r="F41" s="669"/>
      <c r="G41" s="669"/>
      <c r="H41" s="669"/>
      <c r="I41" s="669"/>
      <c r="J41" s="670"/>
      <c r="K41" s="651"/>
      <c r="L41" s="652"/>
      <c r="M41" s="652"/>
      <c r="N41" s="652"/>
      <c r="O41" s="652"/>
      <c r="P41" s="652"/>
      <c r="Q41" s="652"/>
      <c r="R41" s="672"/>
      <c r="S41" s="673"/>
      <c r="T41" s="652"/>
      <c r="U41" s="652"/>
      <c r="V41" s="652"/>
      <c r="W41" s="652"/>
      <c r="X41" s="652"/>
      <c r="Y41" s="652"/>
      <c r="Z41" s="652"/>
      <c r="AA41" s="672"/>
      <c r="AB41" s="732"/>
      <c r="AC41" s="652"/>
      <c r="AD41" s="652"/>
      <c r="AE41" s="652"/>
      <c r="AF41" s="652"/>
      <c r="AG41" s="652"/>
      <c r="AH41" s="652"/>
      <c r="AI41" s="733"/>
    </row>
    <row r="42" spans="1:35" ht="15.75" thickBot="1" x14ac:dyDescent="0.3">
      <c r="A42" s="674" t="s">
        <v>558</v>
      </c>
      <c r="B42" s="675"/>
      <c r="C42" s="675"/>
      <c r="D42" s="675"/>
      <c r="E42" s="675"/>
      <c r="F42" s="675"/>
      <c r="G42" s="675"/>
      <c r="H42" s="675"/>
      <c r="I42" s="675"/>
      <c r="J42" s="676"/>
      <c r="K42" s="636"/>
      <c r="L42" s="637"/>
      <c r="M42" s="637"/>
      <c r="N42" s="637"/>
      <c r="O42" s="637"/>
      <c r="P42" s="637"/>
      <c r="Q42" s="637"/>
      <c r="R42" s="277"/>
      <c r="S42" s="282"/>
      <c r="T42" s="637"/>
      <c r="U42" s="637"/>
      <c r="V42" s="637"/>
      <c r="W42" s="637"/>
      <c r="X42" s="637"/>
      <c r="Y42" s="637"/>
      <c r="Z42" s="637"/>
      <c r="AA42" s="277"/>
      <c r="AB42" s="278"/>
      <c r="AC42" s="637"/>
      <c r="AD42" s="637"/>
      <c r="AE42" s="637"/>
      <c r="AF42" s="637"/>
      <c r="AG42" s="637"/>
      <c r="AH42" s="637"/>
      <c r="AI42" s="728"/>
    </row>
    <row r="43" spans="1:35" ht="45" customHeight="1" thickBot="1" x14ac:dyDescent="0.3">
      <c r="A43" s="660" t="s">
        <v>559</v>
      </c>
      <c r="B43" s="661"/>
      <c r="C43" s="661"/>
      <c r="D43" s="661"/>
      <c r="E43" s="661"/>
      <c r="F43" s="661"/>
      <c r="G43" s="661"/>
      <c r="H43" s="661"/>
      <c r="I43" s="661"/>
      <c r="J43" s="662"/>
      <c r="K43" s="636"/>
      <c r="L43" s="637"/>
      <c r="M43" s="637"/>
      <c r="N43" s="637"/>
      <c r="O43" s="637"/>
      <c r="P43" s="637"/>
      <c r="Q43" s="637"/>
      <c r="R43" s="277"/>
      <c r="S43" s="282"/>
      <c r="T43" s="637"/>
      <c r="U43" s="637"/>
      <c r="V43" s="637"/>
      <c r="W43" s="637"/>
      <c r="X43" s="637"/>
      <c r="Y43" s="637"/>
      <c r="Z43" s="637"/>
      <c r="AA43" s="277"/>
      <c r="AB43" s="278"/>
      <c r="AC43" s="637"/>
      <c r="AD43" s="637"/>
      <c r="AE43" s="637"/>
      <c r="AF43" s="637"/>
      <c r="AG43" s="637"/>
      <c r="AH43" s="637"/>
      <c r="AI43" s="728"/>
    </row>
    <row r="44" spans="1:35" ht="45" customHeight="1" thickBot="1" x14ac:dyDescent="0.3">
      <c r="A44" s="655" t="s">
        <v>560</v>
      </c>
      <c r="B44" s="656"/>
      <c r="C44" s="656"/>
      <c r="D44" s="656"/>
      <c r="E44" s="656"/>
      <c r="F44" s="656"/>
      <c r="G44" s="656"/>
      <c r="H44" s="656"/>
      <c r="I44" s="656"/>
      <c r="J44" s="657"/>
      <c r="K44" s="658"/>
      <c r="L44" s="659"/>
      <c r="M44" s="659"/>
      <c r="N44" s="659"/>
      <c r="O44" s="659"/>
      <c r="P44" s="659"/>
      <c r="Q44" s="659"/>
      <c r="R44" s="277"/>
      <c r="S44" s="282"/>
      <c r="T44" s="637"/>
      <c r="U44" s="637"/>
      <c r="V44" s="637"/>
      <c r="W44" s="637"/>
      <c r="X44" s="637"/>
      <c r="Y44" s="637"/>
      <c r="Z44" s="637"/>
      <c r="AA44" s="277"/>
      <c r="AB44" s="278"/>
      <c r="AC44" s="637"/>
      <c r="AD44" s="637"/>
      <c r="AE44" s="637"/>
      <c r="AF44" s="637"/>
      <c r="AG44" s="637"/>
      <c r="AH44" s="637"/>
      <c r="AI44" s="728"/>
    </row>
    <row r="45" spans="1:35" ht="45" customHeight="1" thickBot="1" x14ac:dyDescent="0.3">
      <c r="A45" s="660" t="s">
        <v>561</v>
      </c>
      <c r="B45" s="661"/>
      <c r="C45" s="661"/>
      <c r="D45" s="661"/>
      <c r="E45" s="661"/>
      <c r="F45" s="661"/>
      <c r="G45" s="661"/>
      <c r="H45" s="661"/>
      <c r="I45" s="661"/>
      <c r="J45" s="662"/>
      <c r="K45" s="636"/>
      <c r="L45" s="637"/>
      <c r="M45" s="637"/>
      <c r="N45" s="637"/>
      <c r="O45" s="637"/>
      <c r="P45" s="637"/>
      <c r="Q45" s="637"/>
      <c r="R45" s="277"/>
      <c r="S45" s="282"/>
      <c r="T45" s="637"/>
      <c r="U45" s="637"/>
      <c r="V45" s="637"/>
      <c r="W45" s="637"/>
      <c r="X45" s="637"/>
      <c r="Y45" s="637"/>
      <c r="Z45" s="637"/>
      <c r="AA45" s="277"/>
      <c r="AB45" s="278"/>
      <c r="AC45" s="637"/>
      <c r="AD45" s="637"/>
      <c r="AE45" s="637"/>
      <c r="AF45" s="637"/>
      <c r="AG45" s="637"/>
      <c r="AH45" s="637"/>
      <c r="AI45" s="728"/>
    </row>
    <row r="46" spans="1:35" ht="45" customHeight="1" thickBot="1" x14ac:dyDescent="0.3">
      <c r="A46" s="655" t="s">
        <v>562</v>
      </c>
      <c r="B46" s="656"/>
      <c r="C46" s="656"/>
      <c r="D46" s="656"/>
      <c r="E46" s="656"/>
      <c r="F46" s="656"/>
      <c r="G46" s="656"/>
      <c r="H46" s="656"/>
      <c r="I46" s="656"/>
      <c r="J46" s="657"/>
      <c r="K46" s="642"/>
      <c r="L46" s="643"/>
      <c r="M46" s="643"/>
      <c r="N46" s="643"/>
      <c r="O46" s="643"/>
      <c r="P46" s="643"/>
      <c r="Q46" s="643"/>
      <c r="R46" s="277"/>
      <c r="S46" s="282"/>
      <c r="T46" s="643"/>
      <c r="U46" s="643"/>
      <c r="V46" s="643"/>
      <c r="W46" s="643"/>
      <c r="X46" s="643"/>
      <c r="Y46" s="643"/>
      <c r="Z46" s="643"/>
      <c r="AA46" s="277"/>
      <c r="AB46" s="278"/>
      <c r="AC46" s="643"/>
      <c r="AD46" s="643"/>
      <c r="AE46" s="643"/>
      <c r="AF46" s="643"/>
      <c r="AG46" s="643"/>
      <c r="AH46" s="643"/>
      <c r="AI46" s="734"/>
    </row>
    <row r="47" spans="1:35" ht="45" customHeight="1" thickBot="1" x14ac:dyDescent="0.3">
      <c r="A47" s="660" t="s">
        <v>563</v>
      </c>
      <c r="B47" s="661"/>
      <c r="C47" s="661"/>
      <c r="D47" s="661"/>
      <c r="E47" s="661"/>
      <c r="F47" s="661"/>
      <c r="G47" s="661"/>
      <c r="H47" s="661"/>
      <c r="I47" s="661"/>
      <c r="J47" s="662"/>
      <c r="K47" s="636"/>
      <c r="L47" s="637"/>
      <c r="M47" s="637"/>
      <c r="N47" s="637"/>
      <c r="O47" s="637"/>
      <c r="P47" s="637"/>
      <c r="Q47" s="637"/>
      <c r="R47" s="277"/>
      <c r="S47" s="282"/>
      <c r="T47" s="637"/>
      <c r="U47" s="637"/>
      <c r="V47" s="637"/>
      <c r="W47" s="637"/>
      <c r="X47" s="637"/>
      <c r="Y47" s="637"/>
      <c r="Z47" s="637"/>
      <c r="AA47" s="277"/>
      <c r="AB47" s="278"/>
      <c r="AC47" s="637"/>
      <c r="AD47" s="637"/>
      <c r="AE47" s="637"/>
      <c r="AF47" s="637"/>
      <c r="AG47" s="637"/>
      <c r="AH47" s="637"/>
      <c r="AI47" s="728"/>
    </row>
    <row r="48" spans="1:35" ht="65.099999999999994" customHeight="1" thickBot="1" x14ac:dyDescent="0.3">
      <c r="A48" s="655" t="s">
        <v>564</v>
      </c>
      <c r="B48" s="656"/>
      <c r="C48" s="656"/>
      <c r="D48" s="656"/>
      <c r="E48" s="656"/>
      <c r="F48" s="656"/>
      <c r="G48" s="656"/>
      <c r="H48" s="656"/>
      <c r="I48" s="656"/>
      <c r="J48" s="657"/>
      <c r="K48" s="642"/>
      <c r="L48" s="643"/>
      <c r="M48" s="643"/>
      <c r="N48" s="643"/>
      <c r="O48" s="643"/>
      <c r="P48" s="643"/>
      <c r="Q48" s="643"/>
      <c r="R48" s="277"/>
      <c r="S48" s="282"/>
      <c r="T48" s="643"/>
      <c r="U48" s="643"/>
      <c r="V48" s="643"/>
      <c r="W48" s="643"/>
      <c r="X48" s="643"/>
      <c r="Y48" s="643"/>
      <c r="Z48" s="643"/>
      <c r="AA48" s="277"/>
      <c r="AB48" s="278"/>
      <c r="AC48" s="643"/>
      <c r="AD48" s="643"/>
      <c r="AE48" s="643"/>
      <c r="AF48" s="643"/>
      <c r="AG48" s="643"/>
      <c r="AH48" s="643"/>
      <c r="AI48" s="734"/>
    </row>
    <row r="49" spans="1:35" ht="15.75" thickBot="1" x14ac:dyDescent="0.3">
      <c r="A49" s="644"/>
      <c r="B49" s="645"/>
      <c r="C49" s="645"/>
      <c r="D49" s="645"/>
      <c r="E49" s="645"/>
      <c r="F49" s="645"/>
      <c r="G49" s="645"/>
      <c r="H49" s="645"/>
      <c r="I49" s="645"/>
      <c r="J49" s="646"/>
      <c r="K49" s="647"/>
      <c r="L49" s="647"/>
      <c r="M49" s="647"/>
      <c r="N49" s="647"/>
      <c r="O49" s="647"/>
      <c r="P49" s="647"/>
      <c r="Q49" s="647"/>
      <c r="R49" s="4"/>
      <c r="S49" s="4"/>
      <c r="T49" s="647"/>
      <c r="U49" s="647"/>
      <c r="V49" s="647"/>
      <c r="W49" s="647"/>
      <c r="X49" s="647"/>
      <c r="Y49" s="647"/>
      <c r="Z49" s="647"/>
      <c r="AA49" s="4"/>
      <c r="AB49" s="4"/>
      <c r="AC49" s="729"/>
      <c r="AD49" s="730"/>
      <c r="AE49" s="730"/>
      <c r="AF49" s="730"/>
      <c r="AG49" s="730"/>
      <c r="AH49" s="730"/>
      <c r="AI49" s="731"/>
    </row>
    <row r="50" spans="1:35" ht="15.75" thickBot="1" x14ac:dyDescent="0.3">
      <c r="A50" s="668"/>
      <c r="B50" s="669"/>
      <c r="C50" s="669"/>
      <c r="D50" s="669"/>
      <c r="E50" s="669"/>
      <c r="F50" s="669"/>
      <c r="G50" s="669"/>
      <c r="H50" s="669"/>
      <c r="I50" s="669"/>
      <c r="J50" s="670"/>
      <c r="K50" s="651"/>
      <c r="L50" s="652"/>
      <c r="M50" s="652"/>
      <c r="N50" s="652"/>
      <c r="O50" s="652"/>
      <c r="P50" s="652"/>
      <c r="Q50" s="652"/>
      <c r="R50" s="672"/>
      <c r="S50" s="673"/>
      <c r="T50" s="652"/>
      <c r="U50" s="652"/>
      <c r="V50" s="652"/>
      <c r="W50" s="652"/>
      <c r="X50" s="652"/>
      <c r="Y50" s="652"/>
      <c r="Z50" s="652"/>
      <c r="AA50" s="672"/>
      <c r="AB50" s="732"/>
      <c r="AC50" s="652"/>
      <c r="AD50" s="652"/>
      <c r="AE50" s="652"/>
      <c r="AF50" s="652"/>
      <c r="AG50" s="652"/>
      <c r="AH50" s="652"/>
      <c r="AI50" s="733"/>
    </row>
    <row r="51" spans="1:35" ht="15.75" thickBot="1" x14ac:dyDescent="0.3">
      <c r="A51" s="665" t="s">
        <v>565</v>
      </c>
      <c r="B51" s="666"/>
      <c r="C51" s="666"/>
      <c r="D51" s="666"/>
      <c r="E51" s="666"/>
      <c r="F51" s="666"/>
      <c r="G51" s="666"/>
      <c r="H51" s="666"/>
      <c r="I51" s="666"/>
      <c r="J51" s="667"/>
      <c r="K51" s="663"/>
      <c r="L51" s="664"/>
      <c r="M51" s="664"/>
      <c r="N51" s="664"/>
      <c r="O51" s="664"/>
      <c r="P51" s="664"/>
      <c r="Q51" s="664"/>
      <c r="R51" s="5"/>
      <c r="S51" s="6"/>
      <c r="T51" s="664"/>
      <c r="U51" s="664"/>
      <c r="V51" s="664"/>
      <c r="W51" s="664"/>
      <c r="X51" s="664"/>
      <c r="Y51" s="664"/>
      <c r="Z51" s="664"/>
      <c r="AA51" s="5"/>
      <c r="AB51" s="90"/>
      <c r="AC51" s="664"/>
      <c r="AD51" s="664"/>
      <c r="AE51" s="664"/>
      <c r="AF51" s="664"/>
      <c r="AG51" s="664"/>
      <c r="AH51" s="664"/>
      <c r="AI51" s="735"/>
    </row>
    <row r="52" spans="1:35" ht="54.95" customHeight="1" thickBot="1" x14ac:dyDescent="0.3">
      <c r="A52" s="635" t="s">
        <v>566</v>
      </c>
      <c r="B52" s="635"/>
      <c r="C52" s="635"/>
      <c r="D52" s="635"/>
      <c r="E52" s="635"/>
      <c r="F52" s="635"/>
      <c r="G52" s="635"/>
      <c r="H52" s="635"/>
      <c r="I52" s="635"/>
      <c r="J52" s="635"/>
      <c r="K52" s="636"/>
      <c r="L52" s="637"/>
      <c r="M52" s="637"/>
      <c r="N52" s="637"/>
      <c r="O52" s="637"/>
      <c r="P52" s="637"/>
      <c r="Q52" s="637"/>
      <c r="R52" s="638"/>
      <c r="S52" s="639"/>
      <c r="T52" s="637"/>
      <c r="U52" s="637"/>
      <c r="V52" s="637"/>
      <c r="W52" s="637"/>
      <c r="X52" s="637"/>
      <c r="Y52" s="637"/>
      <c r="Z52" s="637"/>
      <c r="AA52" s="638"/>
      <c r="AB52" s="736"/>
      <c r="AC52" s="637"/>
      <c r="AD52" s="637"/>
      <c r="AE52" s="637"/>
      <c r="AF52" s="637"/>
      <c r="AG52" s="637"/>
      <c r="AH52" s="637"/>
      <c r="AI52" s="728"/>
    </row>
    <row r="53" spans="1:35" ht="54.95" customHeight="1" thickBot="1" x14ac:dyDescent="0.3">
      <c r="A53" s="671" t="s">
        <v>567</v>
      </c>
      <c r="B53" s="671"/>
      <c r="C53" s="671"/>
      <c r="D53" s="671"/>
      <c r="E53" s="671"/>
      <c r="F53" s="671"/>
      <c r="G53" s="671"/>
      <c r="H53" s="671"/>
      <c r="I53" s="671"/>
      <c r="J53" s="671"/>
      <c r="K53" s="642"/>
      <c r="L53" s="643"/>
      <c r="M53" s="643"/>
      <c r="N53" s="643"/>
      <c r="O53" s="643"/>
      <c r="P53" s="643"/>
      <c r="Q53" s="643"/>
      <c r="R53" s="638"/>
      <c r="S53" s="639"/>
      <c r="T53" s="643"/>
      <c r="U53" s="643"/>
      <c r="V53" s="643"/>
      <c r="W53" s="643"/>
      <c r="X53" s="643"/>
      <c r="Y53" s="643"/>
      <c r="Z53" s="643"/>
      <c r="AA53" s="638"/>
      <c r="AB53" s="736"/>
      <c r="AC53" s="643"/>
      <c r="AD53" s="643"/>
      <c r="AE53" s="643"/>
      <c r="AF53" s="643"/>
      <c r="AG53" s="643"/>
      <c r="AH53" s="643"/>
      <c r="AI53" s="734"/>
    </row>
    <row r="54" spans="1:35" ht="54.95" customHeight="1" thickBot="1" x14ac:dyDescent="0.3">
      <c r="A54" s="635" t="s">
        <v>568</v>
      </c>
      <c r="B54" s="635"/>
      <c r="C54" s="635"/>
      <c r="D54" s="635"/>
      <c r="E54" s="635"/>
      <c r="F54" s="635"/>
      <c r="G54" s="635"/>
      <c r="H54" s="635"/>
      <c r="I54" s="635"/>
      <c r="J54" s="635"/>
      <c r="K54" s="636"/>
      <c r="L54" s="637"/>
      <c r="M54" s="637"/>
      <c r="N54" s="637"/>
      <c r="O54" s="637"/>
      <c r="P54" s="637"/>
      <c r="Q54" s="637"/>
      <c r="R54" s="638"/>
      <c r="S54" s="639"/>
      <c r="T54" s="637"/>
      <c r="U54" s="637"/>
      <c r="V54" s="637"/>
      <c r="W54" s="637"/>
      <c r="X54" s="637"/>
      <c r="Y54" s="637"/>
      <c r="Z54" s="637"/>
      <c r="AA54" s="638"/>
      <c r="AB54" s="736"/>
      <c r="AC54" s="637"/>
      <c r="AD54" s="637"/>
      <c r="AE54" s="637"/>
      <c r="AF54" s="637"/>
      <c r="AG54" s="637"/>
      <c r="AH54" s="637"/>
      <c r="AI54" s="728"/>
    </row>
    <row r="55" spans="1:35" ht="54.95" customHeight="1" thickBot="1" x14ac:dyDescent="0.3">
      <c r="A55" s="671" t="s">
        <v>569</v>
      </c>
      <c r="B55" s="671"/>
      <c r="C55" s="671"/>
      <c r="D55" s="671"/>
      <c r="E55" s="671"/>
      <c r="F55" s="671"/>
      <c r="G55" s="671"/>
      <c r="H55" s="671"/>
      <c r="I55" s="671"/>
      <c r="J55" s="671"/>
      <c r="K55" s="642"/>
      <c r="L55" s="643"/>
      <c r="M55" s="643"/>
      <c r="N55" s="643"/>
      <c r="O55" s="643"/>
      <c r="P55" s="643"/>
      <c r="Q55" s="643"/>
      <c r="R55" s="638"/>
      <c r="S55" s="639"/>
      <c r="T55" s="643"/>
      <c r="U55" s="643"/>
      <c r="V55" s="643"/>
      <c r="W55" s="643"/>
      <c r="X55" s="643"/>
      <c r="Y55" s="643"/>
      <c r="Z55" s="643"/>
      <c r="AA55" s="638"/>
      <c r="AB55" s="736"/>
      <c r="AC55" s="643"/>
      <c r="AD55" s="643"/>
      <c r="AE55" s="643"/>
      <c r="AF55" s="643"/>
      <c r="AG55" s="643"/>
      <c r="AH55" s="643"/>
      <c r="AI55" s="734"/>
    </row>
    <row r="56" spans="1:35" ht="54.95" customHeight="1" thickBot="1" x14ac:dyDescent="0.3">
      <c r="A56" s="635" t="s">
        <v>570</v>
      </c>
      <c r="B56" s="635"/>
      <c r="C56" s="635"/>
      <c r="D56" s="635"/>
      <c r="E56" s="635"/>
      <c r="F56" s="635"/>
      <c r="G56" s="635"/>
      <c r="H56" s="635"/>
      <c r="I56" s="635"/>
      <c r="J56" s="635"/>
      <c r="K56" s="636"/>
      <c r="L56" s="637"/>
      <c r="M56" s="637"/>
      <c r="N56" s="637"/>
      <c r="O56" s="637"/>
      <c r="P56" s="637"/>
      <c r="Q56" s="637"/>
      <c r="R56" s="638"/>
      <c r="S56" s="639"/>
      <c r="T56" s="637"/>
      <c r="U56" s="637"/>
      <c r="V56" s="637"/>
      <c r="W56" s="637"/>
      <c r="X56" s="637"/>
      <c r="Y56" s="637"/>
      <c r="Z56" s="637"/>
      <c r="AA56" s="638"/>
      <c r="AB56" s="736"/>
      <c r="AC56" s="637"/>
      <c r="AD56" s="637"/>
      <c r="AE56" s="637"/>
      <c r="AF56" s="637"/>
      <c r="AG56" s="637"/>
      <c r="AH56" s="637"/>
      <c r="AI56" s="728"/>
    </row>
    <row r="57" spans="1:35" ht="15.75" thickBot="1" x14ac:dyDescent="0.3">
      <c r="A57" s="644"/>
      <c r="B57" s="645"/>
      <c r="C57" s="645"/>
      <c r="D57" s="645"/>
      <c r="E57" s="645"/>
      <c r="F57" s="645"/>
      <c r="G57" s="645"/>
      <c r="H57" s="645"/>
      <c r="I57" s="645"/>
      <c r="J57" s="646"/>
      <c r="K57" s="647"/>
      <c r="L57" s="647"/>
      <c r="M57" s="647"/>
      <c r="N57" s="647"/>
      <c r="O57" s="647"/>
      <c r="P57" s="647"/>
      <c r="Q57" s="647"/>
      <c r="R57" s="4"/>
      <c r="S57" s="4"/>
      <c r="T57" s="647"/>
      <c r="U57" s="647"/>
      <c r="V57" s="647"/>
      <c r="W57" s="647"/>
      <c r="X57" s="647"/>
      <c r="Y57" s="647"/>
      <c r="Z57" s="647"/>
      <c r="AA57" s="4"/>
      <c r="AB57" s="4"/>
      <c r="AC57" s="729"/>
      <c r="AD57" s="730"/>
      <c r="AE57" s="730"/>
      <c r="AF57" s="730"/>
      <c r="AG57" s="730"/>
      <c r="AH57" s="730"/>
      <c r="AI57" s="731"/>
    </row>
    <row r="58" spans="1:35" ht="15.75" thickBot="1" x14ac:dyDescent="0.3">
      <c r="A58" s="668"/>
      <c r="B58" s="669"/>
      <c r="C58" s="669"/>
      <c r="D58" s="669"/>
      <c r="E58" s="669"/>
      <c r="F58" s="669"/>
      <c r="G58" s="669"/>
      <c r="H58" s="669"/>
      <c r="I58" s="669"/>
      <c r="J58" s="670"/>
      <c r="K58" s="651"/>
      <c r="L58" s="652"/>
      <c r="M58" s="652"/>
      <c r="N58" s="652"/>
      <c r="O58" s="652"/>
      <c r="P58" s="652"/>
      <c r="Q58" s="652"/>
      <c r="R58" s="653"/>
      <c r="S58" s="654"/>
      <c r="T58" s="652"/>
      <c r="U58" s="652"/>
      <c r="V58" s="652"/>
      <c r="W58" s="652"/>
      <c r="X58" s="652"/>
      <c r="Y58" s="652"/>
      <c r="Z58" s="652"/>
      <c r="AA58" s="653"/>
      <c r="AB58" s="737"/>
      <c r="AC58" s="652"/>
      <c r="AD58" s="652"/>
      <c r="AE58" s="652"/>
      <c r="AF58" s="652"/>
      <c r="AG58" s="652"/>
      <c r="AH58" s="652"/>
      <c r="AI58" s="733"/>
    </row>
    <row r="59" spans="1:35" ht="15.75" thickBot="1" x14ac:dyDescent="0.3">
      <c r="A59" s="665" t="s">
        <v>571</v>
      </c>
      <c r="B59" s="666"/>
      <c r="C59" s="666"/>
      <c r="D59" s="666"/>
      <c r="E59" s="666"/>
      <c r="F59" s="666"/>
      <c r="G59" s="666"/>
      <c r="H59" s="666"/>
      <c r="I59" s="666"/>
      <c r="J59" s="667"/>
      <c r="K59" s="636"/>
      <c r="L59" s="637"/>
      <c r="M59" s="637"/>
      <c r="N59" s="637"/>
      <c r="O59" s="637"/>
      <c r="P59" s="637"/>
      <c r="Q59" s="637"/>
      <c r="R59" s="277"/>
      <c r="S59" s="282"/>
      <c r="T59" s="637"/>
      <c r="U59" s="637"/>
      <c r="V59" s="637"/>
      <c r="W59" s="637"/>
      <c r="X59" s="637"/>
      <c r="Y59" s="637"/>
      <c r="Z59" s="637"/>
      <c r="AA59" s="277"/>
      <c r="AB59" s="278"/>
      <c r="AC59" s="637"/>
      <c r="AD59" s="637"/>
      <c r="AE59" s="637"/>
      <c r="AF59" s="637"/>
      <c r="AG59" s="637"/>
      <c r="AH59" s="637"/>
      <c r="AI59" s="728"/>
    </row>
    <row r="60" spans="1:35" ht="54.95" customHeight="1" thickBot="1" x14ac:dyDescent="0.3">
      <c r="A60" s="660" t="s">
        <v>572</v>
      </c>
      <c r="B60" s="661"/>
      <c r="C60" s="661"/>
      <c r="D60" s="661"/>
      <c r="E60" s="661"/>
      <c r="F60" s="661"/>
      <c r="G60" s="661"/>
      <c r="H60" s="661"/>
      <c r="I60" s="661"/>
      <c r="J60" s="662"/>
      <c r="K60" s="636"/>
      <c r="L60" s="637"/>
      <c r="M60" s="637"/>
      <c r="N60" s="637"/>
      <c r="O60" s="637"/>
      <c r="P60" s="637"/>
      <c r="Q60" s="637"/>
      <c r="R60" s="277"/>
      <c r="S60" s="282"/>
      <c r="T60" s="637"/>
      <c r="U60" s="637"/>
      <c r="V60" s="637"/>
      <c r="W60" s="637"/>
      <c r="X60" s="637"/>
      <c r="Y60" s="637"/>
      <c r="Z60" s="637"/>
      <c r="AA60" s="277"/>
      <c r="AB60" s="278"/>
      <c r="AC60" s="637"/>
      <c r="AD60" s="637"/>
      <c r="AE60" s="637"/>
      <c r="AF60" s="637"/>
      <c r="AG60" s="637"/>
      <c r="AH60" s="637"/>
      <c r="AI60" s="728"/>
    </row>
    <row r="61" spans="1:35" ht="45" customHeight="1" thickBot="1" x14ac:dyDescent="0.3">
      <c r="A61" s="655" t="s">
        <v>573</v>
      </c>
      <c r="B61" s="656"/>
      <c r="C61" s="656"/>
      <c r="D61" s="656"/>
      <c r="E61" s="656"/>
      <c r="F61" s="656"/>
      <c r="G61" s="656"/>
      <c r="H61" s="656"/>
      <c r="I61" s="656"/>
      <c r="J61" s="657"/>
      <c r="K61" s="658"/>
      <c r="L61" s="659"/>
      <c r="M61" s="659"/>
      <c r="N61" s="659"/>
      <c r="O61" s="659"/>
      <c r="P61" s="659"/>
      <c r="Q61" s="659"/>
      <c r="R61" s="277"/>
      <c r="S61" s="282"/>
      <c r="T61" s="659"/>
      <c r="U61" s="659"/>
      <c r="V61" s="659"/>
      <c r="W61" s="659"/>
      <c r="X61" s="659"/>
      <c r="Y61" s="659"/>
      <c r="Z61" s="659"/>
      <c r="AA61" s="277"/>
      <c r="AB61" s="278"/>
      <c r="AC61" s="659"/>
      <c r="AD61" s="659"/>
      <c r="AE61" s="659"/>
      <c r="AF61" s="659"/>
      <c r="AG61" s="659"/>
      <c r="AH61" s="659"/>
      <c r="AI61" s="744"/>
    </row>
    <row r="62" spans="1:35" ht="45" customHeight="1" x14ac:dyDescent="0.25">
      <c r="A62" s="660" t="s">
        <v>574</v>
      </c>
      <c r="B62" s="661"/>
      <c r="C62" s="661"/>
      <c r="D62" s="661"/>
      <c r="E62" s="661"/>
      <c r="F62" s="661"/>
      <c r="G62" s="661"/>
      <c r="H62" s="661"/>
      <c r="I62" s="661"/>
      <c r="J62" s="662"/>
      <c r="K62" s="663"/>
      <c r="L62" s="664"/>
      <c r="M62" s="664"/>
      <c r="N62" s="664"/>
      <c r="O62" s="664"/>
      <c r="P62" s="664"/>
      <c r="Q62" s="664"/>
      <c r="R62" s="5"/>
      <c r="S62" s="6"/>
      <c r="T62" s="664"/>
      <c r="U62" s="664"/>
      <c r="V62" s="664"/>
      <c r="W62" s="664"/>
      <c r="X62" s="664"/>
      <c r="Y62" s="664"/>
      <c r="Z62" s="664"/>
      <c r="AA62" s="5"/>
      <c r="AB62" s="90"/>
      <c r="AC62" s="664"/>
      <c r="AD62" s="664"/>
      <c r="AE62" s="664"/>
      <c r="AF62" s="664"/>
      <c r="AG62" s="664"/>
      <c r="AH62" s="664"/>
      <c r="AI62" s="735"/>
    </row>
    <row r="63" spans="1:35" ht="15.75" thickBot="1" x14ac:dyDescent="0.3">
      <c r="A63" s="644"/>
      <c r="B63" s="645"/>
      <c r="C63" s="645"/>
      <c r="D63" s="645"/>
      <c r="E63" s="645"/>
      <c r="F63" s="645"/>
      <c r="G63" s="645"/>
      <c r="H63" s="645"/>
      <c r="I63" s="645"/>
      <c r="J63" s="646"/>
      <c r="K63" s="647"/>
      <c r="L63" s="647"/>
      <c r="M63" s="647"/>
      <c r="N63" s="647"/>
      <c r="O63" s="647"/>
      <c r="P63" s="647"/>
      <c r="Q63" s="647"/>
      <c r="R63" s="4"/>
      <c r="S63" s="4"/>
      <c r="T63" s="647"/>
      <c r="U63" s="647"/>
      <c r="V63" s="647"/>
      <c r="W63" s="647"/>
      <c r="X63" s="647"/>
      <c r="Y63" s="647"/>
      <c r="Z63" s="647"/>
      <c r="AA63" s="4"/>
      <c r="AB63" s="4"/>
      <c r="AC63" s="729"/>
      <c r="AD63" s="730"/>
      <c r="AE63" s="730"/>
      <c r="AF63" s="730"/>
      <c r="AG63" s="730"/>
      <c r="AH63" s="730"/>
      <c r="AI63" s="731"/>
    </row>
    <row r="64" spans="1:35" ht="15.75" thickBot="1" x14ac:dyDescent="0.3">
      <c r="A64" s="648"/>
      <c r="B64" s="649"/>
      <c r="C64" s="649"/>
      <c r="D64" s="649"/>
      <c r="E64" s="649"/>
      <c r="F64" s="649"/>
      <c r="G64" s="649"/>
      <c r="H64" s="649"/>
      <c r="I64" s="649"/>
      <c r="J64" s="650"/>
      <c r="K64" s="651"/>
      <c r="L64" s="652"/>
      <c r="M64" s="652"/>
      <c r="N64" s="652"/>
      <c r="O64" s="652"/>
      <c r="P64" s="652"/>
      <c r="Q64" s="652"/>
      <c r="R64" s="653"/>
      <c r="S64" s="654"/>
      <c r="T64" s="652"/>
      <c r="U64" s="652"/>
      <c r="V64" s="652"/>
      <c r="W64" s="652"/>
      <c r="X64" s="652"/>
      <c r="Y64" s="652"/>
      <c r="Z64" s="652"/>
      <c r="AA64" s="653"/>
      <c r="AB64" s="737"/>
      <c r="AC64" s="652"/>
      <c r="AD64" s="652"/>
      <c r="AE64" s="652"/>
      <c r="AF64" s="652"/>
      <c r="AG64" s="652"/>
      <c r="AH64" s="652"/>
      <c r="AI64" s="733"/>
    </row>
    <row r="65" spans="1:35" ht="15.75" thickBot="1" x14ac:dyDescent="0.3">
      <c r="A65" s="640" t="s">
        <v>575</v>
      </c>
      <c r="B65" s="640"/>
      <c r="C65" s="640"/>
      <c r="D65" s="640"/>
      <c r="E65" s="640"/>
      <c r="F65" s="640"/>
      <c r="G65" s="640"/>
      <c r="H65" s="640"/>
      <c r="I65" s="640"/>
      <c r="J65" s="640"/>
      <c r="K65" s="636"/>
      <c r="L65" s="637"/>
      <c r="M65" s="637"/>
      <c r="N65" s="637"/>
      <c r="O65" s="637"/>
      <c r="P65" s="637"/>
      <c r="Q65" s="637"/>
      <c r="R65" s="638"/>
      <c r="S65" s="639"/>
      <c r="T65" s="637"/>
      <c r="U65" s="637"/>
      <c r="V65" s="637"/>
      <c r="W65" s="637"/>
      <c r="X65" s="637"/>
      <c r="Y65" s="637"/>
      <c r="Z65" s="637"/>
      <c r="AA65" s="638"/>
      <c r="AB65" s="736"/>
      <c r="AC65" s="637"/>
      <c r="AD65" s="637"/>
      <c r="AE65" s="637"/>
      <c r="AF65" s="637"/>
      <c r="AG65" s="637"/>
      <c r="AH65" s="637"/>
      <c r="AI65" s="728"/>
    </row>
    <row r="66" spans="1:35" ht="54.95" customHeight="1" thickBot="1" x14ac:dyDescent="0.3">
      <c r="A66" s="635" t="s">
        <v>576</v>
      </c>
      <c r="B66" s="635"/>
      <c r="C66" s="635"/>
      <c r="D66" s="635"/>
      <c r="E66" s="635"/>
      <c r="F66" s="635"/>
      <c r="G66" s="635"/>
      <c r="H66" s="635"/>
      <c r="I66" s="635"/>
      <c r="J66" s="635"/>
      <c r="K66" s="636"/>
      <c r="L66" s="637"/>
      <c r="M66" s="637"/>
      <c r="N66" s="637"/>
      <c r="O66" s="637"/>
      <c r="P66" s="637"/>
      <c r="Q66" s="637"/>
      <c r="R66" s="638"/>
      <c r="S66" s="639"/>
      <c r="T66" s="637"/>
      <c r="U66" s="637"/>
      <c r="V66" s="637"/>
      <c r="W66" s="637"/>
      <c r="X66" s="637"/>
      <c r="Y66" s="637"/>
      <c r="Z66" s="637"/>
      <c r="AA66" s="638"/>
      <c r="AB66" s="736"/>
      <c r="AC66" s="637"/>
      <c r="AD66" s="637"/>
      <c r="AE66" s="637"/>
      <c r="AF66" s="637"/>
      <c r="AG66" s="637"/>
      <c r="AH66" s="637"/>
      <c r="AI66" s="728"/>
    </row>
    <row r="67" spans="1:35" ht="65.099999999999994" customHeight="1" thickBot="1" x14ac:dyDescent="0.3">
      <c r="A67" s="641" t="s">
        <v>577</v>
      </c>
      <c r="B67" s="641"/>
      <c r="C67" s="641"/>
      <c r="D67" s="641"/>
      <c r="E67" s="641"/>
      <c r="F67" s="641"/>
      <c r="G67" s="641"/>
      <c r="H67" s="641"/>
      <c r="I67" s="641"/>
      <c r="J67" s="641"/>
      <c r="K67" s="642"/>
      <c r="L67" s="643"/>
      <c r="M67" s="643"/>
      <c r="N67" s="643"/>
      <c r="O67" s="643"/>
      <c r="P67" s="643"/>
      <c r="Q67" s="643"/>
      <c r="R67" s="638"/>
      <c r="S67" s="639"/>
      <c r="T67" s="643"/>
      <c r="U67" s="643"/>
      <c r="V67" s="643"/>
      <c r="W67" s="643"/>
      <c r="X67" s="643"/>
      <c r="Y67" s="643"/>
      <c r="Z67" s="643"/>
      <c r="AA67" s="638"/>
      <c r="AB67" s="736"/>
      <c r="AC67" s="643"/>
      <c r="AD67" s="643"/>
      <c r="AE67" s="643"/>
      <c r="AF67" s="643"/>
      <c r="AG67" s="643"/>
      <c r="AH67" s="643"/>
      <c r="AI67" s="734"/>
    </row>
    <row r="68" spans="1:35" ht="54.95" customHeight="1" thickBot="1" x14ac:dyDescent="0.3">
      <c r="A68" s="635" t="s">
        <v>578</v>
      </c>
      <c r="B68" s="635"/>
      <c r="C68" s="635"/>
      <c r="D68" s="635"/>
      <c r="E68" s="635"/>
      <c r="F68" s="635"/>
      <c r="G68" s="635"/>
      <c r="H68" s="635"/>
      <c r="I68" s="635"/>
      <c r="J68" s="635"/>
      <c r="K68" s="636"/>
      <c r="L68" s="637"/>
      <c r="M68" s="637"/>
      <c r="N68" s="637"/>
      <c r="O68" s="637"/>
      <c r="P68" s="637"/>
      <c r="Q68" s="637"/>
      <c r="R68" s="638"/>
      <c r="S68" s="639"/>
      <c r="T68" s="637"/>
      <c r="U68" s="637"/>
      <c r="V68" s="637"/>
      <c r="W68" s="637"/>
      <c r="X68" s="637"/>
      <c r="Y68" s="637"/>
      <c r="Z68" s="637"/>
      <c r="AA68" s="638"/>
      <c r="AB68" s="736"/>
      <c r="AC68" s="637"/>
      <c r="AD68" s="637"/>
      <c r="AE68" s="637"/>
      <c r="AF68" s="637"/>
      <c r="AG68" s="637"/>
      <c r="AH68" s="637"/>
      <c r="AI68" s="728"/>
    </row>
  </sheetData>
  <sheetProtection algorithmName="SHA-512" hashValue="Uxjg6yLIYHEA/l79+YXKvhCa8msA9+DQxudgpM2s974bsIHY6L50a570eRQd9verSQjgh/ynq7qQ+FBYtovfyg==" saltValue="hSNB2+dYGj6jNlZhd97dmw==" spinCount="100000" sheet="1" objects="1" scenarios="1" selectLockedCells="1"/>
  <mergeCells count="436">
    <mergeCell ref="AA68:AB68"/>
    <mergeCell ref="AC68:AF68"/>
    <mergeCell ref="AG68:AI68"/>
    <mergeCell ref="A8:AI8"/>
    <mergeCell ref="A9:AI9"/>
    <mergeCell ref="AA65:AB65"/>
    <mergeCell ref="AC65:AF65"/>
    <mergeCell ref="AG65:AI65"/>
    <mergeCell ref="AA66:AB66"/>
    <mergeCell ref="AC66:AF66"/>
    <mergeCell ref="AG66:AI66"/>
    <mergeCell ref="AA67:AB67"/>
    <mergeCell ref="AC67:AF67"/>
    <mergeCell ref="AG67:AI67"/>
    <mergeCell ref="AC60:AF60"/>
    <mergeCell ref="AG60:AI60"/>
    <mergeCell ref="AC61:AF61"/>
    <mergeCell ref="AG61:AI61"/>
    <mergeCell ref="AC62:AF62"/>
    <mergeCell ref="AG62:AI62"/>
    <mergeCell ref="AC63:AI63"/>
    <mergeCell ref="AA64:AB64"/>
    <mergeCell ref="AC64:AF64"/>
    <mergeCell ref="AG64:AI64"/>
    <mergeCell ref="AA56:AB56"/>
    <mergeCell ref="AC56:AF56"/>
    <mergeCell ref="AG56:AI56"/>
    <mergeCell ref="AC57:AI57"/>
    <mergeCell ref="AA58:AB58"/>
    <mergeCell ref="AC58:AF58"/>
    <mergeCell ref="AG58:AI58"/>
    <mergeCell ref="AC59:AF59"/>
    <mergeCell ref="AG59:AI59"/>
    <mergeCell ref="AA53:AB53"/>
    <mergeCell ref="AC53:AF53"/>
    <mergeCell ref="AG53:AI53"/>
    <mergeCell ref="AA54:AB54"/>
    <mergeCell ref="AC54:AF54"/>
    <mergeCell ref="AG54:AI54"/>
    <mergeCell ref="AA55:AB55"/>
    <mergeCell ref="AC55:AF55"/>
    <mergeCell ref="AG55:AI55"/>
    <mergeCell ref="AC49:AI49"/>
    <mergeCell ref="AA50:AB50"/>
    <mergeCell ref="AC50:AF50"/>
    <mergeCell ref="AG50:AI50"/>
    <mergeCell ref="AC51:AF51"/>
    <mergeCell ref="AG51:AI51"/>
    <mergeCell ref="AA52:AB52"/>
    <mergeCell ref="AC52:AF52"/>
    <mergeCell ref="AG52:AI52"/>
    <mergeCell ref="AC44:AF44"/>
    <mergeCell ref="AG44:AI44"/>
    <mergeCell ref="AC45:AF45"/>
    <mergeCell ref="AG45:AI45"/>
    <mergeCell ref="AC46:AF46"/>
    <mergeCell ref="AG46:AI46"/>
    <mergeCell ref="AC47:AF47"/>
    <mergeCell ref="AG47:AI47"/>
    <mergeCell ref="AC48:AF48"/>
    <mergeCell ref="AG48:AI48"/>
    <mergeCell ref="AC39:AF39"/>
    <mergeCell ref="AG39:AI39"/>
    <mergeCell ref="AC40:AI40"/>
    <mergeCell ref="AA41:AB41"/>
    <mergeCell ref="AC41:AF41"/>
    <mergeCell ref="AG41:AI41"/>
    <mergeCell ref="AC42:AF42"/>
    <mergeCell ref="AG42:AI42"/>
    <mergeCell ref="AC43:AF43"/>
    <mergeCell ref="AG43:AI43"/>
    <mergeCell ref="AC34:AF34"/>
    <mergeCell ref="AG34:AI34"/>
    <mergeCell ref="AC35:AF35"/>
    <mergeCell ref="AG35:AI35"/>
    <mergeCell ref="AC36:AF36"/>
    <mergeCell ref="AG36:AI36"/>
    <mergeCell ref="AC37:AF37"/>
    <mergeCell ref="AG37:AI37"/>
    <mergeCell ref="AC38:AF38"/>
    <mergeCell ref="AG38:AI38"/>
    <mergeCell ref="AC29:AF29"/>
    <mergeCell ref="AG29:AI29"/>
    <mergeCell ref="AC30:AF30"/>
    <mergeCell ref="AG30:AI30"/>
    <mergeCell ref="AC31:AF31"/>
    <mergeCell ref="AG31:AI31"/>
    <mergeCell ref="AC32:AI32"/>
    <mergeCell ref="AA33:AB33"/>
    <mergeCell ref="AC33:AF33"/>
    <mergeCell ref="AG33:AI33"/>
    <mergeCell ref="AC24:AF24"/>
    <mergeCell ref="AG24:AI24"/>
    <mergeCell ref="AC25:AI25"/>
    <mergeCell ref="AA26:AB26"/>
    <mergeCell ref="AC26:AF26"/>
    <mergeCell ref="AG26:AI26"/>
    <mergeCell ref="AC27:AF27"/>
    <mergeCell ref="AG27:AI27"/>
    <mergeCell ref="AC28:AF28"/>
    <mergeCell ref="AG28:AI28"/>
    <mergeCell ref="AA20:AB20"/>
    <mergeCell ref="AC20:AF20"/>
    <mergeCell ref="AG20:AI20"/>
    <mergeCell ref="AC21:AF21"/>
    <mergeCell ref="AG21:AI21"/>
    <mergeCell ref="AC22:AF22"/>
    <mergeCell ref="AG22:AI22"/>
    <mergeCell ref="AC23:AF23"/>
    <mergeCell ref="AG23:AI23"/>
    <mergeCell ref="AC15:AF15"/>
    <mergeCell ref="AG15:AI15"/>
    <mergeCell ref="AC16:AF16"/>
    <mergeCell ref="AG16:AI16"/>
    <mergeCell ref="AC17:AF17"/>
    <mergeCell ref="AG17:AI17"/>
    <mergeCell ref="AC18:AF18"/>
    <mergeCell ref="AG18:AI18"/>
    <mergeCell ref="AC19:AI19"/>
    <mergeCell ref="AA10:AB10"/>
    <mergeCell ref="AC10:AI10"/>
    <mergeCell ref="AC11:AI11"/>
    <mergeCell ref="AA12:AB12"/>
    <mergeCell ref="AC12:AF12"/>
    <mergeCell ref="AG12:AI12"/>
    <mergeCell ref="AC13:AI13"/>
    <mergeCell ref="AC14:AF14"/>
    <mergeCell ref="AG14:AI14"/>
    <mergeCell ref="A1:Z2"/>
    <mergeCell ref="A3:F3"/>
    <mergeCell ref="G3:P3"/>
    <mergeCell ref="R3:T3"/>
    <mergeCell ref="U3:Z3"/>
    <mergeCell ref="A4:F4"/>
    <mergeCell ref="G4:P4"/>
    <mergeCell ref="R4:T4"/>
    <mergeCell ref="U4:Z4"/>
    <mergeCell ref="K10:Q10"/>
    <mergeCell ref="T10:Z10"/>
    <mergeCell ref="A11:J11"/>
    <mergeCell ref="K11:Q11"/>
    <mergeCell ref="T11:Z11"/>
    <mergeCell ref="A10:J10"/>
    <mergeCell ref="A5:F5"/>
    <mergeCell ref="G5:K5"/>
    <mergeCell ref="L5:P5"/>
    <mergeCell ref="R5:T5"/>
    <mergeCell ref="U5:Z5"/>
    <mergeCell ref="A6:Z6"/>
    <mergeCell ref="R10:S10"/>
    <mergeCell ref="A13:J13"/>
    <mergeCell ref="K13:Q13"/>
    <mergeCell ref="T13:Z13"/>
    <mergeCell ref="A14:J14"/>
    <mergeCell ref="K14:N14"/>
    <mergeCell ref="O14:Q14"/>
    <mergeCell ref="T14:W14"/>
    <mergeCell ref="X14:Z14"/>
    <mergeCell ref="A12:J12"/>
    <mergeCell ref="K12:N12"/>
    <mergeCell ref="O12:Q12"/>
    <mergeCell ref="R12:S12"/>
    <mergeCell ref="T12:W12"/>
    <mergeCell ref="X12:Z12"/>
    <mergeCell ref="A15:J15"/>
    <mergeCell ref="K15:N15"/>
    <mergeCell ref="O15:Q15"/>
    <mergeCell ref="T15:W15"/>
    <mergeCell ref="X15:Z15"/>
    <mergeCell ref="A16:J16"/>
    <mergeCell ref="K16:N16"/>
    <mergeCell ref="O16:Q16"/>
    <mergeCell ref="T16:W16"/>
    <mergeCell ref="X16:Z16"/>
    <mergeCell ref="A17:J17"/>
    <mergeCell ref="K17:N17"/>
    <mergeCell ref="O17:Q17"/>
    <mergeCell ref="T17:W17"/>
    <mergeCell ref="X17:Z17"/>
    <mergeCell ref="A18:J18"/>
    <mergeCell ref="K18:N18"/>
    <mergeCell ref="O18:Q18"/>
    <mergeCell ref="T18:W18"/>
    <mergeCell ref="X18:Z18"/>
    <mergeCell ref="A19:J19"/>
    <mergeCell ref="K19:Q19"/>
    <mergeCell ref="T19:Z19"/>
    <mergeCell ref="A20:J20"/>
    <mergeCell ref="K20:N20"/>
    <mergeCell ref="O20:Q20"/>
    <mergeCell ref="R20:S20"/>
    <mergeCell ref="T20:W20"/>
    <mergeCell ref="X20:Z20"/>
    <mergeCell ref="A21:J21"/>
    <mergeCell ref="K21:N21"/>
    <mergeCell ref="O21:Q21"/>
    <mergeCell ref="T21:W21"/>
    <mergeCell ref="X21:Z21"/>
    <mergeCell ref="A22:J22"/>
    <mergeCell ref="K22:N22"/>
    <mergeCell ref="O22:Q22"/>
    <mergeCell ref="T22:W22"/>
    <mergeCell ref="X22:Z22"/>
    <mergeCell ref="A23:J23"/>
    <mergeCell ref="K23:N23"/>
    <mergeCell ref="O23:Q23"/>
    <mergeCell ref="T23:W23"/>
    <mergeCell ref="X23:Z23"/>
    <mergeCell ref="A24:J24"/>
    <mergeCell ref="K24:N24"/>
    <mergeCell ref="O24:Q24"/>
    <mergeCell ref="T24:W24"/>
    <mergeCell ref="X24:Z24"/>
    <mergeCell ref="A25:J25"/>
    <mergeCell ref="K25:Q25"/>
    <mergeCell ref="T25:Z25"/>
    <mergeCell ref="A26:J26"/>
    <mergeCell ref="K26:N26"/>
    <mergeCell ref="O26:Q26"/>
    <mergeCell ref="R26:S26"/>
    <mergeCell ref="T26:W26"/>
    <mergeCell ref="X26:Z26"/>
    <mergeCell ref="A27:J27"/>
    <mergeCell ref="K27:N27"/>
    <mergeCell ref="O27:Q27"/>
    <mergeCell ref="T27:W27"/>
    <mergeCell ref="X27:Z27"/>
    <mergeCell ref="A28:J28"/>
    <mergeCell ref="K28:N28"/>
    <mergeCell ref="O28:Q28"/>
    <mergeCell ref="T28:W28"/>
    <mergeCell ref="X28:Z28"/>
    <mergeCell ref="A29:J29"/>
    <mergeCell ref="K29:N29"/>
    <mergeCell ref="O29:Q29"/>
    <mergeCell ref="T29:W29"/>
    <mergeCell ref="X29:Z29"/>
    <mergeCell ref="A30:J30"/>
    <mergeCell ref="K30:N30"/>
    <mergeCell ref="O30:Q30"/>
    <mergeCell ref="T30:W30"/>
    <mergeCell ref="X30:Z30"/>
    <mergeCell ref="A33:J33"/>
    <mergeCell ref="K33:N33"/>
    <mergeCell ref="O33:Q33"/>
    <mergeCell ref="R33:S33"/>
    <mergeCell ref="T33:W33"/>
    <mergeCell ref="X33:Z33"/>
    <mergeCell ref="A31:J31"/>
    <mergeCell ref="K31:N31"/>
    <mergeCell ref="O31:Q31"/>
    <mergeCell ref="T31:W31"/>
    <mergeCell ref="X31:Z31"/>
    <mergeCell ref="A32:J32"/>
    <mergeCell ref="K32:Q32"/>
    <mergeCell ref="T32:Z32"/>
    <mergeCell ref="A34:J34"/>
    <mergeCell ref="K34:N34"/>
    <mergeCell ref="O34:Q34"/>
    <mergeCell ref="T34:W34"/>
    <mergeCell ref="X34:Z34"/>
    <mergeCell ref="A35:J35"/>
    <mergeCell ref="K35:N35"/>
    <mergeCell ref="O35:Q35"/>
    <mergeCell ref="T35:W35"/>
    <mergeCell ref="X35:Z35"/>
    <mergeCell ref="A36:J36"/>
    <mergeCell ref="K36:N36"/>
    <mergeCell ref="O36:Q36"/>
    <mergeCell ref="T36:W36"/>
    <mergeCell ref="X36:Z36"/>
    <mergeCell ref="A37:J37"/>
    <mergeCell ref="K37:N37"/>
    <mergeCell ref="O37:Q37"/>
    <mergeCell ref="T37:W37"/>
    <mergeCell ref="X37:Z37"/>
    <mergeCell ref="A38:J38"/>
    <mergeCell ref="K38:N38"/>
    <mergeCell ref="O38:Q38"/>
    <mergeCell ref="T38:W38"/>
    <mergeCell ref="X38:Z38"/>
    <mergeCell ref="A39:J39"/>
    <mergeCell ref="K39:N39"/>
    <mergeCell ref="O39:Q39"/>
    <mergeCell ref="T39:W39"/>
    <mergeCell ref="X39:Z39"/>
    <mergeCell ref="A40:J40"/>
    <mergeCell ref="K40:Q40"/>
    <mergeCell ref="T40:Z40"/>
    <mergeCell ref="A41:J41"/>
    <mergeCell ref="K41:N41"/>
    <mergeCell ref="O41:Q41"/>
    <mergeCell ref="R41:S41"/>
    <mergeCell ref="T41:W41"/>
    <mergeCell ref="X41:Z41"/>
    <mergeCell ref="A42:J42"/>
    <mergeCell ref="K42:N42"/>
    <mergeCell ref="O42:Q42"/>
    <mergeCell ref="T42:W42"/>
    <mergeCell ref="X42:Z42"/>
    <mergeCell ref="A43:J43"/>
    <mergeCell ref="K43:N43"/>
    <mergeCell ref="O43:Q43"/>
    <mergeCell ref="T43:W43"/>
    <mergeCell ref="X43:Z43"/>
    <mergeCell ref="A44:J44"/>
    <mergeCell ref="K44:N44"/>
    <mergeCell ref="O44:Q44"/>
    <mergeCell ref="T44:W44"/>
    <mergeCell ref="X44:Z44"/>
    <mergeCell ref="A45:J45"/>
    <mergeCell ref="K45:N45"/>
    <mergeCell ref="O45:Q45"/>
    <mergeCell ref="T45:W45"/>
    <mergeCell ref="X45:Z45"/>
    <mergeCell ref="A46:J46"/>
    <mergeCell ref="K46:N46"/>
    <mergeCell ref="O46:Q46"/>
    <mergeCell ref="T46:W46"/>
    <mergeCell ref="X46:Z46"/>
    <mergeCell ref="A47:J47"/>
    <mergeCell ref="K47:N47"/>
    <mergeCell ref="O47:Q47"/>
    <mergeCell ref="T47:W47"/>
    <mergeCell ref="X47:Z47"/>
    <mergeCell ref="A50:J50"/>
    <mergeCell ref="K50:N50"/>
    <mergeCell ref="O50:Q50"/>
    <mergeCell ref="R50:S50"/>
    <mergeCell ref="T50:W50"/>
    <mergeCell ref="X50:Z50"/>
    <mergeCell ref="A48:J48"/>
    <mergeCell ref="K48:N48"/>
    <mergeCell ref="O48:Q48"/>
    <mergeCell ref="T48:W48"/>
    <mergeCell ref="X48:Z48"/>
    <mergeCell ref="A49:J49"/>
    <mergeCell ref="K49:Q49"/>
    <mergeCell ref="T49:Z49"/>
    <mergeCell ref="A51:J51"/>
    <mergeCell ref="K51:N51"/>
    <mergeCell ref="O51:Q51"/>
    <mergeCell ref="T51:W51"/>
    <mergeCell ref="X51:Z51"/>
    <mergeCell ref="A52:J52"/>
    <mergeCell ref="K52:N52"/>
    <mergeCell ref="O52:Q52"/>
    <mergeCell ref="R52:S52"/>
    <mergeCell ref="T52:W52"/>
    <mergeCell ref="A54:J54"/>
    <mergeCell ref="K54:N54"/>
    <mergeCell ref="O54:Q54"/>
    <mergeCell ref="R54:S54"/>
    <mergeCell ref="T54:W54"/>
    <mergeCell ref="X54:Z54"/>
    <mergeCell ref="X52:Z52"/>
    <mergeCell ref="A53:J53"/>
    <mergeCell ref="K53:N53"/>
    <mergeCell ref="O53:Q53"/>
    <mergeCell ref="R53:S53"/>
    <mergeCell ref="T53:W53"/>
    <mergeCell ref="X53:Z53"/>
    <mergeCell ref="A56:J56"/>
    <mergeCell ref="K56:N56"/>
    <mergeCell ref="O56:Q56"/>
    <mergeCell ref="R56:S56"/>
    <mergeCell ref="T56:W56"/>
    <mergeCell ref="X56:Z56"/>
    <mergeCell ref="A55:J55"/>
    <mergeCell ref="K55:N55"/>
    <mergeCell ref="O55:Q55"/>
    <mergeCell ref="R55:S55"/>
    <mergeCell ref="T55:W55"/>
    <mergeCell ref="X55:Z55"/>
    <mergeCell ref="A57:J57"/>
    <mergeCell ref="K57:Q57"/>
    <mergeCell ref="T57:Z57"/>
    <mergeCell ref="A58:J58"/>
    <mergeCell ref="K58:N58"/>
    <mergeCell ref="O58:Q58"/>
    <mergeCell ref="R58:S58"/>
    <mergeCell ref="T58:W58"/>
    <mergeCell ref="X58:Z58"/>
    <mergeCell ref="A59:J59"/>
    <mergeCell ref="K59:N59"/>
    <mergeCell ref="O59:Q59"/>
    <mergeCell ref="T59:W59"/>
    <mergeCell ref="X59:Z59"/>
    <mergeCell ref="A60:J60"/>
    <mergeCell ref="K60:N60"/>
    <mergeCell ref="O60:Q60"/>
    <mergeCell ref="T60:W60"/>
    <mergeCell ref="X60:Z60"/>
    <mergeCell ref="A61:J61"/>
    <mergeCell ref="K61:N61"/>
    <mergeCell ref="O61:Q61"/>
    <mergeCell ref="T61:W61"/>
    <mergeCell ref="X61:Z61"/>
    <mergeCell ref="A62:J62"/>
    <mergeCell ref="K62:N62"/>
    <mergeCell ref="O62:Q62"/>
    <mergeCell ref="T62:W62"/>
    <mergeCell ref="X62:Z62"/>
    <mergeCell ref="A63:J63"/>
    <mergeCell ref="K63:Q63"/>
    <mergeCell ref="T63:Z63"/>
    <mergeCell ref="A64:J64"/>
    <mergeCell ref="K64:N64"/>
    <mergeCell ref="O64:Q64"/>
    <mergeCell ref="R64:S64"/>
    <mergeCell ref="T64:W64"/>
    <mergeCell ref="X64:Z64"/>
    <mergeCell ref="A68:J68"/>
    <mergeCell ref="K68:N68"/>
    <mergeCell ref="O68:Q68"/>
    <mergeCell ref="R68:S68"/>
    <mergeCell ref="T68:W68"/>
    <mergeCell ref="X68:Z68"/>
    <mergeCell ref="A67:J67"/>
    <mergeCell ref="K67:N67"/>
    <mergeCell ref="O67:Q67"/>
    <mergeCell ref="R67:S67"/>
    <mergeCell ref="T67:W67"/>
    <mergeCell ref="X67:Z67"/>
    <mergeCell ref="A66:J66"/>
    <mergeCell ref="K66:N66"/>
    <mergeCell ref="O66:Q66"/>
    <mergeCell ref="R66:S66"/>
    <mergeCell ref="T66:W66"/>
    <mergeCell ref="X66:Z66"/>
    <mergeCell ref="A65:J65"/>
    <mergeCell ref="K65:N65"/>
    <mergeCell ref="O65:Q65"/>
    <mergeCell ref="R65:S65"/>
    <mergeCell ref="T65:W65"/>
    <mergeCell ref="X65:Z65"/>
  </mergeCells>
  <pageMargins left="0.7" right="0.7" top="0.75" bottom="0.75" header="0.3" footer="0.3"/>
  <pageSetup scale="68" orientation="landscape" r:id="rId1"/>
  <headerFooter>
    <oddFooter>&amp;LRevised 2/28/19&amp;C&amp;A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19</vt:i4>
      </vt:variant>
    </vt:vector>
  </HeadingPairs>
  <TitlesOfParts>
    <vt:vector size="32" baseType="lpstr">
      <vt:lpstr>Instructions</vt:lpstr>
      <vt:lpstr>Setup</vt:lpstr>
      <vt:lpstr>Leadership Team</vt:lpstr>
      <vt:lpstr>Tier 1 Prevention</vt:lpstr>
      <vt:lpstr>Tier 2 Prevention</vt:lpstr>
      <vt:lpstr>Tier 3 Intervention</vt:lpstr>
      <vt:lpstr>Staff Interactions</vt:lpstr>
      <vt:lpstr>Events</vt:lpstr>
      <vt:lpstr>MHPET</vt:lpstr>
      <vt:lpstr>CANS</vt:lpstr>
      <vt:lpstr>YSS</vt:lpstr>
      <vt:lpstr>Summary</vt:lpstr>
      <vt:lpstr>Picklists</vt:lpstr>
      <vt:lpstr>Case_Closure</vt:lpstr>
      <vt:lpstr>Course_Completion</vt:lpstr>
      <vt:lpstr>Ethnicity</vt:lpstr>
      <vt:lpstr>Gender</vt:lpstr>
      <vt:lpstr>Grade</vt:lpstr>
      <vt:lpstr>Insurance</vt:lpstr>
      <vt:lpstr>Interaction_Type</vt:lpstr>
      <vt:lpstr>Interactions</vt:lpstr>
      <vt:lpstr>Juvenile_Justice</vt:lpstr>
      <vt:lpstr>LGBTQ</vt:lpstr>
      <vt:lpstr>Living_Arrangement</vt:lpstr>
      <vt:lpstr>Month</vt:lpstr>
      <vt:lpstr>Pregnant</vt:lpstr>
      <vt:lpstr>Picklists!Print_Area</vt:lpstr>
      <vt:lpstr>Race</vt:lpstr>
      <vt:lpstr>SED</vt:lpstr>
      <vt:lpstr>StratPlan</vt:lpstr>
      <vt:lpstr>TFI</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Administrator</cp:lastModifiedBy>
  <cp:revision/>
  <dcterms:created xsi:type="dcterms:W3CDTF">2019-07-10T16:26:32Z</dcterms:created>
  <dcterms:modified xsi:type="dcterms:W3CDTF">2021-07-26T19:29:41Z</dcterms:modified>
  <cp:category/>
  <cp:contentStatus/>
</cp:coreProperties>
</file>